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 sheetId="1" r:id="rId4"/>
    <sheet state="visible" name="IF" sheetId="2" r:id="rId5"/>
    <sheet state="visible" name="IFERROR" sheetId="3" r:id="rId6"/>
    <sheet state="visible" name="COUNTA" sheetId="4" r:id="rId7"/>
    <sheet state="visible" name="TODAY" sheetId="5" r:id="rId8"/>
    <sheet state="visible" name="MATCH" sheetId="6" r:id="rId9"/>
    <sheet state="visible" name="VLOOKUP" sheetId="7" r:id="rId10"/>
    <sheet state="visible" name="UNIQUE" sheetId="8" r:id="rId11"/>
    <sheet state="visible" name="SORT" sheetId="9" r:id="rId12"/>
    <sheet state="visible" name="FILTER" sheetId="10" r:id="rId13"/>
    <sheet state="visible" name="ARRAYFORMULA" sheetId="11" r:id="rId14"/>
    <sheet state="visible" name="TRANSPOSE" sheetId="12" r:id="rId15"/>
    <sheet state="visible" name="INDIRECT" sheetId="13" r:id="rId16"/>
    <sheet state="visible" name="SPARKLINE" sheetId="14" r:id="rId17"/>
  </sheets>
  <definedNames>
    <definedName name="product">IF!$A:$A</definedName>
    <definedName name="discount">IF!$E:$E</definedName>
    <definedName name="Answer">IF!$K:$K</definedName>
  </definedNames>
  <calcPr/>
</workbook>
</file>

<file path=xl/sharedStrings.xml><?xml version="1.0" encoding="utf-8"?>
<sst xmlns="http://schemas.openxmlformats.org/spreadsheetml/2006/main" count="38870" uniqueCount="1615">
  <si>
    <t>What is this project?</t>
  </si>
  <si>
    <t xml:space="preserve">This project is simply demontrating my knowledge and skills with Excel / Google Sheets. At the very bottom are different tabs displaying different functions that are key for Data Analytics. </t>
  </si>
  <si>
    <t xml:space="preserve">The dataset I will be working with for this project is 'Amazon Sales'. Please see the link below for the dataset. </t>
  </si>
  <si>
    <t>Dataset link:</t>
  </si>
  <si>
    <t>https://www.kaggle.com/datasets/karkavelrajaj/amazon-sales-dataset?resource=download</t>
  </si>
  <si>
    <t>product_name</t>
  </si>
  <si>
    <t>category</t>
  </si>
  <si>
    <t>discounted_price</t>
  </si>
  <si>
    <t>actual_price</t>
  </si>
  <si>
    <t>discount_percentage</t>
  </si>
  <si>
    <t>rating</t>
  </si>
  <si>
    <t>rating_count</t>
  </si>
  <si>
    <t>Question</t>
  </si>
  <si>
    <t>Answer</t>
  </si>
  <si>
    <t>Wayona Nylon Braided USB to Lightning Fast Charging and Data Sync Cable Compatible for iPhone 13, 12,11, X, 8, 7, 6, 5, iPad Air, Pro, Mini (3 FT Pack of 1, Grey)</t>
  </si>
  <si>
    <t>Computers&amp;Accessories|Accessories&amp;Peripherals|Cables&amp;Accessories|Cables|USBCables</t>
  </si>
  <si>
    <t>Create a list of products that have a discount of more than 50%</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</si>
  <si>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</si>
  <si>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</si>
  <si>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</si>
  <si>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</si>
  <si>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</si>
  <si>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</si>
  <si>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</si>
  <si>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</si>
  <si>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</si>
  <si>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</si>
  <si>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</si>
  <si>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</si>
  <si>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</si>
  <si>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</si>
  <si>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Electronics|HomeTheater,TV&amp;Video|Accessories|Cables|HDMICables</t>
  </si>
  <si>
    <t>4,26,973</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</si>
  <si>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</si>
  <si>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</si>
  <si>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</si>
  <si>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</si>
  <si>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Electronics|HomeTheater,TV&amp;Video|Televisions|SmartTelevisions</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</si>
  <si>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</si>
  <si>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</si>
  <si>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</si>
  <si>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</si>
  <si>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</si>
  <si>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</si>
  <si>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</si>
  <si>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</si>
  <si>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</si>
  <si>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</si>
  <si>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</si>
  <si>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</si>
  <si>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</si>
  <si>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</si>
  <si>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</si>
  <si>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</si>
  <si>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</si>
  <si>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</si>
  <si>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</si>
  <si>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</si>
  <si>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 Red, 1 Meter</t>
  </si>
  <si>
    <t>OnePlus 126 cm (50 inches) Y Series 4K Ultra HD Smart Android LED TV 50Y1S Pro (Black)</t>
  </si>
  <si>
    <t>Duracell Type C To Type C 5A (100W) Braided Sync &amp; Fast Charging Cable, 3.9 Feet (1.2M). USB C to C Cable, Supports PD &amp; QC 3.0 Charging, 5 GBPS Data Transmission – Black</t>
  </si>
  <si>
    <t>AmazonBasics USB 2.0 Cable - A-Male to B-Male - for Personal Computer, Printer- 6 Feet (1.8 Meters), Black</t>
  </si>
  <si>
    <t>1,07,687</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</si>
  <si>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</si>
  <si>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</si>
  <si>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</si>
  <si>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</si>
  <si>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</si>
  <si>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</si>
  <si>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</si>
  <si>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</si>
  <si>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</si>
  <si>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</si>
  <si>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</si>
  <si>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</si>
  <si>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</si>
  <si>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</si>
  <si>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Electronics|HomeTheater,TV&amp;Video|Televisions|StandardTelevisions</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</si>
  <si>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</si>
  <si>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</si>
  <si>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</si>
  <si>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</si>
  <si>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</si>
  <si>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</si>
  <si>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</si>
  <si>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</si>
  <si>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</si>
  <si>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</si>
  <si>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</si>
  <si>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</si>
  <si>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</si>
  <si>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</si>
  <si>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</si>
  <si>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Electronics|HomeTheater,TV&amp;Video|Accessories|TVMounts,Stands&amp;Turntables|TVWall&amp;CeilingMounts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</si>
  <si>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</si>
  <si>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</si>
  <si>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</si>
  <si>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</si>
  <si>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</si>
  <si>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</si>
  <si>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</si>
  <si>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</si>
  <si>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</si>
  <si>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</si>
  <si>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</si>
  <si>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</si>
  <si>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</si>
  <si>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</si>
  <si>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</si>
  <si>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</si>
  <si>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</si>
  <si>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</si>
  <si>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</si>
  <si>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</si>
  <si>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</si>
  <si>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</si>
  <si>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</si>
  <si>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</si>
  <si>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</si>
  <si>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</si>
  <si>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</si>
  <si>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</si>
  <si>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</si>
  <si>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</si>
  <si>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</si>
  <si>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</si>
  <si>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</si>
  <si>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</si>
  <si>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</si>
  <si>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</si>
  <si>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</si>
  <si>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</si>
  <si>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</si>
  <si>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</si>
  <si>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</si>
  <si>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</si>
  <si>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</si>
  <si>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</si>
  <si>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</si>
  <si>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</si>
  <si>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</si>
  <si>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</si>
  <si>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</si>
  <si>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</si>
  <si>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</si>
  <si>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</si>
  <si>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</si>
  <si>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</si>
  <si>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</si>
  <si>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</si>
  <si>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</si>
  <si>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</si>
  <si>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 32F53 (Black)</t>
  </si>
  <si>
    <t>7SEVEN® Compatible Lg Smart Tv Remote Suitable for Any LG LED OLED LCD UHD Plasma Android Television and AKB75095303 replacement of Original Lg Tv Remote Control</t>
  </si>
  <si>
    <t>AmazonBasics 3.5mm to 2-Male RCA Adapter Cable For Tablet, Smartphone (Black, 15 feet)</t>
  </si>
  <si>
    <t>Electronics|HomeTheater,TV&amp;Video|Accessories|Cables|RCACables</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</si>
  <si>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</si>
  <si>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</si>
  <si>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</si>
  <si>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Electronics|HomeAudio|Accessories|SpeakerAccessories|Mounts</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</si>
  <si>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</si>
  <si>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</si>
  <si>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</si>
  <si>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</si>
  <si>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</si>
  <si>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</si>
  <si>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</si>
  <si>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</si>
  <si>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</si>
  <si>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</si>
  <si>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</si>
  <si>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1,79,692</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</si>
  <si>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</si>
  <si>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</si>
  <si>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</si>
  <si>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</si>
  <si>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</si>
  <si>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Electronics|HomeTheater,TV&amp;Video|Accessories|Cables|OpticalCables</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</si>
  <si>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</si>
  <si>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</si>
  <si>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</si>
  <si>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</si>
  <si>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</si>
  <si>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</si>
  <si>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 Compatible for Tata Sky Remote Original Set Top 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</si>
  <si>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</si>
  <si>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</si>
  <si>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Electronics|HomeTheater,TV&amp;Video|Projectors</t>
  </si>
  <si>
    <t>ZEBRONICS HAA2021 HDMI version 2.1 cable with 8K @ 60Hz, 4K @ 120Hz, eARC &amp; CEC support, 3D compatible, 2 meters length, 48Gbps max and Gold-plated connectors</t>
  </si>
  <si>
    <t>7SEVEN®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</si>
  <si>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</si>
  <si>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</si>
  <si>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</si>
  <si>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</si>
  <si>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</si>
  <si>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</si>
  <si>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</si>
  <si>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</si>
  <si>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</si>
  <si>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</si>
  <si>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</si>
  <si>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</si>
  <si>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</si>
  <si>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</si>
  <si>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</si>
  <si>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</si>
  <si>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</si>
  <si>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</si>
  <si>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</si>
  <si>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</si>
  <si>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</si>
  <si>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</si>
  <si>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</si>
  <si>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</si>
  <si>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</si>
  <si>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</si>
  <si>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</si>
  <si>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</si>
  <si>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</si>
  <si>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</si>
  <si>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</si>
  <si>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</si>
  <si>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1,78,817</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</si>
  <si>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</si>
  <si>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</si>
  <si>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</si>
  <si>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</si>
  <si>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</si>
  <si>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</si>
  <si>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</si>
  <si>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</si>
  <si>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</si>
  <si>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</si>
  <si>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</si>
  <si>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</si>
  <si>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</si>
  <si>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</si>
  <si>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</si>
  <si>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</si>
  <si>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 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</si>
  <si>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</si>
  <si>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</si>
  <si>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</si>
  <si>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</si>
  <si>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</si>
  <si>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</si>
  <si>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</si>
  <si>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</si>
  <si>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</si>
  <si>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</si>
  <si>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Electronics|HomeAudio|Accessories|Adapters</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</si>
  <si>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</si>
  <si>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</si>
  <si>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</si>
  <si>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</si>
  <si>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</si>
  <si>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</si>
  <si>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Electronics|HomeTheater,TV&amp;Video|SatelliteEquipment|SatelliteReceivers</t>
  </si>
  <si>
    <t>Remote Compatible for Samsung LED/LCD Remote Control Works with Samsung LED/LCD TV by Trend Trail</t>
  </si>
  <si>
    <t>SoniVision SA-D10 SA-D100 SA-D40 Home Theater Systems Remote Compatible with Sony RM-ANU156</t>
  </si>
  <si>
    <t>Rts™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</si>
  <si>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</si>
  <si>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</si>
  <si>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</si>
  <si>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Computers&amp;Accessories|Accessories&amp;Peripherals|Cables&amp;Accessories|Cables|DVICables</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</si>
  <si>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</si>
  <si>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</si>
  <si>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</si>
  <si>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</si>
  <si>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</si>
  <si>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</si>
  <si>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</si>
  <si>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</si>
  <si>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</si>
  <si>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Electronics|HomeTheater,TV&amp;Video|Accessories|Cables|SpeakerCables</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</si>
  <si>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</si>
  <si>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</si>
  <si>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TV’s, Universal Fixed TV Wall Mount Stand (M452)</t>
  </si>
  <si>
    <t>Smashtronics®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</si>
  <si>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</si>
  <si>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</si>
  <si>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</si>
  <si>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</si>
  <si>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</si>
  <si>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</si>
  <si>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£1,39,900</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</si>
  <si>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</si>
  <si>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</si>
  <si>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</si>
  <si>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</si>
  <si>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</si>
  <si>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</si>
  <si>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</si>
  <si>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</si>
  <si>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</si>
  <si>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</si>
  <si>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</si>
  <si>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</si>
  <si>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 Black</t>
  </si>
  <si>
    <t>7SEVEN Compatible LG TV Remote Suitable for LG Non Magic Smart tv Remote Control (Mouse &amp; Voice Non-Support) MR20GA Prime Video and Netflix Hotkeys</t>
  </si>
  <si>
    <t>Realme Smart TV Stick 4K</t>
  </si>
  <si>
    <t>Electronics|HomeAudio|MediaStreamingDevices|StreamingClients</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</si>
  <si>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</si>
  <si>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</si>
  <si>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</si>
  <si>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</si>
  <si>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Electronics|HomeTheater,TV&amp;Video|AVReceivers&amp;Amplifiers</t>
  </si>
  <si>
    <t>KRISONS Thunder Speaker, Multimedia Home Theatre, Floor Standing Speaker, LED Display with Bluetooth, FM, USB, Micro SD Card, AUX Connectivity</t>
  </si>
  <si>
    <t>Electronics|HomeAudio|Speakers|TowerSpeakers</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</si>
  <si>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</si>
  <si>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</si>
  <si>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</si>
  <si>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</si>
  <si>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</si>
  <si>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</si>
  <si>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</si>
  <si>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</si>
  <si>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</si>
  <si>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</si>
  <si>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</si>
  <si>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  Aramid fiber braided 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</si>
  <si>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</si>
  <si>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</si>
  <si>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</si>
  <si>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</si>
  <si>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</si>
  <si>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</si>
  <si>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</si>
  <si>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</si>
  <si>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</si>
  <si>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</si>
  <si>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( 8K@60HZ、4K@120HZ、2K@240HZ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</si>
  <si>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</si>
  <si>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</si>
  <si>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</si>
  <si>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</si>
  <si>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</si>
  <si>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</si>
  <si>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</si>
  <si>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</si>
  <si>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</si>
  <si>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</si>
  <si>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</si>
  <si>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</si>
  <si>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</si>
  <si>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</si>
  <si>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</si>
  <si>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</si>
  <si>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 8K Hdmi 2.1 Cable 48Gbps 9.80Ft/Ultra High Speed Hdmi Braided Cord For Roku Tv/Ps5/Hdtv/Blu-Ray Projector, Laptop, Television, Personal Computer, Xbox, Ps4, Ps5, Ps4 Pro (1 M, Grey)</t>
  </si>
  <si>
    <t>Irusu Play VR Plus Virtual Reality Headset with Headphones for Gaming (Black)</t>
  </si>
  <si>
    <t>Electronics|HomeTheater,TV&amp;Video|Accessories|3DGlasses</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</si>
  <si>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</si>
  <si>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</si>
  <si>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</si>
  <si>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</si>
  <si>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</si>
  <si>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</si>
  <si>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</si>
  <si>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</si>
  <si>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</si>
  <si>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</si>
  <si>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</si>
  <si>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</si>
  <si>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</si>
  <si>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</si>
  <si>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</si>
  <si>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</si>
  <si>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</si>
  <si>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</si>
  <si>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</si>
  <si>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</si>
  <si>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</si>
  <si>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</si>
  <si>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Electronics|WearableTechnology|SmartWatches</t>
  </si>
  <si>
    <t>Fire-Boltt Phoenix Smart Watch with Bluetooth Calling 1.3",120+ Sports Modes, 240*240 PX High Res with SpO2, Heart Rate Monitoring &amp; IP67 Rating</t>
  </si>
  <si>
    <t>boAt Wave Call Smart Watch, Smart Talk with Advanced Dedicated Bluetooth Calling Chip, 1.69” HD Display with 550 NITS &amp; 70% Color Gamut, 150+ Watch Faces, Multi-Sport Modes,HR,SpO2, IP68(Active Black)</t>
  </si>
  <si>
    <t>MI Power Bank 3i 20000mAh Lithium Polymer 18W Fast Power Delivery Charging | Input- Type C | Micro USB| Triple Output | Sandstone Black</t>
  </si>
  <si>
    <t>Electronics|Mobiles&amp;Accessories|MobileAccessories|Chargers|PowerBanks</t>
  </si>
  <si>
    <t>1,78,912</t>
  </si>
  <si>
    <t>Redmi A1 (Light Blue, 2GB RAM, 32GB Storage) | Segment Best AI Dual Cam | 5000mAh Battery | Leather Texture Design | Android 12</t>
  </si>
  <si>
    <t>Electronics|Mobiles&amp;Accessories|Smartphones&amp;BasicMobiles|Smartphones</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</si>
  <si>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</si>
  <si>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</si>
  <si>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</si>
  <si>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</si>
  <si>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 microSDXC™ UHS-I Card, 64GB, 140MB/s R, 10 Y Warranty, for Smartphones</t>
  </si>
  <si>
    <t>Electronics|Accessories|MemoryCards|MicroSD</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</si>
  <si>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</si>
  <si>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</si>
  <si>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Electronics|Mobiles&amp;Accessories|Smartphones&amp;BasicMobiles|BasicMobiles</t>
  </si>
  <si>
    <t>1,28,311</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</si>
  <si>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</si>
  <si>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</si>
  <si>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Electronics|Headphones,Earbuds&amp;Accessories|Headphones|In-Ear</t>
  </si>
  <si>
    <t>1,92,590</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</si>
  <si>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</si>
  <si>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</si>
  <si>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</si>
  <si>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</si>
  <si>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Electronics|Mobiles&amp;Accessories|MobileAccessories|Chargers|AutomobileChargers</t>
  </si>
  <si>
    <t>boAt Bassheads 100 in Ear Wired Earphones with Mic(Taffy Pink)</t>
  </si>
  <si>
    <t>3,63,713</t>
  </si>
  <si>
    <t>SanDisk Ultra® microSDXC™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</si>
  <si>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</si>
  <si>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</si>
  <si>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</si>
  <si>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</si>
  <si>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Electronics|Mobiles&amp;Accessories|MobileAccessories|AutomobileAccessories|Cradles</t>
  </si>
  <si>
    <t>Samsung 25W USB Travel Adapter for Cellular Phones - White</t>
  </si>
  <si>
    <t>Electronics|Mobiles&amp;Accessories|MobileAccessories|Chargers|WallChargers</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</si>
  <si>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</si>
  <si>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</si>
  <si>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</si>
  <si>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</si>
  <si>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</si>
  <si>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</si>
  <si>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</si>
  <si>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</si>
  <si>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</si>
  <si>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3,13,836</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</si>
  <si>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</si>
  <si>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</si>
  <si>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</si>
  <si>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Electronics|Mobiles&amp;Accessories|MobileAccessories|Cables&amp;Adapters|OTGAdapters</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</si>
  <si>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</si>
  <si>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</si>
  <si>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</si>
  <si>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</si>
  <si>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</si>
  <si>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</si>
  <si>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</si>
  <si>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</si>
  <si>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</si>
  <si>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</si>
  <si>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</si>
  <si>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</si>
  <si>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</si>
  <si>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</si>
  <si>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</si>
  <si>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boAt Xtend Smartwatch with Alexa Built-in, 1.69”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</si>
  <si>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</si>
  <si>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</si>
  <si>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Samsung EVO Plus 128GB microSDXC UHS-I U3 130MB/s Full HD &amp; 4K UHD Memory Card with Adapter (MB-MC128KA), Blue</t>
  </si>
  <si>
    <t>1,40,036</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</si>
  <si>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</si>
  <si>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</si>
  <si>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</si>
  <si>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</si>
  <si>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</si>
  <si>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</si>
  <si>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Electronics|Mobiles&amp;Accessories|MobileAccessories|Stands</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</si>
  <si>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</si>
  <si>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</si>
  <si>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</si>
  <si>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</si>
  <si>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</si>
  <si>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</si>
  <si>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</si>
  <si>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</si>
  <si>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</si>
  <si>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</si>
  <si>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</si>
  <si>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</si>
  <si>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</si>
  <si>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</si>
  <si>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</si>
  <si>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</si>
  <si>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</si>
  <si>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</si>
  <si>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Electronics|Mobiles&amp;Accessories|MobileAccessories|Décor</t>
  </si>
  <si>
    <t>Redmi Note 11 (Space Black, 4GB RAM, 64GB Storage)|90Hz FHD+ AMOLED Display | Qualcomm® Snapdragon™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</si>
  <si>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</si>
  <si>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</si>
  <si>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</si>
  <si>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</si>
  <si>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 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</si>
  <si>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</si>
  <si>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</si>
  <si>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</si>
  <si>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</si>
  <si>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1,61,679</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</si>
  <si>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</si>
  <si>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</si>
  <si>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</si>
  <si>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</si>
  <si>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</si>
  <si>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</si>
  <si>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</si>
  <si>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</si>
  <si>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</si>
  <si>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Electronics|Mobiles&amp;Accessories|MobileAccessories|Maintenance,Upkeep&amp;Repairs|ScreenProtectors</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</si>
  <si>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</si>
  <si>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</si>
  <si>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</si>
  <si>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</si>
  <si>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</si>
  <si>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</si>
  <si>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</si>
  <si>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</si>
  <si>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</si>
  <si>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</si>
  <si>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</si>
  <si>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Electronics|Mobiles&amp;Accessories|MobileAccessories|StylusPens</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</si>
  <si>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</si>
  <si>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</si>
  <si>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</si>
  <si>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</si>
  <si>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</si>
  <si>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</si>
  <si>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</si>
  <si>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</si>
  <si>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Electronics|Mobiles&amp;Accessories|MobileAccessories|Mounts|Bedstand&amp;DeskMounts</t>
  </si>
  <si>
    <t>Redmi 9A Sport (Carbon Black, 2GB RAM, 32GB Storage) | 2GHz Octa-core Helio G25 Processor | 5000 mAh Battery</t>
  </si>
  <si>
    <t>3,13,832</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</si>
  <si>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</si>
  <si>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</si>
  <si>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Electronics|Mobiles&amp;Accessories|MobileAccessories|Cases&amp;Covers|BasicCases</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</si>
  <si>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</si>
  <si>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</si>
  <si>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</si>
  <si>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1,92,589</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</si>
  <si>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</si>
  <si>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</si>
  <si>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</si>
  <si>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</si>
  <si>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</si>
  <si>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</si>
  <si>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</si>
  <si>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</si>
  <si>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</si>
  <si>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</si>
  <si>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</si>
  <si>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</si>
  <si>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</si>
  <si>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</si>
  <si>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</si>
  <si>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</si>
  <si>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</si>
  <si>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</si>
  <si>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</si>
  <si>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 Snapdragon™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</si>
  <si>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</si>
  <si>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</si>
  <si>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</si>
  <si>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 microSDXC™ UHS-I Card, 256GB, 150MB/s R, 10 Y Warranty, for Smartphones</t>
  </si>
  <si>
    <t>Redmi Note 11 (Space Black, 6GB RAM, 64GB Storage) | 90Hz FHD+ AMOLED Display | Qualcomm® Snapdragon™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</si>
  <si>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</si>
  <si>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</si>
  <si>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</si>
  <si>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</si>
  <si>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</si>
  <si>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</si>
  <si>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</si>
  <si>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</si>
  <si>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</si>
  <si>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</si>
  <si>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</si>
  <si>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</si>
  <si>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</si>
  <si>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</si>
  <si>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</si>
  <si>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</si>
  <si>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Sounce 360 Adjustable Mobile Phone Holder, Universal Phone Holder Clip Lazy Bracket Flexible Gooseneck Clamp Long Arms Mount for Mobile Tabletop Stand for Bedroom, Office, Bathroom, White</t>
  </si>
  <si>
    <t>OpenTech®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</si>
  <si>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</si>
  <si>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</si>
  <si>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</si>
  <si>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</si>
  <si>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</si>
  <si>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</si>
  <si>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</si>
  <si>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</si>
  <si>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Electronics|Headphones,Earbuds&amp;Accessories|Headphones|On-Ear</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</si>
  <si>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</si>
  <si>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</si>
  <si>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</si>
  <si>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Computers&amp;Accessories|Accessories&amp;Peripherals|LaptopAccessories|CameraPrivacyCovers</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</si>
  <si>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</si>
  <si>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</si>
  <si>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</si>
  <si>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</si>
  <si>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</si>
  <si>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</si>
  <si>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</si>
  <si>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</si>
  <si>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</si>
  <si>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</si>
  <si>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</si>
  <si>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 (Black,20cm)</t>
  </si>
  <si>
    <t>Electronics|Headphones,Earbuds&amp;Accessories|Adapters</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</si>
  <si>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</si>
  <si>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</si>
  <si>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</si>
  <si>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</si>
  <si>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Electronics|Mobiles&amp;Accessories|MobileAccessories|Décor|PhoneCharms</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</si>
  <si>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</si>
  <si>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</si>
  <si>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</si>
  <si>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</si>
  <si>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</si>
  <si>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</si>
  <si>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</si>
  <si>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</si>
  <si>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</si>
  <si>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</si>
  <si>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</si>
  <si>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</si>
  <si>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</si>
  <si>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</si>
  <si>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</si>
  <si>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</si>
  <si>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Electronics|Mobiles&amp;Accessories|MobileAccessories|Mounts|Shower&amp;WallMounts</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</si>
  <si>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</si>
  <si>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</si>
  <si>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</si>
  <si>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</si>
  <si>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</si>
  <si>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</si>
  <si>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3,63,711</t>
  </si>
  <si>
    <t>boAt Airdopes 141 Bluetooth Truly Wireless in Ear Earbuds with mic, 42H Playtime, Beast Mode(Low Latency Upto 80ms) for Gaming, ENx Tech, ASAP Charge, IWP, IPX4 Water Resistance (Bold Black)</t>
  </si>
  <si>
    <t>1,36,954</t>
  </si>
  <si>
    <t>SanDisk Cruzer Blade 32GB USB Flash Drive</t>
  </si>
  <si>
    <t>Computers&amp;Accessories|ExternalDevices&amp;DataStorage|PenDrives</t>
  </si>
  <si>
    <t>2,53,105</t>
  </si>
  <si>
    <t>Logitech B170 Wireless Mouse, 2.4 GHz with USB Nano Receiver, Optical Tracking, 12-Months Battery Life, Ambidextrous, PC/Mac/Laptop - Black</t>
  </si>
  <si>
    <t>Computers&amp;Accessories|Accessories&amp;Peripherals|Keyboards,Mice&amp;InputDevices|Mice</t>
  </si>
  <si>
    <t>Storio Kids Toys LCD Writing Tablet 8.5Inch E-Note Pad Best Birthday Gift for Girls Boys, Multicolor (SC1667)</t>
  </si>
  <si>
    <t>Computers&amp;Accessories|Accessories&amp;Peripherals|Keyboards,Mice&amp;InputDevices|GraphicTablets</t>
  </si>
  <si>
    <t>boAt Airdopes 121v2 in-Ear True Wireless Earbuds with Upto 14 Hours Playback, 8MM Drivers, Battery Indicators, Lightweight Earbuds &amp; Multifunction Controls (Active Black, with Mic)</t>
  </si>
  <si>
    <t>1,80,998</t>
  </si>
  <si>
    <t>SKE Bed Study Table Portable Wood Multifunction Laptop-Table Lapdesk for Children Bed Foldabe Table Work with Tablet Slot &amp; Cup Holder Brown Black</t>
  </si>
  <si>
    <t>Computers&amp;Accessories|Accessories&amp;Peripherals|LaptopAccessories|Lapdesks</t>
  </si>
  <si>
    <t>boAt Rockerz 255 Pro+ in-Ear Bluetooth Neckband with Upto 40 Hours Playback, ASAP  Charge, IPX7, Dual Pairing, BT v5.0, with Mic (Active Black)</t>
  </si>
  <si>
    <t>1,41,841</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</si>
  <si>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</si>
  <si>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</si>
  <si>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ZEBRONICS Zeb-Bro in Ear Wired Earphones with Mic, 3.5mm Audio Jack, 10mm Drivers, Phone/Tablet Compatible(Black)</t>
  </si>
  <si>
    <t>1,92,587</t>
  </si>
  <si>
    <t>boAt Rockerz 450 Bluetooth On Ear Headphones with Mic, Upto 15 Hours Playback, 40MM Drivers, Padded Ear Cushions, Integrated Controls and Dual Modes(Luscious Black)</t>
  </si>
  <si>
    <t>1,07,151</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</si>
  <si>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</si>
  <si>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</si>
  <si>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</si>
  <si>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</si>
  <si>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</si>
  <si>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</si>
  <si>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 Black</t>
  </si>
  <si>
    <t>Computers&amp;Accessories|Accessories&amp;Peripherals|Keyboards,Mice&amp;InputDevices|Keyboards</t>
  </si>
  <si>
    <t>Dell MS116 1000Dpi USB Wired Optical Mouse, Led Tracking, Scrolling Wheel, Plug and Play.</t>
  </si>
  <si>
    <t>Boya ByM1 Auxiliary Omnidirectional Lavalier Condenser Microphone with 20ft Audio Cable (Black)</t>
  </si>
  <si>
    <t>MusicalInstruments|Microphones|Condenser</t>
  </si>
  <si>
    <t>Duracell Ultra Alkaline AA Battery, 8 Pcs</t>
  </si>
  <si>
    <t>Electronics|GeneralPurposeBatteries&amp;BatteryChargers|DisposableBatteries</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</si>
  <si>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</si>
  <si>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</si>
  <si>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3M Scotch Double Sided Heavy Duty Tape(1m holds 4.5Kgs) for indoor hanging applications (Photo frames, Mirrors, Key Holders, Car Interiors, Extension Boards, Wall decoration, etc)(L: 3m, W: 24mm)</t>
  </si>
  <si>
    <t>Home&amp;Kitchen|CraftMaterials|Scrapbooking|Tape</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</si>
  <si>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</si>
  <si>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</si>
  <si>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</si>
  <si>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Computers&amp;Accessories|Accessories&amp;Peripherals|Keyboards,Mice&amp;InputDevices|Keyboard&amp;MouseSets</t>
  </si>
  <si>
    <t>Seagate Expansion 1TB External HDD - USB 3.0 for Windows and Mac with 3 yr Data Recovery Services, Portable Hard Drive (STKM1000400)</t>
  </si>
  <si>
    <t>Computers&amp;Accessories|ExternalDevices&amp;DataStorage|ExternalHardDisks</t>
  </si>
  <si>
    <t>HP w100 480P 30 FPS Digital Webcam with Built-in Mic, Plug and Play Setup, Wide-Angle View for Video Calling on Skype, Zoom, Microsoft Teams and Other Apps (Black)</t>
  </si>
  <si>
    <t>Electronics|Cameras&amp;Photography|VideoCameras</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</si>
  <si>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</si>
  <si>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</si>
  <si>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</si>
  <si>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Electronics|Cameras&amp;Photography|Accessories|Tripods&amp;Monopods|Tabletop&amp;TravelTripods</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</si>
  <si>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</si>
  <si>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</si>
  <si>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</si>
  <si>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1,09,864</t>
  </si>
  <si>
    <t>Casio FX-991ES Plus-2nd Edition Scientific Calculator, Black</t>
  </si>
  <si>
    <t>OfficeProducts|OfficeElectronics|Calculators|Scientific</t>
  </si>
  <si>
    <t>TP-Link AC750 Wifi Range Extender | Up to 750Mbps | Dual Band WiFi Extender, Repeater, Wifi Signal Booster, Access Point| Easy Set-Up | Extends Wifi to Smart Home &amp; Alexa Devices (RE200)</t>
  </si>
  <si>
    <t>Computers&amp;Accessories|NetworkingDevices|Repeaters&amp;Extenders</t>
  </si>
  <si>
    <t>boAt Bassheads 242 in Ear Wired Earphones with Mic(Blue)</t>
  </si>
  <si>
    <t>1,61,677</t>
  </si>
  <si>
    <t>DIGITEK® (DTR 260 GT) Gorilla Tripod/Mini 33 cm (13 Inch) Tripod for Mobile Phone with Phone Mount &amp; Remote, Flexible Gorilla Stand for DSLR &amp; Action Cameras</t>
  </si>
  <si>
    <t>Electronics|Cameras&amp;Photography|Accessories|Tripods&amp;Monopods|TripodLegs</t>
  </si>
  <si>
    <t>1,40,035</t>
  </si>
  <si>
    <t>HP 805 Black Original Ink Cartridge</t>
  </si>
  <si>
    <t>Computers&amp;Accessories|Printers,Inks&amp;Accessories|Inks,Toners&amp;Cartridges|InkjetInkCartridges</t>
  </si>
  <si>
    <t>GIZGA essentials Universal Silicone Keyboard Protector Skin for 15.6-inches Laptop (5 x 6 x 3 inches)</t>
  </si>
  <si>
    <t>Computers&amp;Accessories|Accessories&amp;Peripherals|Keyboards,Mice&amp;InputDevices|Keyboard&amp;MiceAccessories|DustCovers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</si>
  <si>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</si>
  <si>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</si>
  <si>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</si>
  <si>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</si>
  <si>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</si>
  <si>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</si>
  <si>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Computers&amp;Accessories|Accessories&amp;Peripherals|PCGamingPeripherals|GamingMice</t>
  </si>
  <si>
    <t>PIDILITE Fevicryl Acrylic Colours Sunflower Kit (10 Colors x 15 ml) DIY Paint, Rich Pigment, Non-Craking Paint for Canvas, Wood, Leather, Earthenware, Metal, Diwali Gifts for Diwali</t>
  </si>
  <si>
    <t>Home&amp;Kitchen|CraftMaterials|PaintingMaterials|Paints</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</si>
  <si>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</si>
  <si>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</si>
  <si>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Gizga Essentials Hard Drive Case Shell, 6.35cm/2.5-inch, Portable Storage Organizer Bag for Earphone USB Cable Power Bank Mobile Charger Digital Gadget Hard Disk, Water Resistance Material, Black</t>
  </si>
  <si>
    <t>Computers&amp;Accessories|Accessories&amp;Peripherals|HardDiskBags</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</si>
  <si>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</si>
  <si>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</si>
  <si>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1,03,052</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</si>
  <si>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</si>
  <si>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</si>
  <si>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Electronics|Cameras&amp;Photography|Flashes|Macro&amp;RinglightFlashes</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</si>
  <si>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</si>
  <si>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</si>
  <si>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Computers&amp;Accessories|NetworkingDevices</t>
  </si>
  <si>
    <t>TP-Link Archer AC1200 Archer C6 Wi-Fi Speed Up to 867 Mbps/5 GHz + 400 Mbps/2.4 GHz, 5 Gigabit Ports, 4 External Antennas, MU-MIMO, Dual Band, WiFi Coverage with Access Point Mode, Black</t>
  </si>
  <si>
    <t>Computers&amp;Accessories|NetworkingDevices|Routers</t>
  </si>
  <si>
    <t>boAt Rockerz 550 Over Ear Bluetooth Headphones with Upto 20 Hours Playback, 50MM Drivers, Soft Padded Ear Cushions and Physical Noise Isolation, Without Mic (Black)</t>
  </si>
  <si>
    <t>Electronics|Headphones,Earbuds&amp;Accessories|Headphones|Over-Ear</t>
  </si>
  <si>
    <t>Xiaomi Mi Wired in Ear Earphones with Mic Basic with Ultra Deep Bass &amp; Aluminum Alloy Sound Chamber (Black)</t>
  </si>
  <si>
    <t>1,19,466</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</si>
  <si>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</si>
  <si>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</si>
  <si>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</si>
  <si>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</si>
  <si>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</si>
  <si>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Electronics|HomeAudio|Speakers|BluetoothSpeakers</t>
  </si>
  <si>
    <t>Panasonic CR-2032/5BE Lithium Coin Battery - Pack of 5</t>
  </si>
  <si>
    <t>Electronics|GeneralPurposeBatteries&amp;BatteryChargers</t>
  </si>
  <si>
    <t>MemeHo®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</si>
  <si>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</si>
  <si>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9.4”x 7.9”,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</si>
  <si>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</si>
  <si>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</si>
  <si>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</si>
  <si>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</si>
  <si>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</si>
  <si>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4,26,972</t>
  </si>
  <si>
    <t>Classmate Soft Cover 6 Subject Spiral Binding Notebook, Single Line, 300 Pages</t>
  </si>
  <si>
    <t>OfficeProducts|OfficePaperProducts|Paper|Stationery|Notebooks,WritingPads&amp;Diaries|WireboundNotebooks</t>
  </si>
  <si>
    <t>HP 150 Wireless USB Mouse with Ergonomic and ambidextrous Design, 1600 DPI Optical Tracking, 2.4 GHz Wireless connectivity, Dual-Function Scroll Wheel and 12 Month Long Battery Life. 3-Years Warranty.</t>
  </si>
  <si>
    <t>Duracell Rechargeable AA 1300mAh Batteries, 4Pcs</t>
  </si>
  <si>
    <t>Electronics|GeneralPurposeBatteries&amp;BatteryChargers|RechargeableBatteries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</si>
  <si>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</si>
  <si>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</si>
  <si>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Computers&amp;Accessories|NetworkingDevices|NetworkAdapters|BluetoothAdapters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</si>
  <si>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</si>
  <si>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</si>
  <si>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</si>
  <si>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</si>
  <si>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</si>
  <si>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</si>
  <si>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</si>
  <si>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TP-Link TL-WA850RE Single_Band 300Mbps RJ45 Wireless Range Extender, Broadband/Wi-Fi Extender, Wi-Fi Booster/Hotspot with 1 Ethernet Port, Plug and Play, Built-in Access Point Mode, White</t>
  </si>
  <si>
    <t>1,56,638</t>
  </si>
  <si>
    <t>COI Note Pad/Memo Book with Sticky Notes &amp; Clip Holder with Pen for Gifting</t>
  </si>
  <si>
    <t>OfficeProducts|OfficePaperProducts|Paper|Stationery|Notebooks,WritingPads&amp;Diaries|Notepads&amp;MemoBooks</t>
  </si>
  <si>
    <t>Fujifilm Instax Mini Single Pack 10 Sheets Instant Film for Fuji Instant Cameras</t>
  </si>
  <si>
    <t>Electronics|Cameras&amp;Photography|Accessories|Film</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</si>
  <si>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</si>
  <si>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</si>
  <si>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</si>
  <si>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</si>
  <si>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</si>
  <si>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Computers&amp;Accessories|Monitors</t>
  </si>
  <si>
    <t>E-COSMOS 5V 1.2W Portable Flexible USB LED Light (Colors May Vary, Small) - Set of 2 Pieces</t>
  </si>
  <si>
    <t>Computers&amp;Accessories|Accessories&amp;Peripherals|USBGadgets|Lamps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</si>
  <si>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</si>
  <si>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</si>
  <si>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</si>
  <si>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</si>
  <si>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</si>
  <si>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Electronics|Cameras&amp;Photography|Accessories|Cleaners|CleaningKits</t>
  </si>
  <si>
    <t>SanDisk Ultra Dual 64 GB USB 3.0 OTG Pen Drive (Black)</t>
  </si>
  <si>
    <t>1,89,104</t>
  </si>
  <si>
    <t>TP-Link Tapo 360° 2MP 1080p Full HD Pan/Tilt Home Security Wi-Fi Smart Camera| Alexa Enabled| 2-Way Audio| Night Vision| Motion Detection| Sound and Light Alarm| Indoor CCTV (Tapo C200) White</t>
  </si>
  <si>
    <t>Electronics|Cameras&amp;Photography|SecurityCameras|DomeCameras</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</si>
  <si>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</si>
  <si>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</si>
  <si>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</si>
  <si>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</si>
  <si>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</si>
  <si>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</si>
  <si>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</si>
  <si>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</si>
  <si>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</si>
  <si>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Computers&amp;Accessories|Accessories&amp;Peripherals|TabletAccessories|ScreenProtectors</t>
  </si>
  <si>
    <t>Redgear Pro Wireless Gamepad with 2.4GHz Wireless Technology, Integrated Dual Intensity Motor, Illuminated Keys for PC(Compatible with Windows 7/8/8.1/10 only)</t>
  </si>
  <si>
    <t>Computers&amp;Accessories|Accessories&amp;Peripherals|PCGamingPeripherals|Gamepads</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</si>
  <si>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</si>
  <si>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</si>
  <si>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1,22,478</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</si>
  <si>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</si>
  <si>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</si>
  <si>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</si>
  <si>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OfficeProducts|OfficeElectronics|Calculators|Basic</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</si>
  <si>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</si>
  <si>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</si>
  <si>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</si>
  <si>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</si>
  <si>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Computers&amp;Accessories|Accessories&amp;Peripherals|USBHubs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</si>
  <si>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</si>
  <si>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</si>
  <si>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</si>
  <si>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</si>
  <si>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Computers&amp;Accessories|Accessories&amp;Peripherals|Audio&amp;VideoAccessories|PCMicrophones</t>
  </si>
  <si>
    <t>Fire-Boltt India's No 1 Smartwatch Brand Ring Bluetooth Calling with SpO2 &amp; 1.7”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</si>
  <si>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</si>
  <si>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</si>
  <si>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</si>
  <si>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</si>
  <si>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Electronics|HomeAudio|Speakers|OutdoorSpeakers</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</si>
  <si>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</si>
  <si>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</si>
  <si>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</si>
  <si>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</si>
  <si>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TP-Link AC750 Dual Band Wireless Cable Router, 4 10/100 LAN + 10/100 WAN Ports, Support Guest Network and Parental Control, 750Mbps Speed Wi-Fi, 3 Antennas (Archer C20) Blue, 2.4 GHz</t>
  </si>
  <si>
    <t>Parker Quink Ink Bottle, Blue</t>
  </si>
  <si>
    <t>OfficeProducts|OfficePaperProducts|Paper|Stationery|Pens,Pencils&amp;WritingSupplies|Pens&amp;Refills|BottledInk</t>
  </si>
  <si>
    <t>STRIFF Laptop Stand Adjustable Laptop Computer Stand Multi-Angle Stand Phone Stand Portable Foldable Laptop Riser Notebook Holder Stand Compatible for 9 to 15.6” Laptops Black(Black)</t>
  </si>
  <si>
    <t>Logitech MK215 Wireless Keyboard and Mouse Combo for Windows, 2.4 GHz Wireless, Compact Design, 2-Year Battery Life(Keyboard),5 Month Battery Life(Mouse) PC/Laptop- Black</t>
  </si>
  <si>
    <t>boAt Bassheads 225 in Ear Wired Earphones with Mic(Blue)</t>
  </si>
  <si>
    <t>2,73,189</t>
  </si>
  <si>
    <t>Luxor 5 Subject Single Ruled Notebook - A4, 70 GSM, 300 pages</t>
  </si>
  <si>
    <t>OfficeProducts|OfficePaperProducts|Paper|Stationery|Notebooks,WritingPads&amp;Diaries|CompositionNotebooks</t>
  </si>
  <si>
    <t>Duracell Chhota Power AA Battery Set of 10 Pcs</t>
  </si>
  <si>
    <t>Zebronics Zeb-Transformer Gaming Keyboard and Mouse Combo (USB, Braided Cable)</t>
  </si>
  <si>
    <t>SanDisk Ultra 64 GB USB Pen Drives (SDDDC2-064G-I35, Black, Silver)</t>
  </si>
  <si>
    <t>Parker Classic Gold Gold Trim Ball Pen</t>
  </si>
  <si>
    <t>OfficeProducts|OfficePaperProducts|Paper|Stationery|Pens,Pencils&amp;WritingSupplies|Pens&amp;Refills|RetractableBallpointPens</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</si>
  <si>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</si>
  <si>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</si>
  <si>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</si>
  <si>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</si>
  <si>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</si>
  <si>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</si>
  <si>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</si>
  <si>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</si>
  <si>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</si>
  <si>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Computers&amp;Accessories|Components|Memory</t>
  </si>
  <si>
    <t>APC Back-UPS BX600C-IN 600VA / 360W, 230V, UPS System, an Ideal Power Backup &amp; Protection for Home Office, Desktop PC &amp; Home Electronics</t>
  </si>
  <si>
    <t>Computers&amp;Accessories|Accessories&amp;Peripherals|UninterruptedPowerSupplies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</si>
  <si>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</si>
  <si>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</si>
  <si>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 Type C Fast Charging (10 Min=100Mins), BoomX™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</si>
  <si>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</si>
  <si>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</si>
  <si>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</si>
  <si>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</si>
  <si>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</si>
  <si>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</si>
  <si>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Electronics|Headphones,Earbuds&amp;Accessories|Cases</t>
  </si>
  <si>
    <t>SanDisk Ultra SDHC UHS-I Card 32GB 120MB/s R for DSLR Cameras, for Full HD Recording, 10Y Warranty</t>
  </si>
  <si>
    <t>Electronics|Accessories|MemoryCards|SecureDigitalCards</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</si>
  <si>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</si>
  <si>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</si>
  <si>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</si>
  <si>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</si>
  <si>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</si>
  <si>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</si>
  <si>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</si>
  <si>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</si>
  <si>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</si>
  <si>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</si>
  <si>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</si>
  <si>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Computers&amp;Accessories|Accessories&amp;Peripherals|LaptopAccessories|CoolingPads</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</si>
  <si>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</si>
  <si>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</si>
  <si>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</si>
  <si>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</si>
  <si>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Computers&amp;Accessories|Accessories&amp;Peripherals|LaptopAccessories</t>
  </si>
  <si>
    <t>GIZGA Essentials Portable Tabletop Tablet Stand Mobile Holder, Desktop Stand, Cradle, Dock for iPad, Smartphone, Kindle, E-Reader, Fully Foldable, Adjustable Angle, Anti-Slip Pads, Black</t>
  </si>
  <si>
    <t>Computers&amp;Accessories|Accessories&amp;Peripherals|TabletAccessories|Stands</t>
  </si>
  <si>
    <t>boAt Stone 650 10W Bluetooth Speaker with Upto 7 Hours Playback, IPX5 and Integrated Controls (Blue)</t>
  </si>
  <si>
    <t>ESnipe Mart Worldwide Travel Adapter with Build in Dual USB Charger Ports with 125V 6A, 250V Protected Electrical Plug for Laptops, Cameras (White)</t>
  </si>
  <si>
    <t>HomeImprovement|Electrical|Adapters&amp;Multi-Outlets</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</si>
  <si>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</si>
  <si>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</si>
  <si>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</si>
  <si>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OfficeProducts|OfficePaperProducts|Paper|Copy&amp;PrintingPaper|ColouredPaper</t>
  </si>
  <si>
    <t>Cuzor 12V Mini ups for WiFi Router | Power Backup up to 4 Hours | Replaceable Battery | Ups for Wi-Fi Router and Modem | Ups for Router up to 2A | ups for uninterrupted wi-fi</t>
  </si>
  <si>
    <t>Crucial BX500 240GB 3D NAND SATA 6.35 cm (2.5-inch) SSD (CT240BX500SSD1)</t>
  </si>
  <si>
    <t>Computers&amp;Accessories|Components|InternalSolidStateDrives</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</si>
  <si>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</si>
  <si>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</si>
  <si>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</si>
  <si>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</si>
  <si>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 Black, for Windows and Mac, with 3 yr Data Recovery Services, and 4 Months Adobe CC Photography (STKY2000400)</t>
  </si>
  <si>
    <t>ZEBRONICS Zeb-Fame 5watts 2.0 Multi Media Speakers with AUX, USB and Volume Control (Black)</t>
  </si>
  <si>
    <t>Electronics|HomeAudio|Speakers|MultimediaSpeakerSystems</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</si>
  <si>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</si>
  <si>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</si>
  <si>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</si>
  <si>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</si>
  <si>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</si>
  <si>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</si>
  <si>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</si>
  <si>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</si>
  <si>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</si>
  <si>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</si>
  <si>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Computers&amp;Accessories|NetworkingDevices|DataCards&amp;Dongles</t>
  </si>
  <si>
    <t>Gizga Essentials Laptop Power Cable Cord- 3 Pin Adapter Isi Certified(1 Meter/3.3 Feet)</t>
  </si>
  <si>
    <t>Computers&amp;Accessories|Accessories&amp;Peripherals|LaptopAccessories|LaptopChargers&amp;PowerSupplies</t>
  </si>
  <si>
    <t>Logitech MK270r USB Wireless Keyboard and Mouse Set for Windows, 2.4 GHz Wireless, Spill-resistant Design, 8 Multimedia &amp; Shortcut Keys, 2-Year Battery Life, PC/Laptop- Black</t>
  </si>
  <si>
    <t>DIGITEK®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</si>
  <si>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</si>
  <si>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</si>
  <si>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</si>
  <si>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</si>
  <si>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</si>
  <si>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</si>
  <si>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</si>
  <si>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</si>
  <si>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</si>
  <si>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Computers&amp;Accessories|Accessories&amp;Peripherals|Audio&amp;VideoAccessories|PCSpeakers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</si>
  <si>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</si>
  <si>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</si>
  <si>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</si>
  <si>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Electronics|Cameras&amp;Photography|Accessories|Batteries&amp;Chargers|BatteryChargers</t>
  </si>
  <si>
    <t>ProElite Faux Leather Smart Flip Case Cover for Apple iPad 10.2" 9th Gen (2021) / 8th Gen / 7th Gen with Stylus Pen, Black</t>
  </si>
  <si>
    <t>Computers&amp;Accessories|Accessories&amp;Peripherals|TabletAccessories|Bags,Cases&amp;Sleeves|Cases</t>
  </si>
  <si>
    <t>Classmate Pulse 6 Subject Notebook - Unruled, 300 Pages, Spiral Binding, 240mm*180mm</t>
  </si>
  <si>
    <t>Pentonic Multicolor Ball Point Pen, Pack of 10</t>
  </si>
  <si>
    <t>OfficeProducts|OfficePaperProducts|Paper|Stationery|Pens,Pencils&amp;WritingSupplies|Pens&amp;Refills|StickBallpointPens</t>
  </si>
  <si>
    <t>1,07,686</t>
  </si>
  <si>
    <t>Logitech Pebble M350 Wireless Mouse with Bluetooth or USB - Silent, Slim Computer Mouse with Quiet Click for Laptop, Notebook, PC and Mac - Graphite</t>
  </si>
  <si>
    <t>Apsara Platinum Pencils Value Pack - Pack of 20</t>
  </si>
  <si>
    <t>Home&amp;Kitchen|CraftMaterials|DrawingMaterials|DrawingMedia|Pencils|WoodenPencils</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</si>
  <si>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</si>
  <si>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</si>
  <si>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</si>
  <si>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 Tech Equipped Quad Mics, Beast™ Mode(Low Latency- 65ms) for Gaming, 2x6mm Dual Drivers, 30H Playtime, IPX5, IWP™,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</si>
  <si>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</si>
  <si>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</si>
  <si>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</si>
  <si>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</si>
  <si>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Computers&amp;Accessories|Components|InternalHardDrives</t>
  </si>
  <si>
    <t>SanDisk Extreme SD UHS I 64GB Card for 4K Video for DSLR and Mirrorless Cameras 170MB/s Read &amp; 80MB/s Write</t>
  </si>
  <si>
    <t>2,05,052</t>
  </si>
  <si>
    <t>Fire-Boltt Ring Pro Bluetooth Calling, 1.75”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</si>
  <si>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</si>
  <si>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</si>
  <si>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</si>
  <si>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</si>
  <si>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</si>
  <si>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</si>
  <si>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</si>
  <si>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Computers&amp;Accessories|Printers,Inks&amp;Accessories|Printers</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</si>
  <si>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</si>
  <si>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</si>
  <si>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</si>
  <si>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</si>
  <si>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</si>
  <si>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</si>
  <si>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</si>
  <si>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</si>
  <si>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</si>
  <si>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</si>
  <si>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</si>
  <si>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</si>
  <si>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</si>
  <si>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</si>
  <si>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</si>
  <si>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</si>
  <si>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</si>
  <si>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</si>
  <si>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Home&amp;Kitchen|CraftMaterials|DrawingMaterials|DrawingMedia|Pens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</si>
  <si>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</si>
  <si>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</si>
  <si>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</si>
  <si>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</si>
  <si>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Computers&amp;Accessories|Accessories&amp;Peripherals|Cables&amp;Accessories|Cables|SATACables</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</si>
  <si>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</si>
  <si>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</si>
  <si>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</si>
  <si>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</si>
  <si>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</si>
  <si>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</si>
  <si>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Computers&amp;Accessories|Accessories&amp;Peripherals|Audio&amp;VideoAccessories|PCHeadsets</t>
  </si>
  <si>
    <t>Redragon K617 Fizz 60% Wired RGB Gaming Keyboard, 61 Keys Compact Mechanical Keyboard w/White and Grey Color Keycaps, Linear Red Switch, Pro Driver/Software Supported</t>
  </si>
  <si>
    <t>Computers&amp;Accessories|Accessories&amp;Peripherals|PCGamingPeripherals|GamingKeyboards</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</si>
  <si>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</si>
  <si>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</si>
  <si>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</si>
  <si>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Electronics|HomeAudio|Speakers|SoundbarSpeakers</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</si>
  <si>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</si>
  <si>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</si>
  <si>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</si>
  <si>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</si>
  <si>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</si>
  <si>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</si>
  <si>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</si>
  <si>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</si>
  <si>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Electronics|Headphones,Earbuds&amp;Accessories|Earpads</t>
  </si>
  <si>
    <t>Canon PIXMA MG2577s All-in-One Inkjet Colour Printer with 1 Additional Colour Cartridge</t>
  </si>
  <si>
    <t>Computers&amp;Accessories|Printers,Inks&amp;Accessories|Printers|InkjetPrinters</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</si>
  <si>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</si>
  <si>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</si>
  <si>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</si>
  <si>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Toys&amp;Games|Arts&amp;Crafts|Drawing&amp;PaintingSupplies|ColouringPens&amp;Markers</t>
  </si>
  <si>
    <t>Zinq UPS for Router, Mini UPS for 12V WiFi Router Broadband Modem with Upto 4 Hours Power Backup, Upto 2Amp, Works with Existing Adapter, Also Works with Set-top Box, Smart Camera, CCTV (Black)</t>
  </si>
  <si>
    <t>SaleOn™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</si>
  <si>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</si>
  <si>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</si>
  <si>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</si>
  <si>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</si>
  <si>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</si>
  <si>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</si>
  <si>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</si>
  <si>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</si>
  <si>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</si>
  <si>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</si>
  <si>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</si>
  <si>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Computers&amp;Accessories|NetworkingDevices|NetworkAdapters|PowerLANAdapters</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</si>
  <si>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</si>
  <si>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</si>
  <si>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</si>
  <si>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Computers&amp;Accessories|Printers,Inks&amp;Accessories|Inks,Toners&amp;Cartridges|InkjetInkRefills&amp;Kits</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</si>
  <si>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</si>
  <si>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</si>
  <si>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</si>
  <si>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</si>
  <si>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</si>
  <si>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</si>
  <si>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OfficeProducts|OfficePaperProducts|Paper|Stationery|Notebooks,WritingPads&amp;Diaries</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</si>
  <si>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</si>
  <si>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</si>
  <si>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Classmate Pulse 1 Subject Notebook - 240mm x 180mm , Soft Cover, 180 Pages, Single Line, Pack of 4</t>
  </si>
  <si>
    <t>Scarters Mouse Pad, Desk Mat Extended for Work from Home/Office/Gaming | Vegan PU Leather | Anti-Skid, Anti-Slip, Reversible Splash-Proof – Deskspread ~ Navy Blue &amp; Yellow</t>
  </si>
  <si>
    <t>Casio MJ-120D 150 Steps Check and Correct Desktop Calculator with Tax Keys, Black</t>
  </si>
  <si>
    <t>OfficeProducts|OfficeElectronics|Calculators|Financial&amp;Business</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</si>
  <si>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</si>
  <si>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</si>
  <si>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</si>
  <si>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</si>
  <si>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</si>
  <si>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</si>
  <si>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</si>
  <si>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</si>
  <si>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</si>
  <si>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</si>
  <si>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</si>
  <si>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</si>
  <si>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</si>
  <si>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Electronics|PowerAccessories|SurgeProtectors</t>
  </si>
  <si>
    <t>Classmate Long Book - Unruled, 160 Pages, 314 mm x 194 mm - Pack Of 3</t>
  </si>
  <si>
    <t>Artis AR-45W-MG2 45 Watts MG2 Laptop Adapter/Charger Compatible with MB Air 13” &amp; MB Air 11”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</si>
  <si>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</si>
  <si>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</si>
  <si>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</si>
  <si>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Computers&amp;Accessories|Tablets</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</si>
  <si>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</si>
  <si>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</si>
  <si>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</si>
  <si>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</si>
  <si>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</si>
  <si>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HomeImprovement|Electrical|CordManagement</t>
  </si>
  <si>
    <t>Camel Oil Pastel with Reusable Plastic Box - 50 Shades</t>
  </si>
  <si>
    <t>Home&amp;Kitchen|CraftMaterials|PaintingMaterials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</si>
  <si>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</si>
  <si>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</si>
  <si>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Computers&amp;Accessories|Printers,Inks&amp;Accessories|Inks,Toners&amp;Cartridges|TonerCartridges</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</si>
  <si>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</si>
  <si>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</si>
  <si>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</si>
  <si>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</si>
  <si>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OfficeProducts|OfficePaperProducts|Paper|Stationery|Pens,Pencils&amp;WritingSupplies|Pens&amp;Refills|LiquidInkRollerballPens</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</si>
  <si>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</si>
  <si>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</si>
  <si>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</si>
  <si>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</si>
  <si>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</si>
  <si>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</si>
  <si>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</si>
  <si>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</si>
  <si>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</si>
  <si>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</si>
  <si>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</si>
  <si>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OfficeProducts|OfficePaperProducts|Paper|Stationery|Pens,Pencils&amp;WritingSupplies|Pens&amp;Refills|FountainPens</t>
  </si>
  <si>
    <t>CARECASE® Optical Bay 2nd Hard Drive Caddy, 9.5 mm CD/DVD Drive Slot for SSD and HDD</t>
  </si>
  <si>
    <t>Computers&amp;Accessories|Accessories&amp;Peripherals|HardDriveAccessories|Caddies</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</si>
  <si>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</si>
  <si>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</si>
  <si>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</si>
  <si>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</si>
  <si>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</si>
  <si>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</si>
  <si>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Computers&amp;Accessories|Laptops|TraditionalLaptops</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</si>
  <si>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</si>
  <si>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</si>
  <si>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</si>
  <si>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</si>
  <si>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</si>
  <si>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</si>
  <si>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</si>
  <si>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USHA Quartz Room Heater with Overheating Protection (3002, Ivory, 800 Watts)</t>
  </si>
  <si>
    <t>Home&amp;Kitchen|Heating,Cooling&amp;AirQuality|RoomHeaters|ElectricHeaters</t>
  </si>
  <si>
    <t>Amazon Brand - Solimo 2000/1000 Watts Room Heater with Adjustable Thermostat (ISI certified, White colour, Ideal for small to medium room/area)</t>
  </si>
  <si>
    <t>Home&amp;Kitchen|Heating,Cooling&amp;AirQuality|RoomHeaters|FanHeaters</t>
  </si>
  <si>
    <t>StyleHouse Lint Remover for Woolen Clothes, Electric Lint Remover, Best Lint Shaver for Clothes</t>
  </si>
  <si>
    <t>Home&amp;Kitchen|Kitchen&amp;HomeAppliances|Vacuum,Cleaning&amp;Ironing|Irons,Steamers&amp;Accessories|LintShavers</t>
  </si>
  <si>
    <t>beatXP Kitchen Scale Multipurpose Portable Electronic Digital Weighing Scale | Weight Machine With Back light LCD Display | White |10 kg | 2 Year Warranty |</t>
  </si>
  <si>
    <t>Home&amp;Kitchen|Kitchen&amp;HomeAppliances|SmallKitchenAppliances|DigitalKitchenScales</t>
  </si>
  <si>
    <t>Glun Multipurpose Portable Electronic Digital Weighing Scale Weight Machine (10 Kg - with Back Light)</t>
  </si>
  <si>
    <t>Pigeon Polypropylene Mini Handy and Compact Chopper with 3 Blades for Effortlessly Chopping Vegetables and Fruits for Your Kitchen (12420, Green, 400 ml)</t>
  </si>
  <si>
    <t>Home&amp;Kitchen|Kitchen&amp;Dining|KitchenTools|ManualChoppers&amp;Chippers|Choppers</t>
  </si>
  <si>
    <t>2,70,563</t>
  </si>
  <si>
    <t>Prestige 1.5 Litre Kettle 1500-watts, Red</t>
  </si>
  <si>
    <t>Bajaj RHX-2 800-Watt Room Heater (White)</t>
  </si>
  <si>
    <t>Prestige Electric Kettle PKOSS - 1500watts, Steel (1.5Ltr), Black</t>
  </si>
  <si>
    <t>Pigeon by Stovekraft Cruise 1800 watt Induction Cooktop (Black)</t>
  </si>
  <si>
    <t>Home&amp;Kitchen|Kitchen&amp;HomeAppliances|SmallKitchenAppliances|InductionCooktop</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</si>
  <si>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</si>
  <si>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</si>
  <si>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</si>
  <si>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</si>
  <si>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Home&amp;Kitchen|Kitchen&amp;HomeAppliances|SmallKitchenAppliances|HandBlenders</t>
  </si>
  <si>
    <t>Bajaj DX-6 1000W Dry Iron with Advance Soleplate and Anti-bacterial German Coating Technology, White</t>
  </si>
  <si>
    <t>Home&amp;Kitchen|Kitchen&amp;HomeAppliances|Vacuum,Cleaning&amp;Ironing|Irons,Steamers&amp;Accessories|Irons|DryIrons</t>
  </si>
  <si>
    <t>Croma 500W Mixer Grinder with 3 Stainless Steel Leak-proof Jars, 3 speed &amp; Pulse function, 2 years warranty (CRAK4184, White &amp; Purple)</t>
  </si>
  <si>
    <t>Home&amp;Kitchen|Kitchen&amp;HomeAppliances|SmallKitchenAppliances|MixerGrinders</t>
  </si>
  <si>
    <t>Havells Instanio 3-Litre Instant Geyser (White/Blue)</t>
  </si>
  <si>
    <t>Home&amp;Kitchen|Heating,Cooling&amp;AirQuality|WaterHeaters&amp;Geysers|InstantWaterHeaters</t>
  </si>
  <si>
    <t>Morphy Richards OFR Room Heater, 09 Fin 2000 Watts Oil Filled Room Heater , ISI Approved (OFR 9 Grey)</t>
  </si>
  <si>
    <t>Home&amp;Kitchen|Heating,Cooling&amp;AirQuality|RoomHeaters</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</si>
  <si>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</si>
  <si>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</si>
  <si>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</si>
  <si>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</si>
  <si>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</si>
  <si>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</si>
  <si>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</si>
  <si>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</si>
  <si>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</si>
  <si>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</si>
  <si>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</si>
  <si>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</si>
  <si>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</si>
  <si>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Home&amp;Kitchen|Heating,Cooling&amp;AirQuality|WaterHeaters&amp;Geysers|ImmersionRods</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</si>
  <si>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</si>
  <si>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</si>
  <si>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</si>
  <si>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Home&amp;Kitchen|Kitchen&amp;HomeAppliances|SmallKitchenAppliances|DeepFatFryers|AirFryers</t>
  </si>
  <si>
    <t>PrettyKrafts Laundry Basket for clothes with Lid &amp; Handles, Toys Organiser, 75 Ltr Black &amp; Grey</t>
  </si>
  <si>
    <t>Home&amp;Kitchen|HomeStorage&amp;Organization|LaundryOrganization|LaundryBaskets</t>
  </si>
  <si>
    <t>Philips GC1905 1440-Watt Steam Iron with Spray (Blue)</t>
  </si>
  <si>
    <t>Home&amp;Kitchen|Kitchen&amp;HomeAppliances|Vacuum,Cleaning&amp;Ironing|Irons,Steamers&amp;Accessories|Irons|SteamIrons</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</si>
  <si>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</si>
  <si>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</si>
  <si>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</si>
  <si>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</si>
  <si>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Home&amp;Kitchen|Kitchen&amp;HomeAppliances|SmallKitchenAppliances|JuicerMixerGrinders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</si>
  <si>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</si>
  <si>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</si>
  <si>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</si>
  <si>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Home&amp;Kitchen|Kitchen&amp;HomeAppliances|Vacuum,Cleaning&amp;Ironing|Vacuums&amp;FloorCare|Vacuums|HandheldVacuums</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</si>
  <si>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</si>
  <si>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</si>
  <si>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</si>
  <si>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</si>
  <si>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</si>
  <si>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</si>
  <si>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Home&amp;Kitchen|Kitchen&amp;HomeAppliances|SmallKitchenAppliances|EggBoilers</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</si>
  <si>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</si>
  <si>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</si>
  <si>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</si>
  <si>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Home&amp;Kitchen|Kitchen&amp;HomeAppliances|SmallKitchenAppliances|SandwichMakers</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</si>
  <si>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</si>
  <si>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</si>
  <si>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</si>
  <si>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</si>
  <si>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</si>
  <si>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</si>
  <si>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</si>
  <si>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</si>
  <si>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</si>
  <si>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</si>
  <si>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</si>
  <si>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</si>
  <si>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</si>
  <si>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Home&amp;Kitchen|Kitchen&amp;HomeAppliances|SmallKitchenAppliances|MiniFoodProcessors&amp;Choppers</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</si>
  <si>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</si>
  <si>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</si>
  <si>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</si>
  <si>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</si>
  <si>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</si>
  <si>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</si>
  <si>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</si>
  <si>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</si>
  <si>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</si>
  <si>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</si>
  <si>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Home&amp;Kitchen|Kitchen&amp;HomeAppliances|SmallKitchenAppliances|VacuumSealers</t>
  </si>
  <si>
    <t>Orient Electric Apex-FX 1200mm Ultra High Speed 400 RPM Ceiling Fan (Brown)</t>
  </si>
  <si>
    <t>Home&amp;Kitchen|Heating,Cooling&amp;AirQuality|Fans|CeilingFans</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</si>
  <si>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</si>
  <si>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</si>
  <si>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</si>
  <si>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</si>
  <si>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</si>
  <si>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</si>
  <si>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</si>
  <si>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</si>
  <si>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</si>
  <si>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</si>
  <si>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</si>
  <si>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Bajaj Deluxe 2000 Watts Halogen Room Heater (Steel, ISI Approved), Multicolor</t>
  </si>
  <si>
    <t>Home&amp;Kitchen|Heating,Cooling&amp;AirQuality|RoomHeaters|HalogenHeaters</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</si>
  <si>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</si>
  <si>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</si>
  <si>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</si>
  <si>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</si>
  <si>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</si>
  <si>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</si>
  <si>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Home&amp;Kitchen|Kitchen&amp;HomeAppliances|SmallKitchenAppliances|Pop-upToasters</t>
  </si>
  <si>
    <t>Crompton Insta Comfy 800 Watt Room Heater with 2 Heat Settings(Grey Blue)</t>
  </si>
  <si>
    <t>USHA Heat Convector 812 T 2000-Watt with Instant Heating Feature (Black)</t>
  </si>
  <si>
    <t>Home&amp;Kitchen|Heating,Cooling&amp;AirQuality|RoomHeaters|HeatConvectors</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</si>
  <si>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</si>
  <si>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</si>
  <si>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</si>
  <si>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</si>
  <si>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Home&amp;Kitchen|Kitchen&amp;HomeAppliances|Coffee,Tea&amp;Espresso|CoffeeGrinders|ElectricGrinders</t>
  </si>
  <si>
    <t>Crompton Insta Comfort Heater 2000 Watts Heat Convector with Adjustable Thermostats, Hybrid Cyan, Standard (‎ACGRH-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</si>
  <si>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</si>
  <si>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</si>
  <si>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</si>
  <si>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</si>
  <si>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</si>
  <si>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</si>
  <si>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Home&amp;Kitchen|Heating,Cooling&amp;AirQuality|Fans|ExhaustFans</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</si>
  <si>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</si>
  <si>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</si>
  <si>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Home&amp;Kitchen|Kitchen&amp;HomeAppliances|Coffee,Tea&amp;Espresso|DripCoffeeMachines</t>
  </si>
  <si>
    <t>Ikea 903.391.72 Polypropylene Plastic Solid Bevara Sealing Clip (Multicolour) - 30 Pack, Adjustable</t>
  </si>
  <si>
    <t>HUL Pureit Germkill kit for Classic 23 L water purifier - 1500 L Capacity</t>
  </si>
  <si>
    <t>Home&amp;Kitchen|Kitchen&amp;HomeAppliances|WaterPurifiers&amp;Accessories|WaterPurifierAccessories</t>
  </si>
  <si>
    <t>HUL Pureit Germkill kit for Classic 23 L water purifier - 3000 L Capacity</t>
  </si>
  <si>
    <t>Home&amp;Kitchen|Kitchen&amp;HomeAppliances|WaterPurifiers&amp;Accessories|WaterCartridges</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</si>
  <si>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</si>
  <si>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</si>
  <si>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</si>
  <si>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</si>
  <si>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</si>
  <si>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</si>
  <si>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</si>
  <si>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</si>
  <si>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</si>
  <si>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</si>
  <si>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</si>
  <si>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</si>
  <si>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</si>
  <si>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</si>
  <si>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</si>
  <si>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</si>
  <si>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</si>
  <si>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</si>
  <si>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</si>
  <si>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</si>
  <si>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</si>
  <si>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</si>
  <si>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</si>
  <si>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</si>
  <si>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</si>
  <si>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</si>
  <si>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</si>
  <si>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</si>
  <si>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</si>
  <si>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Car&amp;Motorbike|CarAccessories|InteriorAccessories|AirPurifiers&amp;Ionizers</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</si>
  <si>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</si>
  <si>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</si>
  <si>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</si>
  <si>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</si>
  <si>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</si>
  <si>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</si>
  <si>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</si>
  <si>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</si>
  <si>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</si>
  <si>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</si>
  <si>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</si>
  <si>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</si>
  <si>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</si>
  <si>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</si>
  <si>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</si>
  <si>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</si>
  <si>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</si>
  <si>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</si>
  <si>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Tata Swach Bulb 6000-Litre Cartridge, 1 Piece, White, Hollow Fiber Membrane</t>
  </si>
  <si>
    <t>Home&amp;Kitchen|Kitchen&amp;HomeAppliances|WaterPurifiers&amp;Accessories|WaterFilters&amp;Purifiers</t>
  </si>
  <si>
    <t>Havells Ambrose 1200mm Ceiling Fan (Gold Mist Wood)</t>
  </si>
  <si>
    <t>PrettyKrafts Laundry Bag / Basket for Dirty Clothes, Folding Round Laundry Bag,Set of 2, Black Wave</t>
  </si>
  <si>
    <t>Home&amp;Kitchen|HomeStorage&amp;Organization|LaundryOrganization|LaundryBags</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</si>
  <si>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</si>
  <si>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</si>
  <si>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</si>
  <si>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</si>
  <si>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</si>
  <si>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</si>
  <si>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</si>
  <si>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</si>
  <si>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</si>
  <si>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</si>
  <si>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</si>
  <si>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</si>
  <si>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</si>
  <si>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</si>
  <si>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 - Makes life easy Mini Sewing Machine with Table Set | Tailoring Machine | Hand Sewing Machine with extension table, foot pedal, adapter</t>
  </si>
  <si>
    <t>Home&amp;Kitchen|Kitchen&amp;HomeAppliances|SewingMachines&amp;Accessories|Sewing&amp;EmbroideryMachines</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</si>
  <si>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</si>
  <si>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</si>
  <si>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</si>
  <si>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</si>
  <si>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</si>
  <si>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</si>
  <si>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Home&amp;Kitchen|HomeStorage&amp;Organization|LaundryOrganization|IroningAccessories|SprayBottles</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</si>
  <si>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</si>
  <si>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</si>
  <si>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</si>
  <si>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Home&amp;Kitchen|Kitchen&amp;HomeAppliances|SmallKitchenAppliances|HandMixers</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</si>
  <si>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</si>
  <si>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</si>
  <si>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</si>
  <si>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</si>
  <si>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</si>
  <si>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Home&amp;Kitchen|Kitchen&amp;HomeAppliances|SmallKitchenAppliances|Mills&amp;Grinders|WetGrinders</t>
  </si>
  <si>
    <t>AGARO Marvel 9 Liters Oven Toaster Griller, Cake Baking OTG (Black)</t>
  </si>
  <si>
    <t>Home&amp;Kitchen|Kitchen&amp;HomeAppliances|SmallKitchenAppliances|OvenToasterGrills</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</si>
  <si>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</si>
  <si>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</si>
  <si>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</si>
  <si>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</si>
  <si>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</si>
  <si>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</si>
  <si>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</si>
  <si>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</si>
  <si>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</si>
  <si>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</si>
  <si>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</si>
  <si>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</si>
  <si>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</si>
  <si>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</si>
  <si>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</si>
  <si>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Home&amp;Kitchen|Kitchen&amp;HomeAppliances|SmallKitchenAppliances|Juicers</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</si>
  <si>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</si>
  <si>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</si>
  <si>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</si>
  <si>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Home&amp;Kitchen|Kitchen&amp;HomeAppliances|SmallKitchenAppliances</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</si>
  <si>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</si>
  <si>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</si>
  <si>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</si>
  <si>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</si>
  <si>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</si>
  <si>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</si>
  <si>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</si>
  <si>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</si>
  <si>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</si>
  <si>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</si>
  <si>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</si>
  <si>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</si>
  <si>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</si>
  <si>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</si>
  <si>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</si>
  <si>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</si>
  <si>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</si>
  <si>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</si>
  <si>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</si>
  <si>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</si>
  <si>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</si>
  <si>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</si>
  <si>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</si>
  <si>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Health&amp;PersonalCare|HomeMedicalSupplies&amp;Equipment|HealthMonitors|WeighingScales|DigitalBathroomScales</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</si>
  <si>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</si>
  <si>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</si>
  <si>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</si>
  <si>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</si>
  <si>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</si>
  <si>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</si>
  <si>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</si>
  <si>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-180ᶿ&amp;105ᶿ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</si>
  <si>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</si>
  <si>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</si>
  <si>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</si>
  <si>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</si>
  <si>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</si>
  <si>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Home&amp;Kitchen|Kitchen&amp;HomeAppliances|Coffee,Tea&amp;Espresso|EspressoMachines</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</si>
  <si>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</si>
  <si>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</si>
  <si>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</si>
  <si>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Home&amp;Kitchen|Heating,Cooling&amp;AirQuality|Fans|TableFans</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</si>
  <si>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</si>
  <si>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</si>
  <si>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</si>
  <si>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</si>
  <si>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</si>
  <si>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</si>
  <si>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</si>
  <si>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Home&amp;Kitchen|Kitchen&amp;HomeAppliances|Coffee,Tea&amp;Espresso|MilkFrothers</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</si>
  <si>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</si>
  <si>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</si>
  <si>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</si>
  <si>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</si>
  <si>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Home&amp;Kitchen|Heating,Cooling&amp;AirQuality|Humidifiers</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</si>
  <si>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</si>
  <si>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</si>
  <si>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</si>
  <si>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</si>
  <si>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</si>
  <si>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</si>
  <si>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</si>
  <si>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</si>
  <si>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</si>
  <si>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</si>
  <si>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</si>
  <si>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</si>
  <si>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</si>
  <si>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</si>
  <si>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</si>
  <si>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</si>
  <si>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</si>
  <si>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</si>
  <si>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</si>
  <si>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</si>
  <si>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</si>
  <si>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</si>
  <si>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</si>
  <si>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</si>
  <si>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</si>
  <si>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</si>
  <si>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</si>
  <si>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</si>
  <si>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</si>
  <si>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</si>
  <si>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</si>
  <si>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Home&amp;Kitchen|Kitchen&amp;HomeAppliances|SmallKitchenAppliances|SmallApplianceParts&amp;Accessories|StandMixerAccessories</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</si>
  <si>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</si>
  <si>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</si>
  <si>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</si>
  <si>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</si>
  <si>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</si>
  <si>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</si>
  <si>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</si>
  <si>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</si>
  <si>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</si>
  <si>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</si>
  <si>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</si>
  <si>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</si>
  <si>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</si>
  <si>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</si>
  <si>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</si>
  <si>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</si>
  <si>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</si>
  <si>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</si>
  <si>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</si>
  <si>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</si>
  <si>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</si>
  <si>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</si>
  <si>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</si>
  <si>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</si>
  <si>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</si>
  <si>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</si>
  <si>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</si>
  <si>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</si>
  <si>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</si>
  <si>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</si>
  <si>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</si>
  <si>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</si>
  <si>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Home&amp;Kitchen|Kitchen&amp;HomeAppliances|SmallKitchenAppliances|YogurtMakers</t>
  </si>
  <si>
    <t>AGARO Imperial 240-Watt Slow Juicer with Cold Press Technology</t>
  </si>
  <si>
    <t>Home&amp;Kitchen|Kitchen&amp;HomeAppliances|SmallKitchenAppliances|Juicers|ColdPressJuicers</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</si>
  <si>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</si>
  <si>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</si>
  <si>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</si>
  <si>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</si>
  <si>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</si>
  <si>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</si>
  <si>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</si>
  <si>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</si>
  <si>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</si>
  <si>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</si>
  <si>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</si>
  <si>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</si>
  <si>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</si>
  <si>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</si>
  <si>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</si>
  <si>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</si>
  <si>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</si>
  <si>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</si>
  <si>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Home&amp;Kitchen|Heating,Cooling&amp;AirQuality|AirConditioners|Split-SystemAirConditioners</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</si>
  <si>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</si>
  <si>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</si>
  <si>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</si>
  <si>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</si>
  <si>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Home&amp;Kitchen|Kitchen&amp;HomeAppliances|SmallKitchenAppliances|SmallApplianceParts&amp;Accessories</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</si>
  <si>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</si>
  <si>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</si>
  <si>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</si>
  <si>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</si>
  <si>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Home&amp;Kitchen|Kitchen&amp;HomeAppliances|SmallKitchenAppliances|WaffleMakers&amp;Irons</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</si>
  <si>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</si>
  <si>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</si>
  <si>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</si>
  <si>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</si>
  <si>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</si>
  <si>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</si>
  <si>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</si>
  <si>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Home&amp;Kitchen|Kitchen&amp;HomeAppliances|Coffee,Tea&amp;Espresso|StovetopEspressoPots</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</si>
  <si>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</si>
  <si>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</si>
  <si>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</si>
  <si>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</si>
  <si>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</si>
  <si>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</si>
  <si>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</si>
  <si>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Macmillan Aquafresh 5 Micron PS-05 10" in PP Spun Filter Candle Set for All Type RO Water Purifier 10 inch (4)</t>
  </si>
  <si>
    <t>Havells D'zire 1000 watt Dry Iron With American Heritage Sole Plate, Aerodynamic Design, Easy Grip Temperature Knob &amp; 2 years Warranty. (Mint)</t>
  </si>
  <si>
    <t>TE™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</si>
  <si>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</si>
  <si>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</si>
  <si>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</si>
  <si>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</si>
  <si>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</si>
  <si>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</si>
  <si>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</si>
  <si>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</si>
  <si>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</si>
  <si>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</si>
  <si>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</si>
  <si>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</si>
  <si>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</si>
  <si>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</si>
  <si>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</si>
  <si>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</si>
  <si>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</si>
  <si>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</si>
  <si>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</si>
  <si>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</si>
  <si>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</si>
  <si>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Home&amp;Kitchen|Kitchen&amp;HomeAppliances|Coffee,Tea&amp;Espresso|CoffeePresses</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</si>
  <si>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</si>
  <si>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</si>
  <si>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</si>
  <si>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</si>
  <si>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</si>
  <si>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</si>
  <si>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</si>
  <si>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</si>
  <si>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</si>
  <si>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</si>
  <si>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</si>
  <si>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</si>
  <si>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</si>
  <si>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</si>
  <si>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</si>
  <si>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</si>
  <si>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</si>
  <si>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</si>
  <si>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</si>
  <si>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Home&amp;Kitchen|Kitchen&amp;HomeAppliances|SmallKitchenAppliances|RotiMakers</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</si>
  <si>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</si>
  <si>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</si>
  <si>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</si>
  <si>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</si>
  <si>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Home&amp;Kitchen|Heating,Cooling&amp;AirQuality|Parts&amp;Accessories|FanParts&amp;Accessories</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</si>
  <si>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</si>
  <si>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</si>
  <si>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</si>
  <si>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</si>
  <si>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</si>
  <si>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</si>
  <si>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</si>
  <si>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</si>
  <si>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</si>
  <si>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</si>
  <si>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Home&amp;Kitchen|Kitchen&amp;HomeAppliances|SmallKitchenAppliances|StandMixers</t>
  </si>
  <si>
    <t>Crompton Highspeed Markle Prime 1200 mm (48 inch) Anti-Dust Ceiling Fan with Energy Efficient 55W Motor (Burgundy)</t>
  </si>
  <si>
    <t>Lifelong LLWM105 750-Watt Belgian Waffle Maker for Home| Makes 2 Square Shape Waffles| Non-stick Plates| Easy to Use 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</si>
  <si>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</si>
  <si>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</si>
  <si>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</si>
  <si>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</si>
  <si>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</si>
  <si>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Home&amp;Kitchen|Heating,Cooling&amp;AirQuality|Fans|PedestalFans</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</si>
  <si>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</si>
  <si>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</si>
  <si>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</si>
  <si>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</si>
  <si>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</si>
  <si>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Home&amp;Kitchen|Kitchen&amp;HomeAppliances|Vacuum,Cleaning&amp;Ironing|Vacuums&amp;FloorCare|VacuumAccessories|VacuumBags|HandheldBags</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</si>
  <si>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</si>
  <si>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</si>
  <si>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</si>
  <si>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</si>
  <si>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</si>
  <si>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</si>
  <si>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</si>
  <si>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</si>
  <si>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</si>
  <si>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</si>
  <si>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</si>
  <si>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</si>
  <si>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</si>
  <si>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</si>
  <si>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</si>
  <si>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</si>
  <si>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</si>
  <si>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</si>
  <si>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</si>
  <si>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</si>
  <si>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Go through the data in the F column, use IFERROR to check if there are any errors. If so, display an error message.</t>
  </si>
  <si>
    <t>Error</t>
  </si>
  <si>
    <t>Count how many cells in column D.</t>
  </si>
  <si>
    <t>Column E has some blank cells, count how many cells there are.</t>
  </si>
  <si>
    <t>Count how many cells in column C and F.</t>
  </si>
  <si>
    <t xml:space="preserve">Get the current date </t>
  </si>
  <si>
    <t>Find what row is the below item in column A</t>
  </si>
  <si>
    <t>I would like to know what was the acutal price for the following prodcut, Monitor AC Stand/Heavy Duty Air Conditioner Outdoor Unit Mounting Bracket</t>
  </si>
  <si>
    <t>Display a list of all the unique categories from the Amazon sales data.</t>
  </si>
  <si>
    <t>Sort the dicounted price column in ascending order.</t>
  </si>
  <si>
    <t>Filter the Amazon sales data to where we can only see data that have a rating of 4 or greater</t>
  </si>
  <si>
    <t>Using ArrayFormula function, workout the difference in price from column D and Column C</t>
  </si>
  <si>
    <t>Transpose enables the user to select data that are in a row and 'transpose' them into a column. As the data is already in a column, there is not need to perform this function.</t>
  </si>
  <si>
    <t>Grab the data in the VLOOKUP tab in cell K2 using INDRECT function.</t>
  </si>
  <si>
    <t>Use the SPARKLINE function to create a graph for data in C2, D2 and E2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</si>
</sst>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
  </numFmts>
  <fonts count="12">
    <font>
      <sz val="10.0"/>
      <color rgb="FF000000"/>
      <name val="Arial"/>
      <scheme val="minor"/>
    </font>
    <font>
      <b/>
      <i/>
      <sz val="11.0"/>
      <color theme="1"/>
      <name val="Arial"/>
      <scheme val="minor"/>
    </font>
    <font>
      <sz val="11.0"/>
      <color theme="1"/>
      <name val="Arial"/>
      <scheme val="minor"/>
    </font>
    <font>
      <u/>
      <sz val="11.0"/>
      <color rgb="FF0000FF"/>
    </font>
    <font>
      <b/>
      <sz val="12.0"/>
      <color theme="1"/>
      <name val="Arial"/>
    </font>
    <font>
      <b/>
      <color theme="1"/>
      <name val="Arial"/>
      <scheme val="minor"/>
    </font>
    <font>
      <color theme="1"/>
      <name val="Arial"/>
    </font>
    <font>
      <color theme="1"/>
      <name val="Arial"/>
      <scheme val="minor"/>
    </font>
    <font>
      <sz val="9.0"/>
      <color rgb="FF7E3794"/>
      <name val="Arial"/>
      <scheme val="minor"/>
    </font>
    <font>
      <u/>
      <color rgb="FF1155CC"/>
      <name val="Arial"/>
    </font>
    <font>
      <b/>
      <color theme="1"/>
      <name val="Arial"/>
    </font>
    <font>
      <color rgb="FFCC0000"/>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vertical="bottom"/>
    </xf>
    <xf borderId="0" fillId="0" fontId="5" numFmtId="0" xfId="0" applyAlignment="1" applyFont="1">
      <alignment readingOrder="0"/>
    </xf>
    <xf borderId="0" fillId="0" fontId="6" numFmtId="0" xfId="0" applyAlignment="1" applyFont="1">
      <alignment vertical="bottom"/>
    </xf>
    <xf borderId="0" fillId="0" fontId="6" numFmtId="164" xfId="0" applyAlignment="1" applyFont="1" applyNumberFormat="1">
      <alignment readingOrder="0" vertical="bottom"/>
    </xf>
    <xf borderId="0" fillId="0" fontId="6" numFmtId="10" xfId="0" applyAlignment="1" applyFont="1" applyNumberFormat="1">
      <alignment horizontal="right" vertical="bottom"/>
    </xf>
    <xf borderId="0" fillId="0" fontId="6" numFmtId="0" xfId="0" applyAlignment="1" applyFont="1">
      <alignment horizontal="right" vertical="bottom"/>
    </xf>
    <xf borderId="0" fillId="0" fontId="6" numFmtId="3" xfId="0" applyAlignment="1" applyFont="1" applyNumberFormat="1">
      <alignment horizontal="right" vertical="bottom"/>
    </xf>
    <xf borderId="0" fillId="0" fontId="7" numFmtId="0" xfId="0" applyAlignment="1" applyFont="1">
      <alignment readingOrder="0" shrinkToFit="0" wrapText="1"/>
    </xf>
    <xf borderId="0" fillId="0" fontId="8" numFmtId="0" xfId="0" applyFont="1"/>
    <xf borderId="0" fillId="0" fontId="9" numFmtId="0" xfId="0" applyAlignment="1" applyFont="1">
      <alignment vertical="bottom"/>
    </xf>
    <xf borderId="0" fillId="0" fontId="6" numFmtId="0" xfId="0" applyAlignment="1" applyFont="1">
      <alignment readingOrder="0" vertical="bottom"/>
    </xf>
    <xf borderId="0" fillId="0" fontId="10" numFmtId="0" xfId="0" applyAlignment="1" applyFont="1">
      <alignment readingOrder="0" vertical="bottom"/>
    </xf>
    <xf borderId="0" fillId="0" fontId="7" numFmtId="0" xfId="0" applyFont="1"/>
    <xf borderId="0" fillId="0" fontId="6" numFmtId="0" xfId="0" applyAlignment="1" applyFont="1">
      <alignment horizontal="right" readingOrder="0" vertical="bottom"/>
    </xf>
    <xf borderId="0" fillId="0" fontId="6" numFmtId="9" xfId="0" applyAlignment="1" applyFont="1" applyNumberFormat="1">
      <alignment horizontal="right" vertical="bottom"/>
    </xf>
    <xf borderId="0" fillId="0" fontId="7" numFmtId="0" xfId="0" applyAlignment="1" applyFont="1">
      <alignment readingOrder="0"/>
    </xf>
    <xf borderId="0" fillId="0" fontId="7" numFmtId="14" xfId="0" applyFont="1" applyNumberFormat="1"/>
    <xf borderId="0" fillId="0" fontId="5" numFmtId="0" xfId="0" applyFont="1"/>
    <xf borderId="0" fillId="0" fontId="7" numFmtId="164" xfId="0" applyFont="1" applyNumberFormat="1"/>
    <xf borderId="0" fillId="0" fontId="7" numFmtId="9" xfId="0" applyFont="1" applyNumberFormat="1"/>
    <xf borderId="0" fillId="0" fontId="7" numFmtId="3" xfId="0" applyFont="1" applyNumberFormat="1"/>
    <xf borderId="0" fillId="0" fontId="1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karkavelrajaj/amazon-sales-dataset?resource=downloa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E1" s="1" t="s">
        <v>0</v>
      </c>
      <c r="Q1" s="2"/>
    </row>
    <row r="2">
      <c r="E2" s="3" t="s">
        <v>1</v>
      </c>
    </row>
    <row r="5">
      <c r="E5" s="3" t="s">
        <v>2</v>
      </c>
    </row>
    <row r="7">
      <c r="F7" s="2"/>
      <c r="G7" s="2"/>
      <c r="H7" s="2"/>
      <c r="I7" s="2"/>
      <c r="J7" s="2"/>
      <c r="K7" s="2"/>
      <c r="L7" s="2"/>
      <c r="M7" s="2"/>
      <c r="N7" s="2"/>
      <c r="O7" s="2"/>
      <c r="P7" s="2"/>
      <c r="Q7" s="2"/>
    </row>
    <row r="8">
      <c r="F8" s="2"/>
      <c r="G8" s="2"/>
      <c r="H8" s="2"/>
      <c r="I8" s="2"/>
      <c r="J8" s="2"/>
      <c r="K8" s="2"/>
      <c r="L8" s="2"/>
      <c r="M8" s="2"/>
      <c r="N8" s="2"/>
      <c r="O8" s="2"/>
      <c r="P8" s="2"/>
      <c r="Q8" s="2"/>
    </row>
    <row r="9">
      <c r="E9" s="3" t="s">
        <v>3</v>
      </c>
      <c r="G9" s="4" t="s">
        <v>4</v>
      </c>
      <c r="L9" s="2"/>
      <c r="M9" s="2"/>
      <c r="N9" s="2"/>
      <c r="O9" s="2"/>
      <c r="P9" s="2"/>
      <c r="Q9" s="2"/>
    </row>
  </sheetData>
  <mergeCells count="5">
    <mergeCell ref="G9:K9"/>
    <mergeCell ref="E2:Q3"/>
    <mergeCell ref="E5:Q6"/>
    <mergeCell ref="E9:F9"/>
    <mergeCell ref="E1:P1"/>
  </mergeCells>
  <hyperlinks>
    <hyperlink r:id="rId1" ref="G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8.63"/>
    <col customWidth="1" min="3" max="3" width="19.75"/>
    <col customWidth="1" min="5" max="5" width="21.63"/>
    <col customWidth="1" min="7" max="7" width="14.25"/>
  </cols>
  <sheetData>
    <row r="1">
      <c r="A1" s="5" t="s">
        <v>5</v>
      </c>
      <c r="B1" s="5" t="s">
        <v>6</v>
      </c>
      <c r="C1" s="5" t="s">
        <v>7</v>
      </c>
      <c r="D1" s="5" t="s">
        <v>8</v>
      </c>
      <c r="E1" s="5" t="s">
        <v>9</v>
      </c>
      <c r="F1" s="5" t="s">
        <v>10</v>
      </c>
      <c r="G1" s="5" t="s">
        <v>11</v>
      </c>
      <c r="I1" s="6" t="s">
        <v>12</v>
      </c>
      <c r="K1" s="6" t="s">
        <v>13</v>
      </c>
    </row>
    <row r="2">
      <c r="A2" s="7" t="s">
        <v>14</v>
      </c>
      <c r="B2" s="7" t="s">
        <v>15</v>
      </c>
      <c r="C2" s="8">
        <v>399.0</v>
      </c>
      <c r="D2" s="8">
        <v>1099.0</v>
      </c>
      <c r="E2" s="9">
        <v>0.64</v>
      </c>
      <c r="F2" s="10">
        <v>4.2</v>
      </c>
      <c r="G2" s="11">
        <v>24269.0</v>
      </c>
      <c r="I2" s="12" t="s">
        <v>16</v>
      </c>
      <c r="K2" s="13" t="str">
        <f>IF(discount&gt;50%, product, "")</f>
        <v>Wayona Nylon Braided USB to Lightning Fast Charging and Data Sync Cable Compatible for iPhone 13, 12,11, X, 8, 7, 6, 5, iPad Air, Pro, Mini (3 FT Pack of 1, Grey)</v>
      </c>
    </row>
    <row r="3">
      <c r="A3" s="7" t="s">
        <v>17</v>
      </c>
      <c r="B3" s="7" t="s">
        <v>15</v>
      </c>
      <c r="C3" s="8">
        <v>199.0</v>
      </c>
      <c r="D3" s="8">
        <v>349.0</v>
      </c>
      <c r="E3" s="9">
        <v>0.43</v>
      </c>
      <c r="F3" s="10">
        <v>4.0</v>
      </c>
      <c r="G3" s="11">
        <v>43994.0</v>
      </c>
      <c r="K3" s="13" t="str">
        <f>IF(discount&gt;50%, product, "")</f>
        <v/>
      </c>
    </row>
    <row r="4">
      <c r="A4" s="7" t="s">
        <v>18</v>
      </c>
      <c r="B4" s="7" t="s">
        <v>15</v>
      </c>
      <c r="C4" s="8">
        <v>199.0</v>
      </c>
      <c r="D4" s="8">
        <v>1899.0</v>
      </c>
      <c r="E4" s="9">
        <v>0.9</v>
      </c>
      <c r="F4" s="10">
        <v>3.9</v>
      </c>
      <c r="G4" s="11">
        <v>7928.0</v>
      </c>
      <c r="K4" s="13" t="str">
        <f>IF(discount&gt;50%, product, "")</f>
        <v>Sounce Fast Phone Charging Cable &amp; Data Sync USB Cable Compatible for iPhone 13, 12,11, X, 8, 7, 6, 5, iPad Air, Pro, Mini &amp; iOS Devices</v>
      </c>
      <c r="L4" s="7"/>
      <c r="M4" s="7"/>
      <c r="N4" s="7"/>
      <c r="O4" s="7"/>
      <c r="P4" s="7"/>
    </row>
    <row r="5">
      <c r="A5" s="7" t="s">
        <v>19</v>
      </c>
      <c r="B5" s="7" t="s">
        <v>15</v>
      </c>
      <c r="C5" s="8">
        <v>329.0</v>
      </c>
      <c r="D5" s="8">
        <v>699.0</v>
      </c>
      <c r="E5" s="9">
        <v>0.53</v>
      </c>
      <c r="F5" s="10">
        <v>4.2</v>
      </c>
      <c r="G5" s="11">
        <v>94363.0</v>
      </c>
      <c r="K5" s="13" t="str">
        <f>IF(discount&gt;50%, product, "")</f>
        <v>boAt Deuce USB 300 2 in 1 Type-C &amp; Micro USB Stress Resistant, Tangle-Free, Sturdy Cable with 3A Fast Charging &amp; 480mbps Data Transmission, 10000+ Bends Lifespan and Extended 1.5m Length(Martian Red)</v>
      </c>
      <c r="L5" s="7"/>
      <c r="M5" s="7"/>
      <c r="N5" s="7"/>
      <c r="O5" s="14"/>
      <c r="P5" s="14"/>
    </row>
    <row r="6">
      <c r="A6" s="7" t="s">
        <v>20</v>
      </c>
      <c r="B6" s="7" t="s">
        <v>15</v>
      </c>
      <c r="C6" s="8">
        <v>154.0</v>
      </c>
      <c r="D6" s="8">
        <v>399.0</v>
      </c>
      <c r="E6" s="9">
        <v>0.61</v>
      </c>
      <c r="F6" s="10">
        <v>4.2</v>
      </c>
      <c r="G6" s="11">
        <v>16905.0</v>
      </c>
      <c r="K6" s="13" t="str">
        <f>IF(discount&gt;50%, product, "")</f>
        <v>Portronics Konnect L 1.2M Fast Charging 3A 8 Pin USB Cable with Charge &amp; Sync Function for iPhone, iPad (Grey)</v>
      </c>
      <c r="L6" s="7"/>
      <c r="M6" s="7"/>
      <c r="N6" s="7"/>
      <c r="O6" s="14"/>
      <c r="P6" s="14"/>
    </row>
    <row r="7">
      <c r="A7" s="7" t="s">
        <v>21</v>
      </c>
      <c r="B7" s="7" t="s">
        <v>15</v>
      </c>
      <c r="C7" s="8">
        <v>149.0</v>
      </c>
      <c r="D7" s="8">
        <v>1000.0</v>
      </c>
      <c r="E7" s="9">
        <v>0.85</v>
      </c>
      <c r="F7" s="10">
        <v>3.9</v>
      </c>
      <c r="G7" s="11">
        <v>24871.0</v>
      </c>
      <c r="I7" s="7"/>
      <c r="J7" s="7"/>
      <c r="K7" s="13" t="str">
        <f>IF(discount&gt;50%, product, "")</f>
        <v>pTron Solero TB301 3A Type-C Data and Fast Charging Cable, Made in India, 480Mbps Data Sync, Strong and Durable 1.5-Meter Nylon Braided USB Cable for Type-C Devices for Charging Adapter (Black)</v>
      </c>
      <c r="L7" s="7"/>
      <c r="M7" s="7"/>
      <c r="N7" s="7"/>
      <c r="O7" s="14"/>
      <c r="P7" s="14"/>
    </row>
    <row r="8">
      <c r="A8" s="7" t="s">
        <v>22</v>
      </c>
      <c r="B8" s="7" t="s">
        <v>15</v>
      </c>
      <c r="C8" s="8">
        <v>176.63</v>
      </c>
      <c r="D8" s="8">
        <v>499.0</v>
      </c>
      <c r="E8" s="9">
        <v>0.65</v>
      </c>
      <c r="F8" s="10">
        <v>4.1</v>
      </c>
      <c r="G8" s="11">
        <v>15188.0</v>
      </c>
      <c r="I8" s="7"/>
      <c r="J8" s="7"/>
      <c r="K8" s="13" t="str">
        <f>IF(discount&gt;50%, product, "")</f>
        <v>boAt Micro USB 55 Tangle-free, Sturdy Micro USB Cable with 3A Fast Charging &amp; 480mbps Data Transmission (Black)</v>
      </c>
      <c r="L8" s="7"/>
      <c r="M8" s="7"/>
      <c r="N8" s="7"/>
      <c r="O8" s="14"/>
      <c r="P8" s="14"/>
    </row>
    <row r="9">
      <c r="A9" s="7" t="s">
        <v>23</v>
      </c>
      <c r="B9" s="7" t="s">
        <v>15</v>
      </c>
      <c r="C9" s="8">
        <v>229.0</v>
      </c>
      <c r="D9" s="8">
        <v>299.0</v>
      </c>
      <c r="E9" s="9">
        <v>0.23</v>
      </c>
      <c r="F9" s="10">
        <v>4.3</v>
      </c>
      <c r="G9" s="11">
        <v>30411.0</v>
      </c>
      <c r="I9" s="7"/>
      <c r="J9" s="7"/>
      <c r="K9" s="13" t="str">
        <f>IF(discount&gt;50%, product, "")</f>
        <v/>
      </c>
      <c r="L9" s="7"/>
      <c r="M9" s="7"/>
      <c r="N9" s="7"/>
      <c r="O9" s="14"/>
      <c r="P9" s="14"/>
    </row>
    <row r="10">
      <c r="A10" s="7" t="s">
        <v>24</v>
      </c>
      <c r="B10" s="7" t="s">
        <v>25</v>
      </c>
      <c r="C10" s="8">
        <v>499.0</v>
      </c>
      <c r="D10" s="8">
        <v>999.0</v>
      </c>
      <c r="E10" s="9">
        <v>0.5</v>
      </c>
      <c r="F10" s="10">
        <v>4.2</v>
      </c>
      <c r="G10" s="7" t="s">
        <v>26</v>
      </c>
      <c r="I10" s="7"/>
      <c r="J10" s="7"/>
      <c r="K10" s="13" t="str">
        <f>IF(discount&gt;50%, product, "")</f>
        <v/>
      </c>
      <c r="L10" s="7"/>
      <c r="M10" s="7"/>
      <c r="N10" s="7"/>
      <c r="O10" s="14"/>
      <c r="P10" s="14"/>
    </row>
    <row r="11">
      <c r="A11" s="7" t="s">
        <v>27</v>
      </c>
      <c r="B11" s="7" t="s">
        <v>15</v>
      </c>
      <c r="C11" s="8">
        <v>199.0</v>
      </c>
      <c r="D11" s="8">
        <v>299.0</v>
      </c>
      <c r="E11" s="9">
        <v>0.33</v>
      </c>
      <c r="F11" s="10">
        <v>4.0</v>
      </c>
      <c r="G11" s="11">
        <v>43994.0</v>
      </c>
      <c r="I11" s="7"/>
      <c r="J11" s="7"/>
      <c r="K11" s="13" t="str">
        <f>IF(discount&gt;50%, product, "")</f>
        <v/>
      </c>
      <c r="L11" s="7"/>
      <c r="M11" s="7"/>
      <c r="N11" s="7"/>
      <c r="O11" s="14"/>
      <c r="P11" s="14"/>
    </row>
    <row r="12">
      <c r="A12" s="7" t="s">
        <v>28</v>
      </c>
      <c r="B12" s="7" t="s">
        <v>15</v>
      </c>
      <c r="C12" s="8">
        <v>154.0</v>
      </c>
      <c r="D12" s="8">
        <v>339.0</v>
      </c>
      <c r="E12" s="9">
        <v>0.55</v>
      </c>
      <c r="F12" s="10">
        <v>4.3</v>
      </c>
      <c r="G12" s="11">
        <v>13391.0</v>
      </c>
      <c r="I12" s="7"/>
      <c r="J12" s="7"/>
      <c r="K12" s="13" t="str">
        <f>IF(discount&gt;50%, product, "")</f>
        <v>Portronics Konnect L POR-1081 Fast Charging 3A Type-C Cable 1.2Meter with Charge &amp; Sync Function for All Type-C Devices (Grey)</v>
      </c>
      <c r="L12" s="7"/>
      <c r="M12" s="7"/>
      <c r="N12" s="7"/>
      <c r="O12" s="14"/>
      <c r="P12" s="14"/>
    </row>
    <row r="13">
      <c r="A13" s="7" t="s">
        <v>29</v>
      </c>
      <c r="B13" s="7" t="s">
        <v>15</v>
      </c>
      <c r="C13" s="8">
        <v>299.0</v>
      </c>
      <c r="D13" s="8">
        <v>799.0</v>
      </c>
      <c r="E13" s="9">
        <v>0.63</v>
      </c>
      <c r="F13" s="10">
        <v>4.2</v>
      </c>
      <c r="G13" s="11">
        <v>94363.0</v>
      </c>
      <c r="I13" s="7"/>
      <c r="J13" s="7"/>
      <c r="K13" s="13" t="str">
        <f>IF(discount&gt;50%, product, "")</f>
        <v>boAt Rugged v3 Extra Tough Unbreakable Braided Micro USB Cable 1.5 Meter (Black)</v>
      </c>
      <c r="L13" s="7"/>
      <c r="M13" s="7"/>
      <c r="N13" s="7"/>
      <c r="O13" s="14"/>
      <c r="P13" s="14"/>
    </row>
    <row r="14">
      <c r="A14" s="7" t="s">
        <v>30</v>
      </c>
      <c r="B14" s="7" t="s">
        <v>31</v>
      </c>
      <c r="C14" s="8">
        <v>219.0</v>
      </c>
      <c r="D14" s="8">
        <v>700.0</v>
      </c>
      <c r="E14" s="9">
        <v>0.69</v>
      </c>
      <c r="F14" s="10">
        <v>4.4</v>
      </c>
      <c r="G14" s="7" t="s">
        <v>32</v>
      </c>
      <c r="I14" s="7"/>
      <c r="J14" s="7"/>
      <c r="K14" s="13" t="str">
        <f>IF(discount&gt;50%, product, "")</f>
        <v>AmazonBasics Flexible Premium HDMI Cable (Black, 4K@60Hz, 18Gbps), 3-Foot</v>
      </c>
      <c r="L14" s="7"/>
      <c r="M14" s="7"/>
      <c r="N14" s="7"/>
      <c r="O14" s="14"/>
      <c r="P14" s="14"/>
    </row>
    <row r="15">
      <c r="A15" s="7" t="s">
        <v>33</v>
      </c>
      <c r="B15" s="7" t="s">
        <v>15</v>
      </c>
      <c r="C15" s="8">
        <v>350.0</v>
      </c>
      <c r="D15" s="8">
        <v>899.0</v>
      </c>
      <c r="E15" s="9">
        <v>0.61</v>
      </c>
      <c r="F15" s="10">
        <v>4.2</v>
      </c>
      <c r="G15" s="11">
        <v>2262.0</v>
      </c>
      <c r="I15" s="7"/>
      <c r="J15" s="7"/>
      <c r="K15" s="13" t="str">
        <f>IF(discount&gt;50%, product, "")</f>
        <v>Portronics Konnect CL 20W POR-1067 Type-C to 8 Pin USB 1.2M Cable with Power Delivery &amp; 3A Quick Charge Support, Nylon Braided for All Type-C and 8 Pin Devices, Green</v>
      </c>
      <c r="L15" s="7"/>
      <c r="M15" s="7"/>
      <c r="N15" s="7"/>
      <c r="O15" s="14"/>
      <c r="P15" s="14"/>
    </row>
    <row r="16">
      <c r="A16" s="7" t="s">
        <v>34</v>
      </c>
      <c r="B16" s="7" t="s">
        <v>15</v>
      </c>
      <c r="C16" s="8">
        <v>159.0</v>
      </c>
      <c r="D16" s="8">
        <v>399.0</v>
      </c>
      <c r="E16" s="9">
        <v>0.6</v>
      </c>
      <c r="F16" s="10">
        <v>4.1</v>
      </c>
      <c r="G16" s="11">
        <v>4768.0</v>
      </c>
      <c r="I16" s="7"/>
      <c r="J16" s="7"/>
      <c r="K16" s="13" t="str">
        <f>IF(discount&gt;50%, product, "")</f>
        <v>Portronics Konnect L 1.2M POR-1401 Fast Charging 3A 8 Pin USB Cable with Charge &amp; Sync Function (White)</v>
      </c>
      <c r="L16" s="7"/>
      <c r="M16" s="7"/>
      <c r="N16" s="7"/>
      <c r="O16" s="14"/>
      <c r="P16" s="14"/>
    </row>
    <row r="17">
      <c r="A17" s="7" t="s">
        <v>35</v>
      </c>
      <c r="B17" s="7" t="s">
        <v>15</v>
      </c>
      <c r="C17" s="8">
        <v>349.0</v>
      </c>
      <c r="D17" s="8">
        <v>399.0</v>
      </c>
      <c r="E17" s="9">
        <v>0.13</v>
      </c>
      <c r="F17" s="10">
        <v>4.4</v>
      </c>
      <c r="G17" s="11">
        <v>18757.0</v>
      </c>
      <c r="I17" s="7"/>
      <c r="J17" s="7"/>
      <c r="K17" s="13" t="str">
        <f>IF(discount&gt;50%, product, "")</f>
        <v/>
      </c>
      <c r="L17" s="7"/>
      <c r="M17" s="7"/>
      <c r="N17" s="7"/>
      <c r="O17" s="14"/>
      <c r="P17" s="14"/>
    </row>
    <row r="18">
      <c r="A18" s="7" t="s">
        <v>36</v>
      </c>
      <c r="B18" s="7" t="s">
        <v>37</v>
      </c>
      <c r="C18" s="8">
        <v>13999.0</v>
      </c>
      <c r="D18" s="8">
        <v>24999.0</v>
      </c>
      <c r="E18" s="9">
        <v>0.44</v>
      </c>
      <c r="F18" s="10">
        <v>4.2</v>
      </c>
      <c r="G18" s="11">
        <v>32840.0</v>
      </c>
      <c r="I18" s="7"/>
      <c r="J18" s="7"/>
      <c r="K18" s="13" t="str">
        <f>IF(discount&gt;50%, product, "")</f>
        <v/>
      </c>
      <c r="L18" s="7"/>
      <c r="M18" s="7"/>
      <c r="N18" s="7"/>
      <c r="O18" s="14"/>
      <c r="P18" s="14"/>
    </row>
    <row r="19">
      <c r="A19" s="7" t="s">
        <v>38</v>
      </c>
      <c r="B19" s="7" t="s">
        <v>15</v>
      </c>
      <c r="C19" s="8">
        <v>249.0</v>
      </c>
      <c r="D19" s="8">
        <v>399.0</v>
      </c>
      <c r="E19" s="9">
        <v>0.38</v>
      </c>
      <c r="F19" s="10">
        <v>4.0</v>
      </c>
      <c r="G19" s="11">
        <v>43994.0</v>
      </c>
      <c r="I19" s="7"/>
      <c r="J19" s="7"/>
      <c r="K19" s="13" t="str">
        <f>IF(discount&gt;50%, product, "")</f>
        <v/>
      </c>
      <c r="L19" s="7"/>
      <c r="M19" s="7"/>
      <c r="N19" s="7"/>
      <c r="O19" s="14"/>
      <c r="P19" s="14"/>
    </row>
    <row r="20">
      <c r="A20" s="7" t="s">
        <v>39</v>
      </c>
      <c r="B20" s="7" t="s">
        <v>15</v>
      </c>
      <c r="C20" s="8">
        <v>199.0</v>
      </c>
      <c r="D20" s="8">
        <v>499.0</v>
      </c>
      <c r="E20" s="9">
        <v>0.6</v>
      </c>
      <c r="F20" s="10">
        <v>4.1</v>
      </c>
      <c r="G20" s="11">
        <v>13045.0</v>
      </c>
      <c r="I20" s="7"/>
      <c r="J20" s="7"/>
      <c r="K20" s="13" t="str">
        <f>IF(discount&gt;50%, product, "")</f>
        <v>boAt Type C A325 Tangle-free, Sturdy Type C Cable with 3A Rapid Charging &amp; 480mbps Data Transmission(Black)</v>
      </c>
      <c r="L20" s="7"/>
      <c r="M20" s="7"/>
      <c r="N20" s="7"/>
      <c r="O20" s="14"/>
      <c r="P20" s="14"/>
    </row>
    <row r="21">
      <c r="A21" s="7" t="s">
        <v>40</v>
      </c>
      <c r="B21" s="7" t="s">
        <v>37</v>
      </c>
      <c r="C21" s="8">
        <v>13490.0</v>
      </c>
      <c r="D21" s="8">
        <v>21990.0</v>
      </c>
      <c r="E21" s="9">
        <v>0.39</v>
      </c>
      <c r="F21" s="10">
        <v>4.3</v>
      </c>
      <c r="G21" s="11">
        <v>11976.0</v>
      </c>
      <c r="I21" s="7"/>
      <c r="J21" s="7"/>
      <c r="K21" s="13" t="str">
        <f>IF(discount&gt;50%, product, "")</f>
        <v/>
      </c>
      <c r="L21" s="7"/>
      <c r="M21" s="7"/>
      <c r="N21" s="7"/>
      <c r="O21" s="14"/>
      <c r="P21" s="14"/>
    </row>
    <row r="22">
      <c r="A22" s="7" t="s">
        <v>41</v>
      </c>
      <c r="B22" s="7" t="s">
        <v>15</v>
      </c>
      <c r="C22" s="8">
        <v>970.0</v>
      </c>
      <c r="D22" s="8">
        <v>1799.0</v>
      </c>
      <c r="E22" s="9">
        <v>0.46</v>
      </c>
      <c r="F22" s="10">
        <v>4.5</v>
      </c>
      <c r="G22" s="10">
        <v>815.0</v>
      </c>
      <c r="I22" s="7"/>
      <c r="J22" s="7"/>
      <c r="K22" s="13" t="str">
        <f>IF(discount&gt;50%, product, "")</f>
        <v/>
      </c>
      <c r="L22" s="7"/>
      <c r="M22" s="7"/>
      <c r="N22" s="7"/>
      <c r="O22" s="14"/>
      <c r="P22" s="14"/>
    </row>
    <row r="23">
      <c r="A23" s="7" t="s">
        <v>42</v>
      </c>
      <c r="B23" s="7" t="s">
        <v>31</v>
      </c>
      <c r="C23" s="8">
        <v>279.0</v>
      </c>
      <c r="D23" s="8">
        <v>499.0</v>
      </c>
      <c r="E23" s="9">
        <v>0.44</v>
      </c>
      <c r="F23" s="10">
        <v>3.7</v>
      </c>
      <c r="G23" s="11">
        <v>10962.0</v>
      </c>
      <c r="I23" s="7"/>
      <c r="J23" s="7"/>
      <c r="K23" s="13" t="str">
        <f>IF(discount&gt;50%, product, "")</f>
        <v/>
      </c>
      <c r="L23" s="7"/>
      <c r="M23" s="7"/>
      <c r="N23" s="7"/>
      <c r="O23" s="14"/>
      <c r="P23" s="14"/>
    </row>
    <row r="24">
      <c r="A24" s="7" t="s">
        <v>43</v>
      </c>
      <c r="B24" s="7" t="s">
        <v>37</v>
      </c>
      <c r="C24" s="8">
        <v>13490.0</v>
      </c>
      <c r="D24" s="8">
        <v>22900.0</v>
      </c>
      <c r="E24" s="9">
        <v>0.41</v>
      </c>
      <c r="F24" s="10">
        <v>4.3</v>
      </c>
      <c r="G24" s="11">
        <v>16299.0</v>
      </c>
      <c r="I24" s="7"/>
      <c r="J24" s="7"/>
      <c r="K24" s="13" t="str">
        <f>IF(discount&gt;50%, product, "")</f>
        <v/>
      </c>
      <c r="L24" s="7"/>
      <c r="M24" s="7"/>
      <c r="N24" s="7"/>
      <c r="O24" s="14"/>
      <c r="P24" s="14"/>
    </row>
    <row r="25">
      <c r="A25" s="7" t="s">
        <v>44</v>
      </c>
      <c r="B25" s="7" t="s">
        <v>15</v>
      </c>
      <c r="C25" s="8">
        <v>59.0</v>
      </c>
      <c r="D25" s="8">
        <v>199.0</v>
      </c>
      <c r="E25" s="9">
        <v>0.7</v>
      </c>
      <c r="F25" s="10">
        <v>4.0</v>
      </c>
      <c r="G25" s="11">
        <v>9378.0</v>
      </c>
      <c r="I25" s="7"/>
      <c r="J25" s="7"/>
      <c r="K25" s="13" t="str">
        <f>IF(discount&gt;50%, product, "")</f>
        <v>Flix Micro Usb Cable For Smartphone (Black)</v>
      </c>
      <c r="L25" s="7"/>
      <c r="M25" s="7"/>
      <c r="N25" s="7"/>
      <c r="O25" s="14"/>
      <c r="P25" s="14"/>
    </row>
    <row r="26">
      <c r="A26" s="7" t="s">
        <v>45</v>
      </c>
      <c r="B26" s="7" t="s">
        <v>37</v>
      </c>
      <c r="C26" s="8">
        <v>11499.0</v>
      </c>
      <c r="D26" s="8">
        <v>19990.0</v>
      </c>
      <c r="E26" s="9">
        <v>0.42</v>
      </c>
      <c r="F26" s="10">
        <v>4.3</v>
      </c>
      <c r="G26" s="11">
        <v>4703.0</v>
      </c>
      <c r="I26" s="7"/>
      <c r="J26" s="7"/>
      <c r="K26" s="13" t="str">
        <f>IF(discount&gt;50%, product, "")</f>
        <v/>
      </c>
      <c r="L26" s="7"/>
      <c r="M26" s="7"/>
      <c r="N26" s="7"/>
      <c r="O26" s="14"/>
      <c r="P26" s="14"/>
    </row>
    <row r="27">
      <c r="A27" s="7" t="s">
        <v>46</v>
      </c>
      <c r="B27" s="7" t="s">
        <v>31</v>
      </c>
      <c r="C27" s="8">
        <v>199.0</v>
      </c>
      <c r="D27" s="8">
        <v>699.0</v>
      </c>
      <c r="E27" s="9">
        <v>0.72</v>
      </c>
      <c r="F27" s="10">
        <v>4.2</v>
      </c>
      <c r="G27" s="11">
        <v>12153.0</v>
      </c>
      <c r="I27" s="7"/>
      <c r="J27" s="7"/>
      <c r="K27" s="13" t="str">
        <f>IF(discount&gt;50%, product, "")</f>
        <v>Tizum High Speed HDMI Cable with Ethernet | Supports 3D 4K | for All HDMI Devices Laptop Computer Gaming Console TV Set Top Box (1.5 Meter/ 5 Feet)</v>
      </c>
      <c r="L27" s="7"/>
      <c r="M27" s="7"/>
      <c r="N27" s="7"/>
      <c r="O27" s="14"/>
      <c r="P27" s="14"/>
    </row>
    <row r="28">
      <c r="A28" s="7" t="s">
        <v>47</v>
      </c>
      <c r="B28" s="7" t="s">
        <v>37</v>
      </c>
      <c r="C28" s="8">
        <v>14999.0</v>
      </c>
      <c r="D28" s="8">
        <v>19999.0</v>
      </c>
      <c r="E28" s="9">
        <v>0.25</v>
      </c>
      <c r="F28" s="10">
        <v>4.2</v>
      </c>
      <c r="G28" s="11">
        <v>34899.0</v>
      </c>
      <c r="I28" s="7"/>
      <c r="J28" s="7"/>
      <c r="K28" s="13" t="str">
        <f>IF(discount&gt;50%, product, "")</f>
        <v/>
      </c>
      <c r="L28" s="7"/>
      <c r="M28" s="7"/>
      <c r="N28" s="7"/>
      <c r="O28" s="14"/>
      <c r="P28" s="14"/>
    </row>
    <row r="29">
      <c r="A29" s="7" t="s">
        <v>48</v>
      </c>
      <c r="B29" s="7" t="s">
        <v>15</v>
      </c>
      <c r="C29" s="8">
        <v>299.0</v>
      </c>
      <c r="D29" s="8">
        <v>399.0</v>
      </c>
      <c r="E29" s="9">
        <v>0.25</v>
      </c>
      <c r="F29" s="10">
        <v>4.0</v>
      </c>
      <c r="G29" s="11">
        <v>2766.0</v>
      </c>
      <c r="I29" s="7"/>
      <c r="J29" s="7"/>
      <c r="K29" s="13" t="str">
        <f>IF(discount&gt;50%, product, "")</f>
        <v/>
      </c>
      <c r="L29" s="7"/>
      <c r="M29" s="7"/>
      <c r="N29" s="7"/>
      <c r="O29" s="14"/>
      <c r="P29" s="14"/>
    </row>
    <row r="30">
      <c r="A30" s="7" t="s">
        <v>49</v>
      </c>
      <c r="B30" s="7" t="s">
        <v>15</v>
      </c>
      <c r="C30" s="8">
        <v>970.0</v>
      </c>
      <c r="D30" s="8">
        <v>1999.0</v>
      </c>
      <c r="E30" s="9">
        <v>0.51</v>
      </c>
      <c r="F30" s="10">
        <v>4.4</v>
      </c>
      <c r="G30" s="10">
        <v>184.0</v>
      </c>
      <c r="I30" s="7"/>
      <c r="J30" s="7"/>
      <c r="K30" s="13" t="str">
        <f>IF(discount&gt;50%, product, "")</f>
        <v>Duracell USB C To Lightning Apple Certified (Mfi) Braided Sync &amp; Charge Cable For Iphone, Ipad And Ipod. Fast Charging Lightning Cable, 3.9 Feet (1.2M) - Black</v>
      </c>
      <c r="L30" s="7"/>
      <c r="M30" s="7"/>
      <c r="N30" s="7"/>
      <c r="O30" s="14"/>
      <c r="P30" s="14"/>
    </row>
    <row r="31">
      <c r="A31" s="7" t="s">
        <v>50</v>
      </c>
      <c r="B31" s="7" t="s">
        <v>15</v>
      </c>
      <c r="C31" s="8">
        <v>299.0</v>
      </c>
      <c r="D31" s="8">
        <v>999.0</v>
      </c>
      <c r="E31" s="9">
        <v>0.7</v>
      </c>
      <c r="F31" s="10">
        <v>4.3</v>
      </c>
      <c r="G31" s="11">
        <v>20850.0</v>
      </c>
      <c r="I31" s="7"/>
      <c r="J31" s="7"/>
      <c r="K31" s="13" t="str">
        <f>IF(discount&gt;50%, product, "")</f>
        <v>boAt A400 USB Type-C to USB-A 2.0 Male Data Cable, 2 Meter (Black)</v>
      </c>
      <c r="L31" s="7"/>
      <c r="M31" s="7"/>
      <c r="N31" s="7"/>
      <c r="O31" s="14"/>
      <c r="P31" s="14"/>
    </row>
    <row r="32">
      <c r="A32" s="7" t="s">
        <v>51</v>
      </c>
      <c r="B32" s="7" t="s">
        <v>15</v>
      </c>
      <c r="C32" s="8">
        <v>199.0</v>
      </c>
      <c r="D32" s="8">
        <v>750.0</v>
      </c>
      <c r="E32" s="9">
        <v>0.73</v>
      </c>
      <c r="F32" s="10">
        <v>4.5</v>
      </c>
      <c r="G32" s="11">
        <v>74976.0</v>
      </c>
      <c r="I32" s="7"/>
      <c r="J32" s="7"/>
      <c r="K32" s="13" t="str">
        <f>IF(discount&gt;50%, product, "")</f>
        <v>AmazonBasics USB 2.0 - A-Male to A-Female Extension Cable for Personal Computer, Printer (Black, 9.8 Feet/3 Meters)</v>
      </c>
      <c r="L32" s="7"/>
      <c r="M32" s="7"/>
      <c r="N32" s="7"/>
      <c r="O32" s="14"/>
      <c r="P32" s="14"/>
    </row>
    <row r="33">
      <c r="A33" s="7" t="s">
        <v>52</v>
      </c>
      <c r="B33" s="7" t="s">
        <v>15</v>
      </c>
      <c r="C33" s="8">
        <v>179.0</v>
      </c>
      <c r="D33" s="8">
        <v>499.0</v>
      </c>
      <c r="E33" s="9">
        <v>0.64</v>
      </c>
      <c r="F33" s="10">
        <v>4.0</v>
      </c>
      <c r="G33" s="11">
        <v>1934.0</v>
      </c>
      <c r="I33" s="7"/>
      <c r="J33" s="7"/>
      <c r="K33" s="13" t="str">
        <f>IF(discount&gt;50%, product, "")</f>
        <v>Ambrane 60W / 3A Type C Fast Charging Unbreakable 1.5m L Shaped Braided Cable, PD Technology, 480Mbps Data Transfer for Smartphones, Tablet, Laptops &amp; other type c devices (ABLC10, Black)</v>
      </c>
      <c r="L33" s="7"/>
      <c r="M33" s="7"/>
      <c r="N33" s="7"/>
      <c r="O33" s="14"/>
      <c r="P33" s="14"/>
    </row>
    <row r="34">
      <c r="A34" s="7" t="s">
        <v>53</v>
      </c>
      <c r="B34" s="7" t="s">
        <v>15</v>
      </c>
      <c r="C34" s="8">
        <v>389.0</v>
      </c>
      <c r="D34" s="8">
        <v>1099.0</v>
      </c>
      <c r="E34" s="9">
        <v>0.65</v>
      </c>
      <c r="F34" s="10">
        <v>4.3</v>
      </c>
      <c r="G34" s="10">
        <v>974.0</v>
      </c>
      <c r="I34" s="7"/>
      <c r="J34" s="7"/>
      <c r="K34" s="13" t="str">
        <f>IF(discount&gt;50%, product, "")</f>
        <v>Zoul USB C 60W Fast Charging 3A 6ft/2M Long Type C Nylon Braided Data Cable Quick Charger Cable QC 3.0 for Samsung Galaxy M31S M30 S10 S9 S20 Plus, Note 10 9 8, A20e A40 A50 A70 (2M, Grey)</v>
      </c>
      <c r="L34" s="7"/>
      <c r="M34" s="7"/>
      <c r="N34" s="7"/>
      <c r="O34" s="14"/>
      <c r="P34" s="14"/>
    </row>
    <row r="35">
      <c r="A35" s="7" t="s">
        <v>54</v>
      </c>
      <c r="B35" s="7" t="s">
        <v>15</v>
      </c>
      <c r="C35" s="8">
        <v>599.0</v>
      </c>
      <c r="D35" s="8">
        <v>599.0</v>
      </c>
      <c r="E35" s="9">
        <v>0.0</v>
      </c>
      <c r="F35" s="10">
        <v>4.3</v>
      </c>
      <c r="G35" s="10">
        <v>355.0</v>
      </c>
      <c r="I35" s="7"/>
      <c r="J35" s="7"/>
      <c r="K35" s="13" t="str">
        <f>IF(discount&gt;50%, product, "")</f>
        <v/>
      </c>
      <c r="L35" s="7"/>
      <c r="M35" s="7"/>
      <c r="N35" s="7"/>
      <c r="O35" s="14"/>
      <c r="P35" s="14"/>
    </row>
    <row r="36">
      <c r="A36" s="7" t="s">
        <v>55</v>
      </c>
      <c r="B36" s="7" t="s">
        <v>15</v>
      </c>
      <c r="C36" s="8">
        <v>199.0</v>
      </c>
      <c r="D36" s="8">
        <v>999.0</v>
      </c>
      <c r="E36" s="9">
        <v>0.8</v>
      </c>
      <c r="F36" s="10">
        <v>3.9</v>
      </c>
      <c r="G36" s="11">
        <v>1075.0</v>
      </c>
      <c r="I36" s="7"/>
      <c r="J36" s="7"/>
      <c r="K36" s="13" t="str">
        <f>IF(discount&gt;50%, product, "")</f>
        <v>pTron Solero T351 3.5Amps Fast Charging Type-C to Type-C PD Data &amp; Charging USB Cable, Made in India, 480Mbps Data Sync, Durable 1 Meter Long Cable for Type-C Smartphones, Tablets &amp; Laptops (Black)</v>
      </c>
      <c r="L36" s="7"/>
      <c r="M36" s="7"/>
      <c r="N36" s="7"/>
      <c r="O36" s="14"/>
      <c r="P36" s="14"/>
    </row>
    <row r="37">
      <c r="A37" s="7" t="s">
        <v>56</v>
      </c>
      <c r="B37" s="7" t="s">
        <v>15</v>
      </c>
      <c r="C37" s="8">
        <v>99.0</v>
      </c>
      <c r="D37" s="8">
        <v>666.66</v>
      </c>
      <c r="E37" s="9">
        <v>0.85</v>
      </c>
      <c r="F37" s="10">
        <v>3.9</v>
      </c>
      <c r="G37" s="11">
        <v>24871.0</v>
      </c>
      <c r="I37" s="7"/>
      <c r="J37" s="7"/>
      <c r="K37" s="13" t="str">
        <f>IF(discount&gt;50%, product, "")</f>
        <v>pTron Solero MB301 3A Micro USB Data &amp; Charging Cable, Made in India, 480Mbps Data Sync, Strong &amp; Durable 1.5-Meter Nylon Braided USB Cable for Micro USB Devices - (Black)</v>
      </c>
      <c r="L37" s="7"/>
      <c r="M37" s="7"/>
      <c r="N37" s="7"/>
      <c r="O37" s="14"/>
      <c r="P37" s="14"/>
    </row>
    <row r="38">
      <c r="A38" s="7" t="s">
        <v>57</v>
      </c>
      <c r="B38" s="7" t="s">
        <v>15</v>
      </c>
      <c r="C38" s="8">
        <v>899.0</v>
      </c>
      <c r="D38" s="8">
        <v>1900.0</v>
      </c>
      <c r="E38" s="9">
        <v>0.53</v>
      </c>
      <c r="F38" s="10">
        <v>4.4</v>
      </c>
      <c r="G38" s="11">
        <v>13552.0</v>
      </c>
      <c r="I38" s="7"/>
      <c r="J38" s="7"/>
      <c r="K38" s="13" t="str">
        <f>IF(discount&gt;50%, product, "")</f>
        <v>Amazonbasics Nylon Braided Usb-C To Lightning Cable, Fast Charging Mfi Certified Smartphone, Iphone Charger (6-Foot, Dark Grey)</v>
      </c>
      <c r="L38" s="7"/>
      <c r="M38" s="7"/>
      <c r="N38" s="7"/>
      <c r="O38" s="14"/>
      <c r="P38" s="14"/>
    </row>
    <row r="39">
      <c r="A39" s="7" t="s">
        <v>58</v>
      </c>
      <c r="B39" s="7" t="s">
        <v>15</v>
      </c>
      <c r="C39" s="8">
        <v>199.0</v>
      </c>
      <c r="D39" s="8">
        <v>999.0</v>
      </c>
      <c r="E39" s="9">
        <v>0.8</v>
      </c>
      <c r="F39" s="10">
        <v>4.0</v>
      </c>
      <c r="G39" s="10">
        <v>576.0</v>
      </c>
      <c r="I39" s="7"/>
      <c r="J39" s="7"/>
      <c r="K39" s="13" t="str">
        <f>IF(discount&gt;50%, product, "")</f>
        <v>Sounce 65W OnePlus Dash Warp Charge Cable, 6.5A Type-C to USB C PD Data Sync Fast Charging Cable Compatible with One Plus 8T/ 9/ 9R/ 9 pro/ 9RT/ 10R/ Nord &amp; for All Type C Devices – Red, 1 Meter</v>
      </c>
      <c r="L39" s="7"/>
      <c r="M39" s="7"/>
      <c r="N39" s="7"/>
      <c r="O39" s="14"/>
      <c r="P39" s="14"/>
    </row>
    <row r="40">
      <c r="A40" s="7" t="s">
        <v>59</v>
      </c>
      <c r="B40" s="7" t="s">
        <v>37</v>
      </c>
      <c r="C40" s="8">
        <v>32999.0</v>
      </c>
      <c r="D40" s="8">
        <v>45999.0</v>
      </c>
      <c r="E40" s="9">
        <v>0.28</v>
      </c>
      <c r="F40" s="10">
        <v>4.2</v>
      </c>
      <c r="G40" s="11">
        <v>7298.0</v>
      </c>
      <c r="I40" s="7"/>
      <c r="J40" s="7"/>
      <c r="K40" s="13" t="str">
        <f>IF(discount&gt;50%, product, "")</f>
        <v/>
      </c>
      <c r="L40" s="7"/>
      <c r="M40" s="7"/>
      <c r="N40" s="7"/>
      <c r="O40" s="14"/>
      <c r="P40" s="14"/>
    </row>
    <row r="41">
      <c r="A41" s="7" t="s">
        <v>60</v>
      </c>
      <c r="B41" s="7" t="s">
        <v>15</v>
      </c>
      <c r="C41" s="8">
        <v>970.0</v>
      </c>
      <c r="D41" s="8">
        <v>1999.0</v>
      </c>
      <c r="E41" s="9">
        <v>0.51</v>
      </c>
      <c r="F41" s="10">
        <v>4.2</v>
      </c>
      <c r="G41" s="10">
        <v>462.0</v>
      </c>
      <c r="I41" s="7"/>
      <c r="J41" s="7"/>
      <c r="K41" s="13" t="str">
        <f>IF(discount&gt;50%, product, "")</f>
        <v>Duracell Type C To Type C 5A (100W) Braided Sync &amp; Fast Charging Cable, 3.9 Feet (1.2M). USB C to C Cable, Supports PD &amp; QC 3.0 Charging, 5 GBPS Data Transmission – Black</v>
      </c>
      <c r="L41" s="7"/>
      <c r="M41" s="7"/>
      <c r="N41" s="7"/>
      <c r="O41" s="14"/>
      <c r="P41" s="14"/>
    </row>
    <row r="42">
      <c r="A42" s="7" t="s">
        <v>61</v>
      </c>
      <c r="B42" s="7" t="s">
        <v>15</v>
      </c>
      <c r="C42" s="8">
        <v>209.0</v>
      </c>
      <c r="D42" s="8">
        <v>695.0</v>
      </c>
      <c r="E42" s="9">
        <v>0.7</v>
      </c>
      <c r="F42" s="10">
        <v>4.5</v>
      </c>
      <c r="G42" s="7" t="s">
        <v>62</v>
      </c>
      <c r="I42" s="7"/>
      <c r="J42" s="7"/>
      <c r="K42" s="13" t="str">
        <f>IF(discount&gt;50%, product, "")</f>
        <v>AmazonBasics USB 2.0 Cable - A-Male to B-Male - for Personal Computer, Printer- 6 Feet (1.8 Meters), Black</v>
      </c>
      <c r="L42" s="7"/>
      <c r="M42" s="7"/>
      <c r="N42" s="7"/>
      <c r="O42" s="14"/>
      <c r="P42" s="14"/>
    </row>
    <row r="43">
      <c r="A43" s="7" t="s">
        <v>63</v>
      </c>
      <c r="B43" s="7" t="s">
        <v>37</v>
      </c>
      <c r="C43" s="8">
        <v>19999.0</v>
      </c>
      <c r="D43" s="8">
        <v>34999.0</v>
      </c>
      <c r="E43" s="9">
        <v>0.43</v>
      </c>
      <c r="F43" s="10">
        <v>4.3</v>
      </c>
      <c r="G43" s="11">
        <v>27151.0</v>
      </c>
      <c r="I43" s="7"/>
      <c r="J43" s="7"/>
      <c r="K43" s="13" t="str">
        <f>IF(discount&gt;50%, product, "")</f>
        <v/>
      </c>
      <c r="L43" s="7"/>
      <c r="M43" s="7"/>
      <c r="N43" s="7"/>
      <c r="O43" s="14"/>
      <c r="P43" s="14"/>
    </row>
    <row r="44">
      <c r="A44" s="7" t="s">
        <v>64</v>
      </c>
      <c r="B44" s="7" t="s">
        <v>15</v>
      </c>
      <c r="C44" s="8">
        <v>399.0</v>
      </c>
      <c r="D44" s="8">
        <v>1099.0</v>
      </c>
      <c r="E44" s="9">
        <v>0.64</v>
      </c>
      <c r="F44" s="10">
        <v>4.2</v>
      </c>
      <c r="G44" s="11">
        <v>24269.0</v>
      </c>
      <c r="I44" s="7"/>
      <c r="J44" s="7"/>
      <c r="K44" s="13" t="str">
        <f>IF(discount&gt;50%, product, "")</f>
        <v>Wayona Nylon Braided 3A Lightning to USB A Syncing and Fast Charging Data Cable for iPhone, Ipad (3 FT Pack of 1, Black)</v>
      </c>
      <c r="L44" s="7"/>
      <c r="M44" s="7"/>
      <c r="N44" s="7"/>
      <c r="O44" s="14"/>
      <c r="P44" s="14"/>
    </row>
    <row r="45">
      <c r="A45" s="7" t="s">
        <v>65</v>
      </c>
      <c r="B45" s="7" t="s">
        <v>25</v>
      </c>
      <c r="C45" s="8">
        <v>999.0</v>
      </c>
      <c r="D45" s="8">
        <v>1599.0</v>
      </c>
      <c r="E45" s="9">
        <v>0.38</v>
      </c>
      <c r="F45" s="10">
        <v>4.3</v>
      </c>
      <c r="G45" s="11">
        <v>12093.0</v>
      </c>
      <c r="I45" s="7"/>
      <c r="J45" s="7"/>
      <c r="K45" s="13" t="str">
        <f>IF(discount&gt;50%, product, "")</f>
        <v/>
      </c>
      <c r="L45" s="7"/>
      <c r="M45" s="7"/>
      <c r="N45" s="7"/>
      <c r="O45" s="14"/>
      <c r="P45" s="14"/>
    </row>
    <row r="46">
      <c r="A46" s="7" t="s">
        <v>66</v>
      </c>
      <c r="B46" s="7" t="s">
        <v>15</v>
      </c>
      <c r="C46" s="8">
        <v>59.0</v>
      </c>
      <c r="D46" s="8">
        <v>199.0</v>
      </c>
      <c r="E46" s="9">
        <v>0.7</v>
      </c>
      <c r="F46" s="10">
        <v>4.0</v>
      </c>
      <c r="G46" s="11">
        <v>9378.0</v>
      </c>
      <c r="I46" s="7"/>
      <c r="J46" s="7"/>
      <c r="K46" s="13" t="str">
        <f>IF(discount&gt;50%, product, "")</f>
        <v>FLiX (Beetel USB to Micro USB PVC Data Sync &amp; 2A Fast Charging Cable, Made in India, 480Mbps Data Sync, Solid Cable, 1 Meter Long USB Cable for Micro USB Devices (White)(XCD-M11)</v>
      </c>
      <c r="L46" s="7"/>
      <c r="M46" s="7"/>
      <c r="N46" s="7"/>
      <c r="O46" s="14"/>
      <c r="P46" s="14"/>
    </row>
    <row r="47">
      <c r="A47" s="7" t="s">
        <v>67</v>
      </c>
      <c r="B47" s="7" t="s">
        <v>15</v>
      </c>
      <c r="C47" s="8">
        <v>333.0</v>
      </c>
      <c r="D47" s="8">
        <v>999.0</v>
      </c>
      <c r="E47" s="9">
        <v>0.67</v>
      </c>
      <c r="F47" s="10">
        <v>3.3</v>
      </c>
      <c r="G47" s="11">
        <v>9792.0</v>
      </c>
      <c r="I47" s="7"/>
      <c r="J47" s="7"/>
      <c r="K47" s="13" t="str">
        <f>IF(discount&gt;50%, product, "")</f>
        <v>Wecool Nylon Braided Multifunction Fast Charging Cable For Android Smartphone, Ios And Type C Usb Devices, 3 In 1 Charging Cable, 3A, (3 Feet) (Black)</v>
      </c>
      <c r="L47" s="7"/>
      <c r="M47" s="7"/>
      <c r="N47" s="7"/>
      <c r="O47" s="14"/>
      <c r="P47" s="14"/>
    </row>
    <row r="48">
      <c r="A48" s="7" t="s">
        <v>68</v>
      </c>
      <c r="B48" s="7" t="s">
        <v>25</v>
      </c>
      <c r="C48" s="8">
        <v>507.0</v>
      </c>
      <c r="D48" s="8">
        <v>1208.0</v>
      </c>
      <c r="E48" s="9">
        <v>0.58</v>
      </c>
      <c r="F48" s="10">
        <v>4.1</v>
      </c>
      <c r="G48" s="11">
        <v>8131.0</v>
      </c>
      <c r="I48" s="7"/>
      <c r="J48" s="7"/>
      <c r="K48" s="13" t="str">
        <f>IF(discount&gt;50%, product, "")</f>
        <v>D-Link DWA-131 300 Mbps Wireless Nano USB Adapter (Black)</v>
      </c>
      <c r="L48" s="7"/>
      <c r="M48" s="7"/>
      <c r="N48" s="7"/>
      <c r="O48" s="14"/>
      <c r="P48" s="14"/>
    </row>
    <row r="49">
      <c r="A49" s="7" t="s">
        <v>69</v>
      </c>
      <c r="B49" s="7" t="s">
        <v>31</v>
      </c>
      <c r="C49" s="8">
        <v>309.0</v>
      </c>
      <c r="D49" s="8">
        <v>475.0</v>
      </c>
      <c r="E49" s="9">
        <v>0.35</v>
      </c>
      <c r="F49" s="10">
        <v>4.4</v>
      </c>
      <c r="G49" s="7" t="s">
        <v>32</v>
      </c>
      <c r="I49" s="7"/>
      <c r="J49" s="7"/>
      <c r="K49" s="13" t="str">
        <f>IF(discount&gt;50%, product, "")</f>
        <v/>
      </c>
      <c r="L49" s="7"/>
      <c r="M49" s="7"/>
      <c r="N49" s="7"/>
      <c r="O49" s="14"/>
      <c r="P49" s="14"/>
    </row>
    <row r="50">
      <c r="A50" s="7" t="s">
        <v>70</v>
      </c>
      <c r="B50" s="7" t="s">
        <v>71</v>
      </c>
      <c r="C50" s="8">
        <v>399.0</v>
      </c>
      <c r="D50" s="8">
        <v>999.0</v>
      </c>
      <c r="E50" s="9">
        <v>0.6</v>
      </c>
      <c r="F50" s="10">
        <v>3.6</v>
      </c>
      <c r="G50" s="10">
        <v>493.0</v>
      </c>
      <c r="I50" s="7"/>
      <c r="J50" s="7"/>
      <c r="K50" s="13" t="str">
        <f>IF(discount&gt;50%, product, "")</f>
        <v>7SEVEN® Compatible for Samsung Smart 4K Ultra HD TV Monitor Remote Control Replacement of Original Samsung TV Remote for LED OLED UHD QLED and Suitable for 6 7 8 Series Samsung TV with Hot Keys BN59-01259E</v>
      </c>
      <c r="L50" s="7"/>
      <c r="M50" s="7"/>
      <c r="N50" s="7"/>
      <c r="O50" s="14"/>
      <c r="P50" s="14"/>
    </row>
    <row r="51">
      <c r="A51" s="7" t="s">
        <v>72</v>
      </c>
      <c r="B51" s="7" t="s">
        <v>15</v>
      </c>
      <c r="C51" s="8">
        <v>199.0</v>
      </c>
      <c r="D51" s="8">
        <v>395.0</v>
      </c>
      <c r="E51" s="9">
        <v>0.5</v>
      </c>
      <c r="F51" s="10">
        <v>4.2</v>
      </c>
      <c r="G51" s="11">
        <v>92595.0</v>
      </c>
      <c r="I51" s="7"/>
      <c r="J51" s="7"/>
      <c r="K51" s="13" t="str">
        <f>IF(discount&gt;50%, product, "")</f>
        <v/>
      </c>
      <c r="L51" s="7"/>
      <c r="M51" s="7"/>
      <c r="N51" s="7"/>
      <c r="O51" s="14"/>
      <c r="P51" s="14"/>
    </row>
    <row r="52">
      <c r="A52" s="7" t="s">
        <v>73</v>
      </c>
      <c r="B52" s="7" t="s">
        <v>25</v>
      </c>
      <c r="C52" s="8">
        <v>1199.0</v>
      </c>
      <c r="D52" s="8">
        <v>2199.0</v>
      </c>
      <c r="E52" s="9">
        <v>0.45</v>
      </c>
      <c r="F52" s="10">
        <v>4.4</v>
      </c>
      <c r="G52" s="11">
        <v>24780.0</v>
      </c>
      <c r="I52" s="7"/>
      <c r="J52" s="7"/>
      <c r="K52" s="13" t="str">
        <f>IF(discount&gt;50%, product, "")</f>
        <v/>
      </c>
      <c r="L52" s="7"/>
      <c r="M52" s="7"/>
      <c r="N52" s="7"/>
      <c r="O52" s="14"/>
      <c r="P52" s="14"/>
    </row>
    <row r="53">
      <c r="A53" s="7" t="s">
        <v>74</v>
      </c>
      <c r="B53" s="7" t="s">
        <v>15</v>
      </c>
      <c r="C53" s="8">
        <v>179.0</v>
      </c>
      <c r="D53" s="8">
        <v>500.0</v>
      </c>
      <c r="E53" s="9">
        <v>0.64</v>
      </c>
      <c r="F53" s="10">
        <v>4.2</v>
      </c>
      <c r="G53" s="11">
        <v>92595.0</v>
      </c>
      <c r="I53" s="7"/>
      <c r="J53" s="7"/>
      <c r="K53" s="13" t="str">
        <f>IF(discount&gt;50%, product, "")</f>
        <v>AmazonBasics Micro USB Fast Charging Cable for Android Phones with Gold Plated Connectors (3 Feet, Black)</v>
      </c>
      <c r="L53" s="7"/>
      <c r="M53" s="7"/>
      <c r="N53" s="7"/>
      <c r="O53" s="14"/>
      <c r="P53" s="14"/>
    </row>
    <row r="54">
      <c r="A54" s="7" t="s">
        <v>75</v>
      </c>
      <c r="B54" s="7" t="s">
        <v>15</v>
      </c>
      <c r="C54" s="8">
        <v>799.0</v>
      </c>
      <c r="D54" s="8">
        <v>2100.0</v>
      </c>
      <c r="E54" s="9">
        <v>0.62</v>
      </c>
      <c r="F54" s="10">
        <v>4.3</v>
      </c>
      <c r="G54" s="11">
        <v>8188.0</v>
      </c>
      <c r="I54" s="7"/>
      <c r="J54" s="7"/>
      <c r="K54" s="13" t="str">
        <f>IF(discount&gt;50%, product, "")</f>
        <v>AmazonBasics New Release Nylon USB-A to Lightning Cable Cord, Fast Charging MFi Certified Charger for Apple iPhone, iPad (6-Ft, Rose Gold)</v>
      </c>
      <c r="L54" s="7"/>
      <c r="M54" s="7"/>
      <c r="N54" s="7"/>
      <c r="O54" s="14"/>
      <c r="P54" s="14"/>
    </row>
    <row r="55">
      <c r="A55" s="7" t="s">
        <v>76</v>
      </c>
      <c r="B55" s="7" t="s">
        <v>77</v>
      </c>
      <c r="C55" s="8">
        <v>6999.0</v>
      </c>
      <c r="D55" s="8">
        <v>12999.0</v>
      </c>
      <c r="E55" s="9">
        <v>0.46</v>
      </c>
      <c r="F55" s="10">
        <v>4.2</v>
      </c>
      <c r="G55" s="11">
        <v>4003.0</v>
      </c>
      <c r="I55" s="7"/>
      <c r="J55" s="7"/>
      <c r="K55" s="13" t="str">
        <f>IF(discount&gt;50%, product, "")</f>
        <v/>
      </c>
      <c r="L55" s="7"/>
      <c r="M55" s="7"/>
      <c r="N55" s="7"/>
      <c r="O55" s="14"/>
      <c r="P55" s="14"/>
    </row>
    <row r="56">
      <c r="A56" s="7" t="s">
        <v>78</v>
      </c>
      <c r="B56" s="7" t="s">
        <v>15</v>
      </c>
      <c r="C56" s="8">
        <v>199.0</v>
      </c>
      <c r="D56" s="8">
        <v>349.0</v>
      </c>
      <c r="E56" s="9">
        <v>0.43</v>
      </c>
      <c r="F56" s="10">
        <v>4.1</v>
      </c>
      <c r="G56" s="10">
        <v>314.0</v>
      </c>
      <c r="I56" s="7"/>
      <c r="J56" s="7"/>
      <c r="K56" s="13" t="str">
        <f>IF(discount&gt;50%, product, "")</f>
        <v/>
      </c>
      <c r="L56" s="7"/>
      <c r="M56" s="7"/>
      <c r="N56" s="7"/>
      <c r="O56" s="14"/>
      <c r="P56" s="14"/>
    </row>
    <row r="57">
      <c r="A57" s="7" t="s">
        <v>79</v>
      </c>
      <c r="B57" s="7" t="s">
        <v>71</v>
      </c>
      <c r="C57" s="8">
        <v>230.0</v>
      </c>
      <c r="D57" s="8">
        <v>499.0</v>
      </c>
      <c r="E57" s="9">
        <v>0.54</v>
      </c>
      <c r="F57" s="10">
        <v>3.7</v>
      </c>
      <c r="G57" s="11">
        <v>2960.0</v>
      </c>
      <c r="I57" s="7"/>
      <c r="J57" s="7"/>
      <c r="K57" s="13" t="str">
        <f>IF(discount&gt;50%, product, "")</f>
        <v>Tata Sky Universal Remote</v>
      </c>
      <c r="L57" s="7"/>
      <c r="M57" s="7"/>
      <c r="N57" s="7"/>
      <c r="O57" s="14"/>
      <c r="P57" s="14"/>
    </row>
    <row r="58">
      <c r="A58" s="7" t="s">
        <v>80</v>
      </c>
      <c r="B58" s="7" t="s">
        <v>25</v>
      </c>
      <c r="C58" s="8">
        <v>649.0</v>
      </c>
      <c r="D58" s="8">
        <v>1399.0</v>
      </c>
      <c r="E58" s="9">
        <v>0.54</v>
      </c>
      <c r="F58" s="10">
        <v>4.2</v>
      </c>
      <c r="G58" s="7" t="s">
        <v>26</v>
      </c>
      <c r="I58" s="7"/>
      <c r="J58" s="7"/>
      <c r="K58" s="13" t="str">
        <f>IF(discount&gt;50%, product, "")</f>
        <v>TP-LINK WiFi Dongle 300 Mbps Mini Wireless Network USB Wi-Fi Adapter for PC Desktop Laptop(Supports Windows 11/10/8.1/8/7/XP, Mac OS 10.9-10.15 and Linux, WPS, Soft AP Mode, USB 2.0) (TL-WN823N),Black</v>
      </c>
      <c r="L58" s="7"/>
      <c r="M58" s="7"/>
      <c r="N58" s="7"/>
      <c r="O58" s="14"/>
      <c r="P58" s="14"/>
    </row>
    <row r="59">
      <c r="A59" s="7" t="s">
        <v>81</v>
      </c>
      <c r="B59" s="7" t="s">
        <v>37</v>
      </c>
      <c r="C59" s="8">
        <v>15999.0</v>
      </c>
      <c r="D59" s="8">
        <v>21999.0</v>
      </c>
      <c r="E59" s="9">
        <v>0.27</v>
      </c>
      <c r="F59" s="10">
        <v>4.2</v>
      </c>
      <c r="G59" s="11">
        <v>34899.0</v>
      </c>
      <c r="I59" s="7"/>
      <c r="J59" s="7"/>
      <c r="K59" s="13" t="str">
        <f>IF(discount&gt;50%, product, "")</f>
        <v/>
      </c>
      <c r="L59" s="7"/>
      <c r="M59" s="7"/>
      <c r="N59" s="7"/>
      <c r="O59" s="14"/>
      <c r="P59" s="14"/>
    </row>
    <row r="60">
      <c r="A60" s="7" t="s">
        <v>82</v>
      </c>
      <c r="B60" s="7" t="s">
        <v>15</v>
      </c>
      <c r="C60" s="8">
        <v>348.0</v>
      </c>
      <c r="D60" s="8">
        <v>1499.0</v>
      </c>
      <c r="E60" s="9">
        <v>0.77</v>
      </c>
      <c r="F60" s="10">
        <v>4.2</v>
      </c>
      <c r="G60" s="10">
        <v>656.0</v>
      </c>
      <c r="I60" s="7"/>
      <c r="J60" s="7"/>
      <c r="K60" s="13" t="str">
        <f>IF(discount&gt;50%, product, "")</f>
        <v>Wecool Unbreakable 3 in 1 Charging Cable with 3A Speed, Fast Charging Multi Purpose Cable 1.25 Mtr Long, Type C cable, Micro Usb Cable and Cable for iPhone, White</v>
      </c>
      <c r="L60" s="7"/>
      <c r="M60" s="7"/>
      <c r="N60" s="7"/>
      <c r="O60" s="14"/>
      <c r="P60" s="14"/>
    </row>
    <row r="61">
      <c r="A61" s="7" t="s">
        <v>83</v>
      </c>
      <c r="B61" s="7" t="s">
        <v>15</v>
      </c>
      <c r="C61" s="8">
        <v>154.0</v>
      </c>
      <c r="D61" s="8">
        <v>349.0</v>
      </c>
      <c r="E61" s="9">
        <v>0.56</v>
      </c>
      <c r="F61" s="10">
        <v>4.3</v>
      </c>
      <c r="G61" s="11">
        <v>7064.0</v>
      </c>
      <c r="I61" s="7"/>
      <c r="J61" s="7"/>
      <c r="K61" s="13" t="str">
        <f>IF(discount&gt;50%, product, "")</f>
        <v>Portronics Konnect L 1.2Mtr, Fast Charging 3A Micro USB Cable with Charge &amp; Sync Function (Grey)</v>
      </c>
      <c r="L61" s="7"/>
      <c r="M61" s="7"/>
      <c r="N61" s="7"/>
      <c r="O61" s="14"/>
      <c r="P61" s="14"/>
    </row>
    <row r="62">
      <c r="A62" s="7" t="s">
        <v>84</v>
      </c>
      <c r="B62" s="7" t="s">
        <v>71</v>
      </c>
      <c r="C62" s="8">
        <v>179.0</v>
      </c>
      <c r="D62" s="8">
        <v>799.0</v>
      </c>
      <c r="E62" s="9">
        <v>0.78</v>
      </c>
      <c r="F62" s="10">
        <v>3.7</v>
      </c>
      <c r="G62" s="11">
        <v>2201.0</v>
      </c>
      <c r="I62" s="7"/>
      <c r="J62" s="7"/>
      <c r="K62" s="13" t="str">
        <f>IF(discount&gt;50%, product, "")</f>
        <v>Airtel DigitalTV DTH Television, Setup Box Remote Compatible for SD and HD Recording (Black)</v>
      </c>
      <c r="L62" s="7"/>
      <c r="M62" s="7"/>
      <c r="N62" s="7"/>
      <c r="O62" s="14"/>
      <c r="P62" s="14"/>
    </row>
    <row r="63">
      <c r="A63" s="7" t="s">
        <v>85</v>
      </c>
      <c r="B63" s="7" t="s">
        <v>37</v>
      </c>
      <c r="C63" s="8">
        <v>32990.0</v>
      </c>
      <c r="D63" s="8">
        <v>47900.0</v>
      </c>
      <c r="E63" s="9">
        <v>0.31</v>
      </c>
      <c r="F63" s="10">
        <v>4.3</v>
      </c>
      <c r="G63" s="11">
        <v>7109.0</v>
      </c>
      <c r="I63" s="7"/>
      <c r="J63" s="7"/>
      <c r="K63" s="13" t="str">
        <f>IF(discount&gt;50%, product, "")</f>
        <v/>
      </c>
      <c r="L63" s="7"/>
      <c r="M63" s="7"/>
      <c r="N63" s="7"/>
      <c r="O63" s="14"/>
      <c r="P63" s="14"/>
    </row>
    <row r="64">
      <c r="A64" s="7" t="s">
        <v>86</v>
      </c>
      <c r="B64" s="7" t="s">
        <v>15</v>
      </c>
      <c r="C64" s="8">
        <v>139.0</v>
      </c>
      <c r="D64" s="8">
        <v>999.0</v>
      </c>
      <c r="E64" s="9">
        <v>0.86</v>
      </c>
      <c r="F64" s="10">
        <v>4.0</v>
      </c>
      <c r="G64" s="11">
        <v>1313.0</v>
      </c>
      <c r="I64" s="7"/>
      <c r="J64" s="7"/>
      <c r="K64" s="13" t="str">
        <f>IF(discount&gt;50%, product, "")</f>
        <v>Lapster 1.5 mtr USB 2.0 Type A Male to USB A Male Cable for computer and laptop</v>
      </c>
      <c r="L64" s="7"/>
      <c r="M64" s="7"/>
      <c r="N64" s="7"/>
      <c r="O64" s="14"/>
      <c r="P64" s="14"/>
    </row>
    <row r="65">
      <c r="A65" s="7" t="s">
        <v>87</v>
      </c>
      <c r="B65" s="7" t="s">
        <v>15</v>
      </c>
      <c r="C65" s="8">
        <v>329.0</v>
      </c>
      <c r="D65" s="8">
        <v>845.0</v>
      </c>
      <c r="E65" s="9">
        <v>0.61</v>
      </c>
      <c r="F65" s="10">
        <v>4.2</v>
      </c>
      <c r="G65" s="11">
        <v>29746.0</v>
      </c>
      <c r="I65" s="7"/>
      <c r="J65" s="7"/>
      <c r="K65" s="13" t="str">
        <f>IF(discount&gt;50%, product, "")</f>
        <v>AmazonBasics USB Type-C to USB Type-C 2.0 Cable - 3 Feet Laptop (0.9 Meters) - White</v>
      </c>
      <c r="L65" s="7"/>
      <c r="M65" s="7"/>
      <c r="N65" s="7"/>
      <c r="O65" s="14"/>
      <c r="P65" s="14"/>
    </row>
    <row r="66">
      <c r="A66" s="7" t="s">
        <v>88</v>
      </c>
      <c r="B66" s="7" t="s">
        <v>37</v>
      </c>
      <c r="C66" s="8">
        <v>13999.0</v>
      </c>
      <c r="D66" s="8">
        <v>24999.0</v>
      </c>
      <c r="E66" s="9">
        <v>0.44</v>
      </c>
      <c r="F66" s="10">
        <v>4.2</v>
      </c>
      <c r="G66" s="11">
        <v>45238.0</v>
      </c>
      <c r="I66" s="7"/>
      <c r="J66" s="7"/>
      <c r="K66" s="13" t="str">
        <f>IF(discount&gt;50%, product, "")</f>
        <v/>
      </c>
      <c r="L66" s="7"/>
      <c r="M66" s="7"/>
      <c r="N66" s="7"/>
      <c r="O66" s="14"/>
      <c r="P66" s="14"/>
    </row>
    <row r="67">
      <c r="A67" s="7" t="s">
        <v>89</v>
      </c>
      <c r="B67" s="7" t="s">
        <v>31</v>
      </c>
      <c r="C67" s="8">
        <v>309.0</v>
      </c>
      <c r="D67" s="8">
        <v>1400.0</v>
      </c>
      <c r="E67" s="9">
        <v>0.78</v>
      </c>
      <c r="F67" s="10">
        <v>4.4</v>
      </c>
      <c r="G67" s="7" t="s">
        <v>32</v>
      </c>
      <c r="I67" s="7"/>
      <c r="J67" s="7"/>
      <c r="K67" s="13" t="str">
        <f>IF(discount&gt;50%, product, "")</f>
        <v>Amazon Basics High-Speed HDMI Cable, 6 Feet (2-Pack),Black</v>
      </c>
      <c r="L67" s="7"/>
      <c r="M67" s="7"/>
      <c r="N67" s="7"/>
      <c r="O67" s="14"/>
      <c r="P67" s="14"/>
    </row>
    <row r="68">
      <c r="A68" s="7" t="s">
        <v>90</v>
      </c>
      <c r="B68" s="7" t="s">
        <v>15</v>
      </c>
      <c r="C68" s="8">
        <v>263.0</v>
      </c>
      <c r="D68" s="8">
        <v>699.0</v>
      </c>
      <c r="E68" s="9">
        <v>0.62</v>
      </c>
      <c r="F68" s="10">
        <v>4.1</v>
      </c>
      <c r="G68" s="10">
        <v>450.0</v>
      </c>
      <c r="I68" s="7"/>
      <c r="J68" s="7"/>
      <c r="K68" s="13" t="str">
        <f>IF(discount&gt;50%, product, "")</f>
        <v>Portronics Konnect L 20W PD Quick Charge Type-C to 8-Pin USB Mobile Charging Cable, 1.2M, Tangle Resistant, Fast Data Sync(Grey)</v>
      </c>
      <c r="L68" s="7"/>
      <c r="M68" s="7"/>
      <c r="N68" s="7"/>
      <c r="O68" s="14"/>
      <c r="P68" s="14"/>
    </row>
    <row r="69">
      <c r="A69" s="7" t="s">
        <v>91</v>
      </c>
      <c r="B69" s="7" t="s">
        <v>77</v>
      </c>
      <c r="C69" s="8">
        <v>7999.0</v>
      </c>
      <c r="D69" s="8">
        <v>14990.0</v>
      </c>
      <c r="E69" s="9">
        <v>0.47</v>
      </c>
      <c r="F69" s="10">
        <v>4.3</v>
      </c>
      <c r="G69" s="10">
        <v>457.0</v>
      </c>
      <c r="I69" s="7"/>
      <c r="J69" s="7"/>
      <c r="K69" s="13" t="str">
        <f>IF(discount&gt;50%, product, "")</f>
        <v/>
      </c>
      <c r="L69" s="7"/>
      <c r="M69" s="7"/>
      <c r="N69" s="7"/>
      <c r="O69" s="14"/>
      <c r="P69" s="14"/>
    </row>
    <row r="70">
      <c r="A70" s="7" t="s">
        <v>92</v>
      </c>
      <c r="B70" s="7" t="s">
        <v>93</v>
      </c>
      <c r="C70" s="8">
        <v>1599.0</v>
      </c>
      <c r="D70" s="8">
        <v>2999.0</v>
      </c>
      <c r="E70" s="9">
        <v>0.47</v>
      </c>
      <c r="F70" s="10">
        <v>4.2</v>
      </c>
      <c r="G70" s="11">
        <v>2727.0</v>
      </c>
      <c r="I70" s="7"/>
      <c r="J70" s="7"/>
      <c r="K70" s="13" t="str">
        <f>IF(discount&gt;50%, product, "")</f>
        <v/>
      </c>
      <c r="L70" s="7"/>
      <c r="M70" s="7"/>
      <c r="N70" s="7"/>
      <c r="O70" s="14"/>
      <c r="P70" s="14"/>
    </row>
    <row r="71">
      <c r="A71" s="7" t="s">
        <v>94</v>
      </c>
      <c r="B71" s="7" t="s">
        <v>15</v>
      </c>
      <c r="C71" s="8">
        <v>219.0</v>
      </c>
      <c r="D71" s="8">
        <v>700.0</v>
      </c>
      <c r="E71" s="9">
        <v>0.69</v>
      </c>
      <c r="F71" s="10">
        <v>4.3</v>
      </c>
      <c r="G71" s="11">
        <v>20053.0</v>
      </c>
      <c r="I71" s="7"/>
      <c r="J71" s="7"/>
      <c r="K71" s="13" t="str">
        <f>IF(discount&gt;50%, product, "")</f>
        <v>Amazon Basics USB Type-C to USB-A 2.0 Male Fast Charging Cable for Laptop - 3 Feet (0.9 Meters), Black</v>
      </c>
      <c r="L71" s="7"/>
      <c r="M71" s="7"/>
      <c r="N71" s="7"/>
      <c r="O71" s="14"/>
      <c r="P71" s="14"/>
    </row>
    <row r="72">
      <c r="A72" s="7" t="s">
        <v>95</v>
      </c>
      <c r="B72" s="7" t="s">
        <v>15</v>
      </c>
      <c r="C72" s="8">
        <v>349.0</v>
      </c>
      <c r="D72" s="8">
        <v>899.0</v>
      </c>
      <c r="E72" s="9">
        <v>0.61</v>
      </c>
      <c r="F72" s="10">
        <v>4.5</v>
      </c>
      <c r="G72" s="10">
        <v>149.0</v>
      </c>
      <c r="I72" s="7"/>
      <c r="J72" s="7"/>
      <c r="K72" s="13" t="str">
        <f>IF(discount&gt;50%, product, "")</f>
        <v>oraimo 65W Type C to C Fast Charging Cable USB C to USB C Cable High Speed Syncing, Nylon Braided 1M length with LED Indicator Compatible For Laptop, Macbook, Samsung Galaxy S22 S20 S10 S20Fe S21 S21 Ultra A70 A51 A71 A50S M31 M51 M31S M53 5G</v>
      </c>
      <c r="L72" s="7"/>
      <c r="M72" s="7"/>
      <c r="N72" s="7"/>
      <c r="O72" s="14"/>
      <c r="P72" s="14"/>
    </row>
    <row r="73">
      <c r="A73" s="7" t="s">
        <v>96</v>
      </c>
      <c r="B73" s="7" t="s">
        <v>15</v>
      </c>
      <c r="C73" s="8">
        <v>349.0</v>
      </c>
      <c r="D73" s="8">
        <v>599.0</v>
      </c>
      <c r="E73" s="9">
        <v>0.42</v>
      </c>
      <c r="F73" s="10">
        <v>4.1</v>
      </c>
      <c r="G73" s="10">
        <v>210.0</v>
      </c>
      <c r="I73" s="7"/>
      <c r="J73" s="7"/>
      <c r="K73" s="13" t="str">
        <f>IF(discount&gt;50%, product, "")</f>
        <v/>
      </c>
      <c r="L73" s="7"/>
      <c r="M73" s="7"/>
      <c r="N73" s="7"/>
      <c r="O73" s="14"/>
      <c r="P73" s="14"/>
    </row>
    <row r="74">
      <c r="A74" s="7" t="s">
        <v>97</v>
      </c>
      <c r="B74" s="7" t="s">
        <v>37</v>
      </c>
      <c r="C74" s="8">
        <v>26999.0</v>
      </c>
      <c r="D74" s="8">
        <v>42999.0</v>
      </c>
      <c r="E74" s="9">
        <v>0.37</v>
      </c>
      <c r="F74" s="10">
        <v>4.2</v>
      </c>
      <c r="G74" s="11">
        <v>45238.0</v>
      </c>
      <c r="I74" s="7"/>
      <c r="J74" s="7"/>
      <c r="K74" s="13" t="str">
        <f>IF(discount&gt;50%, product, "")</f>
        <v/>
      </c>
      <c r="L74" s="7"/>
      <c r="M74" s="7"/>
      <c r="N74" s="7"/>
      <c r="O74" s="14"/>
      <c r="P74" s="14"/>
    </row>
    <row r="75">
      <c r="A75" s="7" t="s">
        <v>98</v>
      </c>
      <c r="B75" s="7" t="s">
        <v>15</v>
      </c>
      <c r="C75" s="8">
        <v>115.0</v>
      </c>
      <c r="D75" s="8">
        <v>499.0</v>
      </c>
      <c r="E75" s="9">
        <v>0.77</v>
      </c>
      <c r="F75" s="10">
        <v>4.0</v>
      </c>
      <c r="G75" s="11">
        <v>7732.0</v>
      </c>
      <c r="I75" s="7"/>
      <c r="J75" s="7"/>
      <c r="K75" s="13" t="str">
        <f>IF(discount&gt;50%, product, "")</f>
        <v>Pinnaclz Original Combo of 2 Micro USB Fast Charging Cable, USB Charging Cable for Data Transfer Perfect for Android Smart Phones White 1.2 Meter Made in India (Pack of 2)</v>
      </c>
      <c r="L75" s="7"/>
      <c r="M75" s="7"/>
      <c r="N75" s="7"/>
      <c r="O75" s="14"/>
      <c r="P75" s="14"/>
    </row>
    <row r="76">
      <c r="A76" s="7" t="s">
        <v>99</v>
      </c>
      <c r="B76" s="7" t="s">
        <v>15</v>
      </c>
      <c r="C76" s="8">
        <v>399.0</v>
      </c>
      <c r="D76" s="8">
        <v>999.0</v>
      </c>
      <c r="E76" s="9">
        <v>0.6</v>
      </c>
      <c r="F76" s="10">
        <v>4.1</v>
      </c>
      <c r="G76" s="11">
        <v>1780.0</v>
      </c>
      <c r="I76" s="7"/>
      <c r="J76" s="7"/>
      <c r="K76" s="13" t="str">
        <f>IF(discount&gt;50%, product, "")</f>
        <v>boAt Type C A750 Stress Resistant, Tangle-free, Sturdy Flat Cable with 6.5A Fast Charging &amp; 480Mbps Data Transmission, 10000+ Bends Lifespan and Extended 1.5m Length(Rebellious Black)</v>
      </c>
      <c r="L76" s="7"/>
      <c r="M76" s="7"/>
      <c r="N76" s="7"/>
      <c r="O76" s="14"/>
      <c r="P76" s="14"/>
    </row>
    <row r="77">
      <c r="A77" s="7" t="s">
        <v>100</v>
      </c>
      <c r="B77" s="7" t="s">
        <v>15</v>
      </c>
      <c r="C77" s="8">
        <v>199.0</v>
      </c>
      <c r="D77" s="8">
        <v>499.0</v>
      </c>
      <c r="E77" s="9">
        <v>0.6</v>
      </c>
      <c r="F77" s="10">
        <v>4.1</v>
      </c>
      <c r="G77" s="10">
        <v>602.0</v>
      </c>
      <c r="I77" s="7"/>
      <c r="J77" s="7"/>
      <c r="K77" s="13" t="str">
        <f>IF(discount&gt;50%, product, "")</f>
        <v>Ambrane 2 in 1 Type-C &amp; Micro USB Cable with 60W / 3A Fast Charging, 480 mbps High Data, PD Technology &amp; Quick Charge 3.0, Compatible with All Type-C &amp; Micro USB Devices (ABDC-10, Black)</v>
      </c>
      <c r="L77" s="7"/>
      <c r="M77" s="7"/>
      <c r="N77" s="7"/>
      <c r="O77" s="14"/>
      <c r="P77" s="14"/>
    </row>
    <row r="78">
      <c r="A78" s="7" t="s">
        <v>101</v>
      </c>
      <c r="B78" s="7" t="s">
        <v>15</v>
      </c>
      <c r="C78" s="8">
        <v>179.0</v>
      </c>
      <c r="D78" s="8">
        <v>399.0</v>
      </c>
      <c r="E78" s="9">
        <v>0.55</v>
      </c>
      <c r="F78" s="10">
        <v>4.0</v>
      </c>
      <c r="G78" s="11">
        <v>1423.0</v>
      </c>
      <c r="I78" s="7"/>
      <c r="J78" s="7"/>
      <c r="K78" s="13" t="str">
        <f>IF(discount&gt;50%, product, "")</f>
        <v>Ambrane 60W / 3A Fast Charging Output Cable with Type-C to USB for Mobile, Neckband, True Wireless Earphone Charging, 480mbps Data Sync Speed, 1m Length (ACT - AZ10, Black)</v>
      </c>
      <c r="L78" s="7"/>
      <c r="M78" s="7"/>
      <c r="N78" s="7"/>
      <c r="O78" s="14"/>
      <c r="P78" s="14"/>
    </row>
    <row r="79">
      <c r="A79" s="7" t="s">
        <v>102</v>
      </c>
      <c r="B79" s="7" t="s">
        <v>37</v>
      </c>
      <c r="C79" s="8">
        <v>10901.0</v>
      </c>
      <c r="D79" s="8">
        <v>30990.0</v>
      </c>
      <c r="E79" s="9">
        <v>0.65</v>
      </c>
      <c r="F79" s="10">
        <v>4.1</v>
      </c>
      <c r="G79" s="10">
        <v>398.0</v>
      </c>
      <c r="I79" s="7"/>
      <c r="J79" s="7"/>
      <c r="K79" s="13" t="str">
        <f>IF(discount&gt;50%, product, "")</f>
        <v>TCL 80 cm (32 inches) HD Ready Certified Android Smart LED TV 32S5205 (Black)</v>
      </c>
      <c r="L79" s="7"/>
      <c r="M79" s="7"/>
      <c r="N79" s="7"/>
      <c r="O79" s="14"/>
      <c r="P79" s="14"/>
    </row>
    <row r="80">
      <c r="A80" s="7" t="s">
        <v>103</v>
      </c>
      <c r="B80" s="7" t="s">
        <v>15</v>
      </c>
      <c r="C80" s="8">
        <v>209.0</v>
      </c>
      <c r="D80" s="8">
        <v>499.0</v>
      </c>
      <c r="E80" s="9">
        <v>0.58</v>
      </c>
      <c r="F80" s="10">
        <v>3.9</v>
      </c>
      <c r="G80" s="10">
        <v>536.0</v>
      </c>
      <c r="I80" s="7"/>
      <c r="J80" s="7"/>
      <c r="K80" s="13" t="str">
        <f>IF(discount&gt;50%, product, "")</f>
        <v>SWAPKART Fast Charging Cable and Data Sync USB Cable Compatible for iPhone 6/6S/7/7+/8/8+/10/11, 12, 13 Pro max iPad Air/Mini, iPod and iOS Devices (White)</v>
      </c>
      <c r="L80" s="7"/>
      <c r="M80" s="7"/>
      <c r="N80" s="7"/>
      <c r="O80" s="14"/>
      <c r="P80" s="14"/>
    </row>
    <row r="81">
      <c r="A81" s="7" t="s">
        <v>104</v>
      </c>
      <c r="B81" s="7" t="s">
        <v>71</v>
      </c>
      <c r="C81" s="8">
        <v>1434.0</v>
      </c>
      <c r="D81" s="8">
        <v>3999.0</v>
      </c>
      <c r="E81" s="9">
        <v>0.64</v>
      </c>
      <c r="F81" s="10">
        <v>4.0</v>
      </c>
      <c r="G81" s="10">
        <v>32.0</v>
      </c>
      <c r="I81" s="7"/>
      <c r="J81" s="7"/>
      <c r="K81" s="13" t="str">
        <f>IF(discount&gt;50%, product, "")</f>
        <v>Firestick Remote</v>
      </c>
      <c r="L81" s="7"/>
      <c r="M81" s="7"/>
      <c r="N81" s="7"/>
      <c r="O81" s="14"/>
      <c r="P81" s="14"/>
    </row>
    <row r="82">
      <c r="A82" s="7" t="s">
        <v>105</v>
      </c>
      <c r="B82" s="7" t="s">
        <v>15</v>
      </c>
      <c r="C82" s="8">
        <v>399.0</v>
      </c>
      <c r="D82" s="8">
        <v>1099.0</v>
      </c>
      <c r="E82" s="9">
        <v>0.64</v>
      </c>
      <c r="F82" s="10">
        <v>4.2</v>
      </c>
      <c r="G82" s="11">
        <v>24269.0</v>
      </c>
      <c r="I82" s="7"/>
      <c r="J82" s="7"/>
      <c r="K82" s="13" t="str">
        <f>IF(discount&gt;50%, product, "")</f>
        <v>Wayona Usb Nylon Braided Data Sync And Charging Cable For Iphone, Ipad Tablet (Red, Black)</v>
      </c>
      <c r="L82" s="7"/>
      <c r="M82" s="7"/>
      <c r="N82" s="7"/>
      <c r="O82" s="14"/>
      <c r="P82" s="14"/>
    </row>
    <row r="83">
      <c r="A83" s="7" t="s">
        <v>106</v>
      </c>
      <c r="B83" s="7" t="s">
        <v>15</v>
      </c>
      <c r="C83" s="8">
        <v>139.0</v>
      </c>
      <c r="D83" s="8">
        <v>249.0</v>
      </c>
      <c r="E83" s="9">
        <v>0.44</v>
      </c>
      <c r="F83" s="10">
        <v>4.0</v>
      </c>
      <c r="G83" s="11">
        <v>9378.0</v>
      </c>
      <c r="I83" s="7"/>
      <c r="J83" s="7"/>
      <c r="K83" s="13" t="str">
        <f>IF(discount&gt;50%, product, "")</f>
        <v/>
      </c>
      <c r="L83" s="7"/>
      <c r="M83" s="7"/>
      <c r="N83" s="7"/>
      <c r="O83" s="14"/>
      <c r="P83" s="14"/>
    </row>
    <row r="84">
      <c r="A84" s="7" t="s">
        <v>107</v>
      </c>
      <c r="B84" s="7" t="s">
        <v>37</v>
      </c>
      <c r="C84" s="8">
        <v>7299.0</v>
      </c>
      <c r="D84" s="8">
        <v>19125.0</v>
      </c>
      <c r="E84" s="9">
        <v>0.62</v>
      </c>
      <c r="F84" s="10">
        <v>3.4</v>
      </c>
      <c r="G84" s="10">
        <v>902.0</v>
      </c>
      <c r="I84" s="7"/>
      <c r="J84" s="7"/>
      <c r="K84" s="13" t="str">
        <f>IF(discount&gt;50%, product, "")</f>
        <v>SKYWALL 81.28 cm (32 inches) HD Ready Smart LED TV 32SWELS-PRO (Black)</v>
      </c>
      <c r="L84" s="7"/>
      <c r="M84" s="7"/>
      <c r="N84" s="7"/>
      <c r="O84" s="14"/>
      <c r="P84" s="14"/>
    </row>
    <row r="85">
      <c r="A85" s="7" t="s">
        <v>108</v>
      </c>
      <c r="B85" s="7" t="s">
        <v>15</v>
      </c>
      <c r="C85" s="8">
        <v>299.0</v>
      </c>
      <c r="D85" s="8">
        <v>799.0</v>
      </c>
      <c r="E85" s="9">
        <v>0.63</v>
      </c>
      <c r="F85" s="10">
        <v>4.4</v>
      </c>
      <c r="G85" s="11">
        <v>28791.0</v>
      </c>
      <c r="I85" s="7"/>
      <c r="J85" s="7"/>
      <c r="K85" s="13" t="str">
        <f>IF(discount&gt;50%, product, "")</f>
        <v>boAt A 350 Type C Cable for Smartphone, Charging Adapter (1.5m, Carbon Black)</v>
      </c>
      <c r="L85" s="7"/>
      <c r="M85" s="7"/>
      <c r="N85" s="7"/>
      <c r="O85" s="14"/>
      <c r="P85" s="14"/>
    </row>
    <row r="86">
      <c r="A86" s="7" t="s">
        <v>109</v>
      </c>
      <c r="B86" s="7" t="s">
        <v>15</v>
      </c>
      <c r="C86" s="8">
        <v>325.0</v>
      </c>
      <c r="D86" s="8">
        <v>1299.0</v>
      </c>
      <c r="E86" s="9">
        <v>0.75</v>
      </c>
      <c r="F86" s="10">
        <v>4.2</v>
      </c>
      <c r="G86" s="11">
        <v>10576.0</v>
      </c>
      <c r="I86" s="7"/>
      <c r="J86" s="7"/>
      <c r="K86" s="13" t="str">
        <f>IF(discount&gt;50%, product, "")</f>
        <v>Wayona Usb Type C Fast Charger Cable Fast Charging Usb C Cable/Cord Compatible For Samsung Galaxy S10E S10 S9 S8 Plus S10+,Note 10 Note 9 Note 8,S20,M31S,M40,Realme X3,Pixel 2 Xl (3 Ft Pack Of 1,Grey)</v>
      </c>
      <c r="L86" s="7"/>
      <c r="M86" s="7"/>
      <c r="N86" s="7"/>
      <c r="O86" s="14"/>
      <c r="P86" s="14"/>
    </row>
    <row r="87">
      <c r="A87" s="7" t="s">
        <v>110</v>
      </c>
      <c r="B87" s="7" t="s">
        <v>37</v>
      </c>
      <c r="C87" s="8">
        <v>29999.0</v>
      </c>
      <c r="D87" s="8">
        <v>39999.0</v>
      </c>
      <c r="E87" s="9">
        <v>0.25</v>
      </c>
      <c r="F87" s="10">
        <v>4.2</v>
      </c>
      <c r="G87" s="11">
        <v>7298.0</v>
      </c>
      <c r="I87" s="7"/>
      <c r="J87" s="7"/>
      <c r="K87" s="13" t="str">
        <f>IF(discount&gt;50%, product, "")</f>
        <v/>
      </c>
      <c r="L87" s="7"/>
      <c r="M87" s="7"/>
      <c r="N87" s="7"/>
      <c r="O87" s="14"/>
      <c r="P87" s="14"/>
    </row>
    <row r="88">
      <c r="A88" s="7" t="s">
        <v>111</v>
      </c>
      <c r="B88" s="7" t="s">
        <v>37</v>
      </c>
      <c r="C88" s="8">
        <v>27999.0</v>
      </c>
      <c r="D88" s="8">
        <v>40990.0</v>
      </c>
      <c r="E88" s="9">
        <v>0.32</v>
      </c>
      <c r="F88" s="10">
        <v>4.3</v>
      </c>
      <c r="G88" s="11">
        <v>4703.0</v>
      </c>
      <c r="I88" s="7"/>
      <c r="J88" s="7"/>
      <c r="K88" s="13" t="str">
        <f>IF(discount&gt;50%, product, "")</f>
        <v/>
      </c>
      <c r="L88" s="7"/>
      <c r="M88" s="7"/>
      <c r="N88" s="7"/>
      <c r="O88" s="14"/>
      <c r="P88" s="14"/>
    </row>
    <row r="89">
      <c r="A89" s="7" t="s">
        <v>112</v>
      </c>
      <c r="B89" s="7" t="s">
        <v>37</v>
      </c>
      <c r="C89" s="8">
        <v>30990.0</v>
      </c>
      <c r="D89" s="8">
        <v>52900.0</v>
      </c>
      <c r="E89" s="9">
        <v>0.41</v>
      </c>
      <c r="F89" s="10">
        <v>4.3</v>
      </c>
      <c r="G89" s="11">
        <v>7109.0</v>
      </c>
      <c r="I89" s="7"/>
      <c r="J89" s="7"/>
      <c r="K89" s="13" t="str">
        <f>IF(discount&gt;50%, product, "")</f>
        <v/>
      </c>
      <c r="L89" s="7"/>
      <c r="M89" s="7"/>
      <c r="N89" s="7"/>
      <c r="O89" s="14"/>
      <c r="P89" s="14"/>
    </row>
    <row r="90">
      <c r="A90" s="7" t="s">
        <v>113</v>
      </c>
      <c r="B90" s="7" t="s">
        <v>15</v>
      </c>
      <c r="C90" s="8">
        <v>199.0</v>
      </c>
      <c r="D90" s="8">
        <v>999.0</v>
      </c>
      <c r="E90" s="9">
        <v>0.8</v>
      </c>
      <c r="F90" s="10">
        <v>4.5</v>
      </c>
      <c r="G90" s="10">
        <v>127.0</v>
      </c>
      <c r="I90" s="7"/>
      <c r="J90" s="7"/>
      <c r="K90" s="13" t="str">
        <f>IF(discount&gt;50%, product, "")</f>
        <v>Lapster 65W compatible for OnePlus Dash Warp Charge Cable , type c to c cable fast charging Data Sync Cable Compatible with One Plus 10R / 9RT/ 9 pro/ 9R/ 8T/ 9/ Nord &amp; for All Type C Devices – Red, 1 Meter</v>
      </c>
      <c r="L90" s="7"/>
      <c r="M90" s="7"/>
      <c r="N90" s="7"/>
      <c r="O90" s="14"/>
      <c r="P90" s="14"/>
    </row>
    <row r="91">
      <c r="A91" s="7" t="s">
        <v>114</v>
      </c>
      <c r="B91" s="7" t="s">
        <v>15</v>
      </c>
      <c r="C91" s="8">
        <v>649.0</v>
      </c>
      <c r="D91" s="8">
        <v>1999.0</v>
      </c>
      <c r="E91" s="9">
        <v>0.68</v>
      </c>
      <c r="F91" s="10">
        <v>4.2</v>
      </c>
      <c r="G91" s="11">
        <v>24269.0</v>
      </c>
      <c r="I91" s="7"/>
      <c r="J91" s="7"/>
      <c r="K91" s="13" t="str">
        <f>IF(discount&gt;50%, product, "")</f>
        <v>Wayona Nylon Braided (2 Pack) Lightning Fast Usb Data Cable Fast Charger Cord For Iphone, Ipad Tablet (3 Ft Pack Of 2, Grey)</v>
      </c>
      <c r="L91" s="7"/>
      <c r="M91" s="7"/>
      <c r="N91" s="7"/>
      <c r="O91" s="14"/>
      <c r="P91" s="14"/>
    </row>
    <row r="92">
      <c r="A92" s="7" t="s">
        <v>115</v>
      </c>
      <c r="B92" s="7" t="s">
        <v>25</v>
      </c>
      <c r="C92" s="8">
        <v>269.0</v>
      </c>
      <c r="D92" s="8">
        <v>800.0</v>
      </c>
      <c r="E92" s="9">
        <v>0.66</v>
      </c>
      <c r="F92" s="10">
        <v>3.6</v>
      </c>
      <c r="G92" s="11">
        <v>10134.0</v>
      </c>
      <c r="I92" s="7"/>
      <c r="J92" s="7"/>
      <c r="K92" s="13" t="str">
        <f>IF(discount&gt;50%, product, "")</f>
        <v>Gizga Essentials USB WiFi Adapter for PC, 150 Mbps Wireless Network Adapter for Desktop - Nano Size WiFi Dongle Compatible with Windows, Mac OS &amp; Linux Kernel | WPA/WPA2 Encryption Standards| Black</v>
      </c>
      <c r="L92" s="7"/>
      <c r="M92" s="7"/>
      <c r="N92" s="7"/>
      <c r="O92" s="14"/>
      <c r="P92" s="14"/>
    </row>
    <row r="93">
      <c r="A93" s="7" t="s">
        <v>116</v>
      </c>
      <c r="B93" s="7" t="s">
        <v>37</v>
      </c>
      <c r="C93" s="8">
        <v>24999.0</v>
      </c>
      <c r="D93" s="8">
        <v>31999.0</v>
      </c>
      <c r="E93" s="9">
        <v>0.22</v>
      </c>
      <c r="F93" s="10">
        <v>4.2</v>
      </c>
      <c r="G93" s="11">
        <v>34899.0</v>
      </c>
      <c r="I93" s="7"/>
      <c r="J93" s="7"/>
      <c r="K93" s="13" t="str">
        <f>IF(discount&gt;50%, product, "")</f>
        <v/>
      </c>
      <c r="L93" s="7"/>
      <c r="M93" s="7"/>
      <c r="N93" s="7"/>
      <c r="O93" s="14"/>
      <c r="P93" s="14"/>
    </row>
    <row r="94">
      <c r="A94" s="7" t="s">
        <v>117</v>
      </c>
      <c r="B94" s="7" t="s">
        <v>15</v>
      </c>
      <c r="C94" s="8">
        <v>299.0</v>
      </c>
      <c r="D94" s="8">
        <v>699.0</v>
      </c>
      <c r="E94" s="9">
        <v>0.57</v>
      </c>
      <c r="F94" s="10">
        <v>4.2</v>
      </c>
      <c r="G94" s="11">
        <v>94363.0</v>
      </c>
      <c r="I94" s="7"/>
      <c r="J94" s="7"/>
      <c r="K94" s="13" t="str">
        <f>IF(discount&gt;50%, product, "")</f>
        <v>boAt Deuce USB 300 2 in 1 Type-C &amp; Micro USB Stress Resistant, Sturdy Cable with 3A Fast Charging &amp; 480mbps Data Transmission, 10000+ Bends Lifespan and Extended 1.5m Length(Mercurial Black)</v>
      </c>
      <c r="L94" s="7"/>
      <c r="M94" s="7"/>
      <c r="N94" s="7"/>
      <c r="O94" s="14"/>
      <c r="P94" s="14"/>
    </row>
    <row r="95">
      <c r="A95" s="7" t="s">
        <v>118</v>
      </c>
      <c r="B95" s="7" t="s">
        <v>15</v>
      </c>
      <c r="C95" s="8">
        <v>199.0</v>
      </c>
      <c r="D95" s="8">
        <v>999.0</v>
      </c>
      <c r="E95" s="9">
        <v>0.8</v>
      </c>
      <c r="F95" s="10">
        <v>4.1</v>
      </c>
      <c r="G95" s="10">
        <v>425.0</v>
      </c>
      <c r="I95" s="7"/>
      <c r="J95" s="7"/>
      <c r="K95" s="13" t="str">
        <f>IF(discount&gt;50%, product, "")</f>
        <v>Lapster USB 3.0 A to Micro B SuperSpeed for hard disk cable - short cable</v>
      </c>
      <c r="L95" s="7"/>
      <c r="M95" s="7"/>
      <c r="N95" s="7"/>
      <c r="O95" s="14"/>
      <c r="P95" s="14"/>
    </row>
    <row r="96">
      <c r="A96" s="7" t="s">
        <v>119</v>
      </c>
      <c r="B96" s="7" t="s">
        <v>37</v>
      </c>
      <c r="C96" s="8">
        <v>18990.0</v>
      </c>
      <c r="D96" s="8">
        <v>40990.0</v>
      </c>
      <c r="E96" s="9">
        <v>0.54</v>
      </c>
      <c r="F96" s="10">
        <v>4.2</v>
      </c>
      <c r="G96" s="11">
        <v>6659.0</v>
      </c>
      <c r="I96" s="7"/>
      <c r="J96" s="7"/>
      <c r="K96" s="13" t="str">
        <f>IF(discount&gt;50%, product, "")</f>
        <v>TCL 100 cm (40 inches) Full HD Certified Android R Smart LED TV 40S6505 (Black)</v>
      </c>
      <c r="L96" s="7"/>
      <c r="M96" s="7"/>
      <c r="N96" s="7"/>
      <c r="O96" s="14"/>
      <c r="P96" s="14"/>
    </row>
    <row r="97">
      <c r="A97" s="7" t="s">
        <v>120</v>
      </c>
      <c r="B97" s="7" t="s">
        <v>25</v>
      </c>
      <c r="C97" s="8">
        <v>290.0</v>
      </c>
      <c r="D97" s="8">
        <v>349.0</v>
      </c>
      <c r="E97" s="9">
        <v>0.17</v>
      </c>
      <c r="F97" s="10">
        <v>3.7</v>
      </c>
      <c r="G97" s="11">
        <v>1977.0</v>
      </c>
      <c r="I97" s="7"/>
      <c r="J97" s="7"/>
      <c r="K97" s="13" t="str">
        <f>IF(discount&gt;50%, product, "")</f>
        <v/>
      </c>
      <c r="L97" s="7"/>
      <c r="M97" s="7"/>
      <c r="N97" s="7"/>
      <c r="O97" s="14"/>
      <c r="P97" s="14"/>
    </row>
    <row r="98">
      <c r="A98" s="7" t="s">
        <v>121</v>
      </c>
      <c r="B98" s="7" t="s">
        <v>71</v>
      </c>
      <c r="C98" s="8">
        <v>249.0</v>
      </c>
      <c r="D98" s="8">
        <v>799.0</v>
      </c>
      <c r="E98" s="9">
        <v>0.69</v>
      </c>
      <c r="F98" s="10">
        <v>3.8</v>
      </c>
      <c r="G98" s="11">
        <v>1079.0</v>
      </c>
      <c r="I98" s="7"/>
      <c r="J98" s="7"/>
      <c r="K98" s="13" t="str">
        <f>IF(discount&gt;50%, product, "")</f>
        <v>LOHAYA Remote Compatible for Mi Smart LED TV 4A Remote Control (32"/43") [ Compatible for Mi Tv Remote Control ] [ Compatible for Mi Smart LED Tv Remote Control ]</v>
      </c>
      <c r="L98" s="7"/>
      <c r="M98" s="7"/>
      <c r="N98" s="7"/>
      <c r="O98" s="14"/>
      <c r="P98" s="14"/>
    </row>
    <row r="99">
      <c r="A99" s="7" t="s">
        <v>122</v>
      </c>
      <c r="B99" s="7" t="s">
        <v>15</v>
      </c>
      <c r="C99" s="8">
        <v>345.0</v>
      </c>
      <c r="D99" s="8">
        <v>999.0</v>
      </c>
      <c r="E99" s="9">
        <v>0.65</v>
      </c>
      <c r="F99" s="10">
        <v>3.7</v>
      </c>
      <c r="G99" s="11">
        <v>1097.0</v>
      </c>
      <c r="I99" s="7"/>
      <c r="J99" s="7"/>
      <c r="K99" s="13" t="str">
        <f>IF(discount&gt;50%, product, "")</f>
        <v>Gilary Multi Charging Cable, 3 in 1 Nylon Braided Fast Charging Cable for iPhone Micro USB Type C Mobile Phone | Colour May Vary |</v>
      </c>
      <c r="L99" s="7"/>
      <c r="M99" s="7"/>
      <c r="N99" s="7"/>
      <c r="O99" s="14"/>
      <c r="P99" s="14"/>
    </row>
    <row r="100">
      <c r="A100" s="7" t="s">
        <v>123</v>
      </c>
      <c r="B100" s="7" t="s">
        <v>25</v>
      </c>
      <c r="C100" s="8">
        <v>1099.0</v>
      </c>
      <c r="D100" s="8">
        <v>1899.0</v>
      </c>
      <c r="E100" s="9">
        <v>0.42</v>
      </c>
      <c r="F100" s="10">
        <v>4.5</v>
      </c>
      <c r="G100" s="11">
        <v>22420.0</v>
      </c>
      <c r="I100" s="7"/>
      <c r="J100" s="7"/>
      <c r="K100" s="13" t="str">
        <f>IF(discount&gt;50%, product, "")</f>
        <v/>
      </c>
      <c r="L100" s="7"/>
      <c r="M100" s="7"/>
      <c r="N100" s="7"/>
      <c r="O100" s="14"/>
      <c r="P100" s="14"/>
    </row>
    <row r="101">
      <c r="A101" s="7" t="s">
        <v>124</v>
      </c>
      <c r="B101" s="7" t="s">
        <v>15</v>
      </c>
      <c r="C101" s="8">
        <v>719.0</v>
      </c>
      <c r="D101" s="8">
        <v>1499.0</v>
      </c>
      <c r="E101" s="9">
        <v>0.52</v>
      </c>
      <c r="F101" s="10">
        <v>4.1</v>
      </c>
      <c r="G101" s="11">
        <v>1045.0</v>
      </c>
      <c r="I101" s="7"/>
      <c r="J101" s="7"/>
      <c r="K101" s="13" t="str">
        <f>IF(discount&gt;50%, product, "")</f>
        <v>Wayona Type C to Lightning MFI Certified 20W Fast charging Nylon Braided USB C Cable for iPhone 14, 14 Pro, 14 Pro Max, 14 Plus, 13, 13 Pro, 13 Pro Max, 13 Mini, 12, 12 Pro, 11, 11 Pro Max iPhone 12 Mini, X, 8 (2M, Grey)</v>
      </c>
      <c r="L101" s="7"/>
      <c r="M101" s="7"/>
      <c r="N101" s="7"/>
      <c r="O101" s="14"/>
      <c r="P101" s="14"/>
    </row>
    <row r="102">
      <c r="A102" s="7" t="s">
        <v>125</v>
      </c>
      <c r="B102" s="7" t="s">
        <v>71</v>
      </c>
      <c r="C102" s="8">
        <v>349.0</v>
      </c>
      <c r="D102" s="8">
        <v>1499.0</v>
      </c>
      <c r="E102" s="9">
        <v>0.77</v>
      </c>
      <c r="F102" s="10">
        <v>4.3</v>
      </c>
      <c r="G102" s="11">
        <v>4145.0</v>
      </c>
      <c r="I102" s="7"/>
      <c r="J102" s="7"/>
      <c r="K102" s="13" t="str">
        <f>IF(discount&gt;50%, product, "")</f>
        <v>Dealfreez Case Compatible with Fire TV Stick 3rd Gen 2021 Full Wrap Silicone Remote Cover Anti-Lost with Loop (D-Black)</v>
      </c>
      <c r="L102" s="7"/>
      <c r="M102" s="7"/>
      <c r="N102" s="7"/>
      <c r="O102" s="14"/>
      <c r="P102" s="14"/>
    </row>
    <row r="103">
      <c r="A103" s="7" t="s">
        <v>126</v>
      </c>
      <c r="B103" s="7" t="s">
        <v>15</v>
      </c>
      <c r="C103" s="8">
        <v>849.0</v>
      </c>
      <c r="D103" s="8">
        <v>1809.0</v>
      </c>
      <c r="E103" s="9">
        <v>0.53</v>
      </c>
      <c r="F103" s="10">
        <v>4.3</v>
      </c>
      <c r="G103" s="11">
        <v>6547.0</v>
      </c>
      <c r="I103" s="7"/>
      <c r="J103" s="7"/>
      <c r="K103" s="13" t="str">
        <f>IF(discount&gt;50%, product, "")</f>
        <v>Amazon Basics New Release Nylon USB-A to Lightning Cable Cord, Fast Charging MFi Certified Charger for Apple iPhone, iPad (3-Ft, Rose Gold)</v>
      </c>
      <c r="L103" s="7"/>
      <c r="M103" s="7"/>
      <c r="N103" s="7"/>
      <c r="O103" s="14"/>
      <c r="P103" s="14"/>
    </row>
    <row r="104">
      <c r="A104" s="7" t="s">
        <v>127</v>
      </c>
      <c r="B104" s="7" t="s">
        <v>71</v>
      </c>
      <c r="C104" s="8">
        <v>299.0</v>
      </c>
      <c r="D104" s="8">
        <v>899.0</v>
      </c>
      <c r="E104" s="9">
        <v>0.67</v>
      </c>
      <c r="F104" s="10">
        <v>4.0</v>
      </c>
      <c r="G104" s="11">
        <v>1588.0</v>
      </c>
      <c r="I104" s="7"/>
      <c r="J104" s="7"/>
      <c r="K104" s="13" t="str">
        <f>IF(discount&gt;50%, product, "")</f>
        <v>Isoelite Remote Compatible for Samsung LED/LCD Remote Control Works with All Samsung LED/LCD TV Model No :- BN59-607A (Please Match The Image with Your Old Remote)</v>
      </c>
      <c r="L104" s="7"/>
      <c r="M104" s="7"/>
      <c r="N104" s="7"/>
      <c r="O104" s="14"/>
      <c r="P104" s="14"/>
    </row>
    <row r="105">
      <c r="A105" s="7" t="s">
        <v>128</v>
      </c>
      <c r="B105" s="7" t="s">
        <v>37</v>
      </c>
      <c r="C105" s="8">
        <v>21999.0</v>
      </c>
      <c r="D105" s="8">
        <v>29999.0</v>
      </c>
      <c r="E105" s="9">
        <v>0.27</v>
      </c>
      <c r="F105" s="10">
        <v>4.2</v>
      </c>
      <c r="G105" s="11">
        <v>32840.0</v>
      </c>
      <c r="I105" s="7"/>
      <c r="J105" s="7"/>
      <c r="K105" s="13" t="str">
        <f>IF(discount&gt;50%, product, "")</f>
        <v/>
      </c>
      <c r="L105" s="7"/>
      <c r="M105" s="7"/>
      <c r="N105" s="7"/>
      <c r="O105" s="14"/>
      <c r="P105" s="14"/>
    </row>
    <row r="106">
      <c r="A106" s="7" t="s">
        <v>129</v>
      </c>
      <c r="B106" s="7" t="s">
        <v>15</v>
      </c>
      <c r="C106" s="8">
        <v>349.0</v>
      </c>
      <c r="D106" s="8">
        <v>999.0</v>
      </c>
      <c r="E106" s="9">
        <v>0.65</v>
      </c>
      <c r="F106" s="10">
        <v>4.2</v>
      </c>
      <c r="G106" s="11">
        <v>13120.0</v>
      </c>
      <c r="I106" s="7"/>
      <c r="J106" s="7"/>
      <c r="K106" s="13" t="str">
        <f>IF(discount&gt;50%, product, "")</f>
        <v>Wayona Nylon Braided USB Data Sync and Fast Charging 3A Short Power Bank Cable For iPhones, iPad Air, iPad mini, iPod Nano and iPod Touch (Grey)</v>
      </c>
      <c r="L106" s="7"/>
      <c r="M106" s="7"/>
      <c r="N106" s="7"/>
      <c r="O106" s="14"/>
      <c r="P106" s="14"/>
    </row>
    <row r="107">
      <c r="A107" s="7" t="s">
        <v>130</v>
      </c>
      <c r="B107" s="7" t="s">
        <v>15</v>
      </c>
      <c r="C107" s="8">
        <v>399.0</v>
      </c>
      <c r="D107" s="8">
        <v>999.0</v>
      </c>
      <c r="E107" s="9">
        <v>0.6</v>
      </c>
      <c r="F107" s="10">
        <v>4.3</v>
      </c>
      <c r="G107" s="11">
        <v>2806.0</v>
      </c>
      <c r="I107" s="7"/>
      <c r="J107" s="7"/>
      <c r="K107" s="13" t="str">
        <f>IF(discount&gt;50%, product, "")</f>
        <v>Wayona Type C To Type C Long Fast Charging Cable Type C Charger Cord Compatible With Samsung S22 S20 S20 Fe 2022 S22 Ultra S21 Ultra A70 A51 A53 A33 A73 M51 M31 M33 M53 (Grey, 2M, 65W, 6Ft)</v>
      </c>
      <c r="L107" s="7"/>
      <c r="M107" s="7"/>
      <c r="N107" s="7"/>
      <c r="O107" s="14"/>
      <c r="P107" s="14"/>
    </row>
    <row r="108">
      <c r="A108" s="7" t="s">
        <v>131</v>
      </c>
      <c r="B108" s="7" t="s">
        <v>15</v>
      </c>
      <c r="C108" s="8">
        <v>449.0</v>
      </c>
      <c r="D108" s="8">
        <v>1299.0</v>
      </c>
      <c r="E108" s="9">
        <v>0.65</v>
      </c>
      <c r="F108" s="10">
        <v>4.2</v>
      </c>
      <c r="G108" s="11">
        <v>24269.0</v>
      </c>
      <c r="I108" s="7"/>
      <c r="J108" s="7"/>
      <c r="K108" s="13" t="str">
        <f>IF(discount&gt;50%, product, "")</f>
        <v>Wayona Nylon Braided 2M / 6Ft Fast Charge Usb To Lightning Data Sync And Charging Cable For Iphone, Ipad Tablet (6 Ft Pack Of 1, Grey)</v>
      </c>
      <c r="L108" s="7"/>
      <c r="M108" s="7"/>
      <c r="N108" s="7"/>
      <c r="O108" s="14"/>
      <c r="P108" s="14"/>
    </row>
    <row r="109">
      <c r="A109" s="7" t="s">
        <v>132</v>
      </c>
      <c r="B109" s="7" t="s">
        <v>15</v>
      </c>
      <c r="C109" s="8">
        <v>299.0</v>
      </c>
      <c r="D109" s="8">
        <v>999.0</v>
      </c>
      <c r="E109" s="9">
        <v>0.7</v>
      </c>
      <c r="F109" s="10">
        <v>4.3</v>
      </c>
      <c r="G109" s="10">
        <v>766.0</v>
      </c>
      <c r="I109" s="7"/>
      <c r="J109" s="7"/>
      <c r="K109" s="13" t="str">
        <f>IF(discount&gt;50%, product, "")</f>
        <v>CROSSVOLT Compatible Dash/Warp Data Sync Fast Charging Cable Supported for All C Type Devices (Cable)</v>
      </c>
      <c r="L109" s="7"/>
      <c r="M109" s="7"/>
      <c r="N109" s="7"/>
      <c r="O109" s="14"/>
      <c r="P109" s="14"/>
    </row>
    <row r="110">
      <c r="A110" s="7" t="s">
        <v>133</v>
      </c>
      <c r="B110" s="7" t="s">
        <v>37</v>
      </c>
      <c r="C110" s="8">
        <v>37999.0</v>
      </c>
      <c r="D110" s="8">
        <v>65000.0</v>
      </c>
      <c r="E110" s="9">
        <v>0.42</v>
      </c>
      <c r="F110" s="10">
        <v>4.3</v>
      </c>
      <c r="G110" s="11">
        <v>3587.0</v>
      </c>
      <c r="I110" s="7"/>
      <c r="J110" s="7"/>
      <c r="K110" s="13" t="str">
        <f>IF(discount&gt;50%, product, "")</f>
        <v/>
      </c>
      <c r="L110" s="7"/>
      <c r="M110" s="7"/>
      <c r="N110" s="7"/>
      <c r="O110" s="14"/>
      <c r="P110" s="14"/>
    </row>
    <row r="111">
      <c r="A111" s="7" t="s">
        <v>134</v>
      </c>
      <c r="B111" s="7" t="s">
        <v>15</v>
      </c>
      <c r="C111" s="8">
        <v>99.0</v>
      </c>
      <c r="D111" s="8">
        <v>800.0</v>
      </c>
      <c r="E111" s="9">
        <v>0.88</v>
      </c>
      <c r="F111" s="10">
        <v>3.9</v>
      </c>
      <c r="G111" s="11">
        <v>24871.0</v>
      </c>
      <c r="I111" s="7"/>
      <c r="J111" s="7"/>
      <c r="K111" s="13" t="str">
        <f>IF(discount&gt;50%, product, "")</f>
        <v>PTron Solero T241 2.4A Type-C Data &amp; Charging USB Cable, Made in India, 480Mbps Data Sync, Durable 1-Meter Long USB Cable for Type-C USB Devices for Charging Adapter (Black)</v>
      </c>
      <c r="L111" s="7"/>
      <c r="M111" s="7"/>
      <c r="N111" s="7"/>
      <c r="O111" s="14"/>
      <c r="P111" s="14"/>
    </row>
    <row r="112">
      <c r="A112" s="7" t="s">
        <v>135</v>
      </c>
      <c r="B112" s="7" t="s">
        <v>77</v>
      </c>
      <c r="C112" s="8">
        <v>7390.0</v>
      </c>
      <c r="D112" s="8">
        <v>20000.0</v>
      </c>
      <c r="E112" s="9">
        <v>0.63</v>
      </c>
      <c r="F112" s="10">
        <v>4.1</v>
      </c>
      <c r="G112" s="11">
        <v>2581.0</v>
      </c>
      <c r="I112" s="7"/>
      <c r="J112" s="7"/>
      <c r="K112" s="13" t="str">
        <f>IF(discount&gt;50%, product, "")</f>
        <v>Croma 80 cm (32 Inches) HD Ready LED TV (CREL7369, Black) (2021 Model)</v>
      </c>
      <c r="L112" s="7"/>
      <c r="M112" s="7"/>
      <c r="N112" s="7"/>
      <c r="O112" s="14"/>
      <c r="P112" s="14"/>
    </row>
    <row r="113">
      <c r="A113" s="7" t="s">
        <v>136</v>
      </c>
      <c r="B113" s="7" t="s">
        <v>15</v>
      </c>
      <c r="C113" s="8">
        <v>273.1</v>
      </c>
      <c r="D113" s="8">
        <v>999.0</v>
      </c>
      <c r="E113" s="9">
        <v>0.73</v>
      </c>
      <c r="F113" s="10">
        <v>4.3</v>
      </c>
      <c r="G113" s="11">
        <v>20850.0</v>
      </c>
      <c r="I113" s="7"/>
      <c r="J113" s="7"/>
      <c r="K113" s="13" t="str">
        <f>IF(discount&gt;50%, product, "")</f>
        <v>boAt Laptop, Smartphone Type-c A400 Male Data Cable (Carbon Black)</v>
      </c>
      <c r="L113" s="7"/>
      <c r="M113" s="7"/>
      <c r="N113" s="7"/>
      <c r="O113" s="14"/>
      <c r="P113" s="14"/>
    </row>
    <row r="114">
      <c r="A114" s="7" t="s">
        <v>137</v>
      </c>
      <c r="B114" s="7" t="s">
        <v>37</v>
      </c>
      <c r="C114" s="8">
        <v>15990.0</v>
      </c>
      <c r="D114" s="8">
        <v>23990.0</v>
      </c>
      <c r="E114" s="9">
        <v>0.33</v>
      </c>
      <c r="F114" s="10">
        <v>4.3</v>
      </c>
      <c r="G114" s="11">
        <v>1035.0</v>
      </c>
      <c r="I114" s="7"/>
      <c r="J114" s="7"/>
      <c r="K114" s="13" t="str">
        <f>IF(discount&gt;50%, product, "")</f>
        <v/>
      </c>
      <c r="L114" s="7"/>
      <c r="M114" s="7"/>
      <c r="N114" s="7"/>
      <c r="O114" s="14"/>
      <c r="P114" s="14"/>
    </row>
    <row r="115">
      <c r="A115" s="7" t="s">
        <v>138</v>
      </c>
      <c r="B115" s="7" t="s">
        <v>15</v>
      </c>
      <c r="C115" s="8">
        <v>399.0</v>
      </c>
      <c r="D115" s="8">
        <v>999.0</v>
      </c>
      <c r="E115" s="9">
        <v>0.6</v>
      </c>
      <c r="F115" s="10">
        <v>4.1</v>
      </c>
      <c r="G115" s="11">
        <v>1780.0</v>
      </c>
      <c r="I115" s="7"/>
      <c r="J115" s="7"/>
      <c r="K115" s="13" t="str">
        <f>IF(discount&gt;50%, product, "")</f>
        <v>boAt Type C A750 Stress Resistant, Tangle-free, Sturdy Flat Cable with 6.5A Fast Charging &amp; 480Mbps Data Transmission, 10000+ Bends Lifespan and Extended 1.5m Length(Radiant Red)</v>
      </c>
      <c r="L115" s="7"/>
      <c r="M115" s="7"/>
      <c r="N115" s="7"/>
      <c r="O115" s="14"/>
      <c r="P115" s="14"/>
    </row>
    <row r="116">
      <c r="A116" s="7" t="s">
        <v>139</v>
      </c>
      <c r="B116" s="7" t="s">
        <v>71</v>
      </c>
      <c r="C116" s="8">
        <v>399.0</v>
      </c>
      <c r="D116" s="8">
        <v>1999.0</v>
      </c>
      <c r="E116" s="9">
        <v>0.8</v>
      </c>
      <c r="F116" s="10">
        <v>4.5</v>
      </c>
      <c r="G116" s="10">
        <v>505.0</v>
      </c>
      <c r="I116" s="7"/>
      <c r="J116" s="7"/>
      <c r="K116" s="13" t="str">
        <f>IF(discount&gt;50%, product, "")</f>
        <v>Cotbolt Silicone Protective Case Cover for LG an MR21GA Magic Remote Shockproof for LG Smart TV Remote 2021 Protective Skin Waterproof Anti Lost (Black) (Remote Not Included)</v>
      </c>
      <c r="L116" s="7"/>
      <c r="M116" s="7"/>
      <c r="N116" s="7"/>
      <c r="O116" s="14"/>
      <c r="P116" s="14"/>
    </row>
    <row r="117">
      <c r="A117" s="7" t="s">
        <v>140</v>
      </c>
      <c r="B117" s="7" t="s">
        <v>15</v>
      </c>
      <c r="C117" s="8">
        <v>210.0</v>
      </c>
      <c r="D117" s="8">
        <v>399.0</v>
      </c>
      <c r="E117" s="9">
        <v>0.47</v>
      </c>
      <c r="F117" s="10">
        <v>4.1</v>
      </c>
      <c r="G117" s="11">
        <v>1717.0</v>
      </c>
      <c r="I117" s="7"/>
      <c r="J117" s="7"/>
      <c r="K117" s="13" t="str">
        <f>IF(discount&gt;50%, product, "")</f>
        <v/>
      </c>
      <c r="L117" s="7"/>
      <c r="M117" s="7"/>
      <c r="N117" s="7"/>
      <c r="O117" s="14"/>
      <c r="P117" s="14"/>
    </row>
    <row r="118">
      <c r="A118" s="7" t="s">
        <v>141</v>
      </c>
      <c r="B118" s="7" t="s">
        <v>71</v>
      </c>
      <c r="C118" s="8">
        <v>1299.0</v>
      </c>
      <c r="D118" s="8">
        <v>1999.0</v>
      </c>
      <c r="E118" s="9">
        <v>0.35</v>
      </c>
      <c r="F118" s="10">
        <v>3.6</v>
      </c>
      <c r="G118" s="10">
        <v>590.0</v>
      </c>
      <c r="I118" s="7"/>
      <c r="J118" s="7"/>
      <c r="K118" s="13" t="str">
        <f>IF(discount&gt;50%, product, "")</f>
        <v/>
      </c>
      <c r="L118" s="7"/>
      <c r="M118" s="7"/>
      <c r="N118" s="7"/>
      <c r="O118" s="14"/>
      <c r="P118" s="14"/>
    </row>
    <row r="119">
      <c r="A119" s="7" t="s">
        <v>142</v>
      </c>
      <c r="B119" s="7" t="s">
        <v>15</v>
      </c>
      <c r="C119" s="8">
        <v>347.0</v>
      </c>
      <c r="D119" s="8">
        <v>999.0</v>
      </c>
      <c r="E119" s="9">
        <v>0.65</v>
      </c>
      <c r="F119" s="10">
        <v>3.5</v>
      </c>
      <c r="G119" s="11">
        <v>1121.0</v>
      </c>
      <c r="I119" s="7"/>
      <c r="J119" s="7"/>
      <c r="K119" s="13" t="str">
        <f>IF(discount&gt;50%, product, "")</f>
        <v>King Shine Multi Retractable 3.0A Fast Charger Cord, Multiple Charging Cable 4Ft/1.2m 3-in-1 USB Charge Cord Compatible with Phone/Type C/Micro USB for All Android and iOS Smartphones (Random Colour)</v>
      </c>
      <c r="L119" s="7"/>
      <c r="M119" s="7"/>
      <c r="N119" s="7"/>
      <c r="O119" s="14"/>
      <c r="P119" s="14"/>
    </row>
    <row r="120">
      <c r="A120" s="7" t="s">
        <v>143</v>
      </c>
      <c r="B120" s="7" t="s">
        <v>15</v>
      </c>
      <c r="C120" s="8">
        <v>149.0</v>
      </c>
      <c r="D120" s="8">
        <v>999.0</v>
      </c>
      <c r="E120" s="9">
        <v>0.85</v>
      </c>
      <c r="F120" s="10">
        <v>4.0</v>
      </c>
      <c r="G120" s="11">
        <v>1313.0</v>
      </c>
      <c r="I120" s="7"/>
      <c r="J120" s="7"/>
      <c r="K120" s="13" t="str">
        <f>IF(discount&gt;50%, product, "")</f>
        <v>Lapster 5 pin mini usb cable, usb b cable,camera cable usb2.0 for External HDDS/Card Readers/Camera etc.</v>
      </c>
      <c r="L120" s="7"/>
      <c r="M120" s="7"/>
      <c r="N120" s="7"/>
      <c r="O120" s="14"/>
      <c r="P120" s="14"/>
    </row>
    <row r="121">
      <c r="A121" s="7" t="s">
        <v>144</v>
      </c>
      <c r="B121" s="7" t="s">
        <v>15</v>
      </c>
      <c r="C121" s="8">
        <v>228.0</v>
      </c>
      <c r="D121" s="8">
        <v>899.0</v>
      </c>
      <c r="E121" s="9">
        <v>0.75</v>
      </c>
      <c r="F121" s="10">
        <v>3.8</v>
      </c>
      <c r="G121" s="10">
        <v>132.0</v>
      </c>
      <c r="I121" s="7"/>
      <c r="J121" s="7"/>
      <c r="K121" s="13" t="str">
        <f>IF(discount&gt;50%, product, "")</f>
        <v>Portronics Konnect Spydr 31 3-in-1 Multi Functional Cable with 3.0A Output, Tangle Resistant, 1.2M Length, Nylon Braided(Zebra)</v>
      </c>
      <c r="L121" s="7"/>
      <c r="M121" s="7"/>
      <c r="N121" s="7"/>
      <c r="O121" s="14"/>
      <c r="P121" s="14"/>
    </row>
    <row r="122">
      <c r="A122" s="7" t="s">
        <v>145</v>
      </c>
      <c r="B122" s="7" t="s">
        <v>15</v>
      </c>
      <c r="C122" s="8">
        <v>1599.0</v>
      </c>
      <c r="D122" s="8">
        <v>1999.0</v>
      </c>
      <c r="E122" s="9">
        <v>0.2</v>
      </c>
      <c r="F122" s="10">
        <v>4.4</v>
      </c>
      <c r="G122" s="11">
        <v>1951.0</v>
      </c>
      <c r="I122" s="7"/>
      <c r="J122" s="7"/>
      <c r="K122" s="13" t="str">
        <f>IF(discount&gt;50%, product, "")</f>
        <v/>
      </c>
      <c r="L122" s="7"/>
      <c r="M122" s="7"/>
      <c r="N122" s="7"/>
      <c r="O122" s="14"/>
      <c r="P122" s="14"/>
    </row>
    <row r="123">
      <c r="A123" s="7" t="s">
        <v>146</v>
      </c>
      <c r="B123" s="7" t="s">
        <v>71</v>
      </c>
      <c r="C123" s="8">
        <v>1499.0</v>
      </c>
      <c r="D123" s="8">
        <v>3999.0</v>
      </c>
      <c r="E123" s="9">
        <v>0.63</v>
      </c>
      <c r="F123" s="10">
        <v>3.7</v>
      </c>
      <c r="G123" s="10">
        <v>37.0</v>
      </c>
      <c r="I123" s="7"/>
      <c r="J123" s="7"/>
      <c r="K123" s="13" t="str">
        <f>IF(discount&gt;50%, product, "")</f>
        <v>Remote Control Compatible for Amazon Fire Tv Stick Remote Control [ 3rd Gen ](Not Compatible for Fire TV Edition Smart TV) from basesailor</v>
      </c>
      <c r="L123" s="7"/>
      <c r="M123" s="7"/>
      <c r="N123" s="7"/>
      <c r="O123" s="14"/>
      <c r="P123" s="14"/>
    </row>
    <row r="124">
      <c r="A124" s="7" t="s">
        <v>147</v>
      </c>
      <c r="B124" s="7" t="s">
        <v>37</v>
      </c>
      <c r="C124" s="8">
        <v>8499.0</v>
      </c>
      <c r="D124" s="8">
        <v>15999.0</v>
      </c>
      <c r="E124" s="9">
        <v>0.47</v>
      </c>
      <c r="F124" s="10">
        <v>4.3</v>
      </c>
      <c r="G124" s="10">
        <v>592.0</v>
      </c>
      <c r="I124" s="7"/>
      <c r="J124" s="7"/>
      <c r="K124" s="13" t="str">
        <f>IF(discount&gt;50%, product, "")</f>
        <v/>
      </c>
      <c r="L124" s="7"/>
      <c r="M124" s="7"/>
      <c r="N124" s="7"/>
      <c r="O124" s="14"/>
      <c r="P124" s="14"/>
    </row>
    <row r="125">
      <c r="A125" s="7" t="s">
        <v>148</v>
      </c>
      <c r="B125" s="7" t="s">
        <v>37</v>
      </c>
      <c r="C125" s="8">
        <v>20990.0</v>
      </c>
      <c r="D125" s="8">
        <v>44990.0</v>
      </c>
      <c r="E125" s="9">
        <v>0.53</v>
      </c>
      <c r="F125" s="10">
        <v>4.1</v>
      </c>
      <c r="G125" s="11">
        <v>1259.0</v>
      </c>
      <c r="I125" s="7"/>
      <c r="J125" s="7"/>
      <c r="K125" s="13" t="str">
        <f>IF(discount&gt;50%, product, "")</f>
        <v>Hisense 108 cm (43 inches) 4K Ultra HD Smart Certified Android LED TV 43A6GE (Black)</v>
      </c>
      <c r="L125" s="7"/>
      <c r="M125" s="7"/>
      <c r="N125" s="7"/>
      <c r="O125" s="14"/>
      <c r="P125" s="14"/>
    </row>
    <row r="126">
      <c r="A126" s="7" t="s">
        <v>149</v>
      </c>
      <c r="B126" s="7" t="s">
        <v>37</v>
      </c>
      <c r="C126" s="8">
        <v>32999.0</v>
      </c>
      <c r="D126" s="8">
        <v>44999.0</v>
      </c>
      <c r="E126" s="9">
        <v>0.27</v>
      </c>
      <c r="F126" s="10">
        <v>4.2</v>
      </c>
      <c r="G126" s="11">
        <v>45238.0</v>
      </c>
      <c r="I126" s="7"/>
      <c r="J126" s="7"/>
      <c r="K126" s="13" t="str">
        <f>IF(discount&gt;50%, product, "")</f>
        <v/>
      </c>
      <c r="L126" s="7"/>
      <c r="M126" s="7"/>
      <c r="N126" s="7"/>
      <c r="O126" s="14"/>
      <c r="P126" s="14"/>
    </row>
    <row r="127">
      <c r="A127" s="7" t="s">
        <v>150</v>
      </c>
      <c r="B127" s="7" t="s">
        <v>31</v>
      </c>
      <c r="C127" s="8">
        <v>799.0</v>
      </c>
      <c r="D127" s="8">
        <v>1700.0</v>
      </c>
      <c r="E127" s="9">
        <v>0.53</v>
      </c>
      <c r="F127" s="10">
        <v>4.1</v>
      </c>
      <c r="G127" s="11">
        <v>28638.0</v>
      </c>
      <c r="I127" s="7"/>
      <c r="J127" s="7"/>
      <c r="K127" s="13" t="str">
        <f>IF(discount&gt;50%, product, "")</f>
        <v>AmazonBasics 6-Feet DisplayPort (not USB port) to HDMI Cable Black</v>
      </c>
      <c r="L127" s="7"/>
      <c r="M127" s="7"/>
      <c r="N127" s="7"/>
      <c r="O127" s="14"/>
      <c r="P127" s="14"/>
    </row>
    <row r="128">
      <c r="A128" s="7" t="s">
        <v>151</v>
      </c>
      <c r="B128" s="7" t="s">
        <v>31</v>
      </c>
      <c r="C128" s="8">
        <v>229.0</v>
      </c>
      <c r="D128" s="8">
        <v>595.0</v>
      </c>
      <c r="E128" s="9">
        <v>0.62</v>
      </c>
      <c r="F128" s="10">
        <v>4.3</v>
      </c>
      <c r="G128" s="11">
        <v>12835.0</v>
      </c>
      <c r="I128" s="7"/>
      <c r="J128" s="7"/>
      <c r="K128" s="13" t="str">
        <f>IF(discount&gt;50%, product, "")</f>
        <v>AmazonBasics 3 Feet High Speed HDMI Male to Female 2.0 Extension Cable</v>
      </c>
      <c r="L128" s="7"/>
      <c r="M128" s="7"/>
      <c r="N128" s="7"/>
      <c r="O128" s="14"/>
      <c r="P128" s="14"/>
    </row>
    <row r="129">
      <c r="A129" s="7" t="s">
        <v>152</v>
      </c>
      <c r="B129" s="7" t="s">
        <v>37</v>
      </c>
      <c r="C129" s="8">
        <v>9999.0</v>
      </c>
      <c r="D129" s="8">
        <v>27990.0</v>
      </c>
      <c r="E129" s="9">
        <v>0.64</v>
      </c>
      <c r="F129" s="10">
        <v>4.2</v>
      </c>
      <c r="G129" s="11">
        <v>1269.0</v>
      </c>
      <c r="I129" s="7"/>
      <c r="J129" s="7"/>
      <c r="K129" s="13" t="str">
        <f>IF(discount&gt;50%, product, "")</f>
        <v>iFFALCON 80 cm (32 inches) HD Ready Smart LED TV 32F53 (Black)</v>
      </c>
      <c r="L129" s="7"/>
      <c r="M129" s="7"/>
      <c r="N129" s="7"/>
      <c r="O129" s="14"/>
      <c r="P129" s="14"/>
    </row>
    <row r="130">
      <c r="A130" s="7" t="s">
        <v>153</v>
      </c>
      <c r="B130" s="7" t="s">
        <v>71</v>
      </c>
      <c r="C130" s="8">
        <v>349.0</v>
      </c>
      <c r="D130" s="8">
        <v>599.0</v>
      </c>
      <c r="E130" s="9">
        <v>0.42</v>
      </c>
      <c r="F130" s="10">
        <v>4.2</v>
      </c>
      <c r="G130" s="10">
        <v>284.0</v>
      </c>
      <c r="I130" s="7"/>
      <c r="J130" s="7"/>
      <c r="K130" s="13" t="str">
        <f>IF(discount&gt;50%, product, "")</f>
        <v/>
      </c>
      <c r="L130" s="7"/>
      <c r="M130" s="7"/>
      <c r="N130" s="7"/>
      <c r="O130" s="14"/>
      <c r="P130" s="14"/>
    </row>
    <row r="131">
      <c r="A131" s="7" t="s">
        <v>154</v>
      </c>
      <c r="B131" s="7" t="s">
        <v>155</v>
      </c>
      <c r="C131" s="8">
        <v>489.0</v>
      </c>
      <c r="D131" s="8">
        <v>1200.0</v>
      </c>
      <c r="E131" s="9">
        <v>0.59</v>
      </c>
      <c r="F131" s="10">
        <v>4.4</v>
      </c>
      <c r="G131" s="11">
        <v>69538.0</v>
      </c>
      <c r="I131" s="7"/>
      <c r="J131" s="7"/>
      <c r="K131" s="13" t="str">
        <f>IF(discount&gt;50%, product, "")</f>
        <v>AmazonBasics 3.5mm to 2-Male RCA Adapter Cable For Tablet, Smartphone (Black, 15 feet)</v>
      </c>
      <c r="L131" s="7"/>
      <c r="M131" s="7"/>
      <c r="N131" s="7"/>
      <c r="O131" s="14"/>
      <c r="P131" s="14"/>
    </row>
    <row r="132">
      <c r="A132" s="7" t="s">
        <v>156</v>
      </c>
      <c r="B132" s="7" t="s">
        <v>37</v>
      </c>
      <c r="C132" s="8">
        <v>23999.0</v>
      </c>
      <c r="D132" s="8">
        <v>34990.0</v>
      </c>
      <c r="E132" s="9">
        <v>0.31</v>
      </c>
      <c r="F132" s="10">
        <v>4.3</v>
      </c>
      <c r="G132" s="11">
        <v>4703.0</v>
      </c>
      <c r="I132" s="7"/>
      <c r="J132" s="7"/>
      <c r="K132" s="13" t="str">
        <f>IF(discount&gt;50%, product, "")</f>
        <v/>
      </c>
      <c r="L132" s="7"/>
      <c r="M132" s="7"/>
      <c r="N132" s="7"/>
      <c r="O132" s="14"/>
      <c r="P132" s="14"/>
    </row>
    <row r="133">
      <c r="A133" s="7" t="s">
        <v>157</v>
      </c>
      <c r="B133" s="7" t="s">
        <v>15</v>
      </c>
      <c r="C133" s="8">
        <v>399.0</v>
      </c>
      <c r="D133" s="8">
        <v>999.0</v>
      </c>
      <c r="E133" s="9">
        <v>0.6</v>
      </c>
      <c r="F133" s="10">
        <v>4.3</v>
      </c>
      <c r="G133" s="11">
        <v>2806.0</v>
      </c>
      <c r="I133" s="7"/>
      <c r="J133" s="7"/>
      <c r="K133" s="13" t="str">
        <f>IF(discount&gt;50%, product, "")</f>
        <v>Wayona Usb Type C 65W 6Ft/2M Long Fast Charging Cable Compatible For Samsung S22 S20 Fe S21 Ultra A33 A53 A01 A73 A70 A51 M33 M53 M51 M31(2M, Black)</v>
      </c>
      <c r="L133" s="7"/>
      <c r="M133" s="7"/>
      <c r="N133" s="7"/>
      <c r="O133" s="14"/>
      <c r="P133" s="14"/>
    </row>
    <row r="134">
      <c r="A134" s="7" t="s">
        <v>158</v>
      </c>
      <c r="B134" s="7" t="s">
        <v>159</v>
      </c>
      <c r="C134" s="8">
        <v>349.0</v>
      </c>
      <c r="D134" s="8">
        <v>1299.0</v>
      </c>
      <c r="E134" s="9">
        <v>0.73</v>
      </c>
      <c r="F134" s="10">
        <v>4.0</v>
      </c>
      <c r="G134" s="11">
        <v>3295.0</v>
      </c>
      <c r="I134" s="7"/>
      <c r="J134" s="7"/>
      <c r="K134" s="13" t="str">
        <f>IF(discount&gt;50%, product, "")</f>
        <v>Saifsmart Outlet Wall Mount Hanger Holder for Dot 3rd Gen, Compact Bracket Case Plug and Built-in Cable Management for Kitchen Bathroom, Bedroom (Black)</v>
      </c>
      <c r="L134" s="7"/>
      <c r="M134" s="7"/>
      <c r="N134" s="7"/>
      <c r="O134" s="14"/>
      <c r="P134" s="14"/>
    </row>
    <row r="135">
      <c r="A135" s="7" t="s">
        <v>160</v>
      </c>
      <c r="B135" s="7" t="s">
        <v>15</v>
      </c>
      <c r="C135" s="8">
        <v>179.0</v>
      </c>
      <c r="D135" s="8">
        <v>299.0</v>
      </c>
      <c r="E135" s="9">
        <v>0.4</v>
      </c>
      <c r="F135" s="10">
        <v>3.9</v>
      </c>
      <c r="G135" s="10">
        <v>81.0</v>
      </c>
      <c r="I135" s="7"/>
      <c r="J135" s="7"/>
      <c r="K135" s="13" t="str">
        <f>IF(discount&gt;50%, product, "")</f>
        <v/>
      </c>
      <c r="L135" s="7"/>
      <c r="M135" s="7"/>
      <c r="N135" s="7"/>
      <c r="O135" s="14"/>
      <c r="P135" s="14"/>
    </row>
    <row r="136">
      <c r="A136" s="7" t="s">
        <v>161</v>
      </c>
      <c r="B136" s="7" t="s">
        <v>15</v>
      </c>
      <c r="C136" s="8">
        <v>689.0</v>
      </c>
      <c r="D136" s="8">
        <v>1500.0</v>
      </c>
      <c r="E136" s="9">
        <v>0.54</v>
      </c>
      <c r="F136" s="10">
        <v>4.2</v>
      </c>
      <c r="G136" s="11">
        <v>42301.0</v>
      </c>
      <c r="I136" s="7"/>
      <c r="J136" s="7"/>
      <c r="K136" s="13" t="str">
        <f>IF(discount&gt;50%, product, "")</f>
        <v>AmazonBasics New Release ABS USB-A to Lightning Cable Cord, Fast Charging MFi Certified Charger for Apple iPhone, iPad Tablet (3-Ft, White)</v>
      </c>
      <c r="L136" s="7"/>
      <c r="M136" s="7"/>
      <c r="N136" s="7"/>
      <c r="O136" s="14"/>
      <c r="P136" s="14"/>
    </row>
    <row r="137">
      <c r="A137" s="7" t="s">
        <v>162</v>
      </c>
      <c r="B137" s="7" t="s">
        <v>37</v>
      </c>
      <c r="C137" s="8">
        <v>30990.0</v>
      </c>
      <c r="D137" s="8">
        <v>49990.0</v>
      </c>
      <c r="E137" s="9">
        <v>0.38</v>
      </c>
      <c r="F137" s="10">
        <v>4.3</v>
      </c>
      <c r="G137" s="11">
        <v>1376.0</v>
      </c>
      <c r="I137" s="7"/>
      <c r="J137" s="7"/>
      <c r="K137" s="13" t="str">
        <f>IF(discount&gt;50%, product, "")</f>
        <v/>
      </c>
      <c r="L137" s="7"/>
      <c r="M137" s="7"/>
      <c r="N137" s="7"/>
      <c r="O137" s="14"/>
      <c r="P137" s="14"/>
    </row>
    <row r="138">
      <c r="A138" s="7" t="s">
        <v>163</v>
      </c>
      <c r="B138" s="7" t="s">
        <v>15</v>
      </c>
      <c r="C138" s="8">
        <v>249.0</v>
      </c>
      <c r="D138" s="8">
        <v>931.0</v>
      </c>
      <c r="E138" s="9">
        <v>0.73</v>
      </c>
      <c r="F138" s="10">
        <v>3.9</v>
      </c>
      <c r="G138" s="11">
        <v>1075.0</v>
      </c>
      <c r="I138" s="7"/>
      <c r="J138" s="7"/>
      <c r="K138" s="13" t="str">
        <f>IF(discount&gt;50%, product, "")</f>
        <v>pTron Solero 331 3.4Amps Multifunction Fast Charging Cable, 3-in-1 USB Cable Micro USB/Type-C/iOS, Made in India, Durable &amp; Strong &amp; Tangle-free 118cm in Length (Black)</v>
      </c>
      <c r="L138" s="7"/>
      <c r="M138" s="7"/>
      <c r="N138" s="7"/>
      <c r="O138" s="14"/>
      <c r="P138" s="14"/>
    </row>
    <row r="139">
      <c r="A139" s="7" t="s">
        <v>164</v>
      </c>
      <c r="B139" s="7" t="s">
        <v>31</v>
      </c>
      <c r="C139" s="8">
        <v>999.0</v>
      </c>
      <c r="D139" s="8">
        <v>2399.0</v>
      </c>
      <c r="E139" s="9">
        <v>0.58</v>
      </c>
      <c r="F139" s="10">
        <v>4.6</v>
      </c>
      <c r="G139" s="11">
        <v>3664.0</v>
      </c>
      <c r="I139" s="7"/>
      <c r="J139" s="7"/>
      <c r="K139" s="13" t="str">
        <f>IF(discount&gt;50%, product, "")</f>
        <v>10k 8k 4k HDMI Cable, Certified 48Gbps 1ms Ultra High Speed HDMI 2.1 Cable 4k 120Hz 144Hz 2k 165Hz 8k 60Hz Dynamic HDR ARC eARC DTS:X Compatible for Mac Gaming PC Soundbar TV Monitor Laptop PS5 4 Xbox</v>
      </c>
      <c r="L139" s="7"/>
      <c r="M139" s="7"/>
      <c r="N139" s="7"/>
      <c r="O139" s="14"/>
      <c r="P139" s="14"/>
    </row>
    <row r="140">
      <c r="A140" s="7" t="s">
        <v>165</v>
      </c>
      <c r="B140" s="7" t="s">
        <v>71</v>
      </c>
      <c r="C140" s="8">
        <v>399.0</v>
      </c>
      <c r="D140" s="8">
        <v>399.0</v>
      </c>
      <c r="E140" s="9">
        <v>0.0</v>
      </c>
      <c r="F140" s="10">
        <v>3.9</v>
      </c>
      <c r="G140" s="11">
        <v>1951.0</v>
      </c>
      <c r="I140" s="7"/>
      <c r="J140" s="7"/>
      <c r="K140" s="13" t="str">
        <f>IF(discount&gt;50%, product, "")</f>
        <v/>
      </c>
      <c r="L140" s="7"/>
      <c r="M140" s="7"/>
      <c r="N140" s="7"/>
      <c r="O140" s="14"/>
      <c r="P140" s="14"/>
    </row>
    <row r="141">
      <c r="A141" s="7" t="s">
        <v>166</v>
      </c>
      <c r="B141" s="7" t="s">
        <v>15</v>
      </c>
      <c r="C141" s="8">
        <v>349.0</v>
      </c>
      <c r="D141" s="8">
        <v>699.0</v>
      </c>
      <c r="E141" s="9">
        <v>0.5</v>
      </c>
      <c r="F141" s="10">
        <v>4.3</v>
      </c>
      <c r="G141" s="11">
        <v>20850.0</v>
      </c>
      <c r="I141" s="7"/>
      <c r="J141" s="7"/>
      <c r="K141" s="13" t="str">
        <f>IF(discount&gt;50%, product, "")</f>
        <v/>
      </c>
      <c r="L141" s="7"/>
      <c r="M141" s="7"/>
      <c r="N141" s="7"/>
      <c r="O141" s="14"/>
      <c r="P141" s="14"/>
    </row>
    <row r="142">
      <c r="A142" s="7" t="s">
        <v>167</v>
      </c>
      <c r="B142" s="7" t="s">
        <v>15</v>
      </c>
      <c r="C142" s="8">
        <v>399.0</v>
      </c>
      <c r="D142" s="8">
        <v>1099.0</v>
      </c>
      <c r="E142" s="9">
        <v>0.64</v>
      </c>
      <c r="F142" s="10">
        <v>4.1</v>
      </c>
      <c r="G142" s="11">
        <v>2685.0</v>
      </c>
      <c r="I142" s="7"/>
      <c r="J142" s="7"/>
      <c r="K142" s="13" t="str">
        <f>IF(discount&gt;50%, product, "")</f>
        <v>Zoul Type C to Type C Fast Charging Cable 65W 2M/6ft USB C Nylon Braided Cord Compatible with MacBook Oneplus 9 9R Samsung Galaxy S21 Ultra S20+ (2M, Black)</v>
      </c>
      <c r="L142" s="7"/>
      <c r="M142" s="7"/>
      <c r="N142" s="7"/>
      <c r="O142" s="14"/>
      <c r="P142" s="14"/>
    </row>
    <row r="143">
      <c r="A143" s="7" t="s">
        <v>168</v>
      </c>
      <c r="B143" s="7" t="s">
        <v>25</v>
      </c>
      <c r="C143" s="8">
        <v>1699.0</v>
      </c>
      <c r="D143" s="8">
        <v>2999.0</v>
      </c>
      <c r="E143" s="9">
        <v>0.43</v>
      </c>
      <c r="F143" s="10">
        <v>4.4</v>
      </c>
      <c r="G143" s="11">
        <v>24780.0</v>
      </c>
      <c r="I143" s="7"/>
      <c r="J143" s="7"/>
      <c r="K143" s="13" t="str">
        <f>IF(discount&gt;50%, product, "")</f>
        <v/>
      </c>
      <c r="L143" s="7"/>
      <c r="M143" s="7"/>
      <c r="N143" s="7"/>
      <c r="O143" s="14"/>
      <c r="P143" s="14"/>
    </row>
    <row r="144">
      <c r="A144" s="7" t="s">
        <v>169</v>
      </c>
      <c r="B144" s="7" t="s">
        <v>71</v>
      </c>
      <c r="C144" s="8">
        <v>655.0</v>
      </c>
      <c r="D144" s="8">
        <v>1099.0</v>
      </c>
      <c r="E144" s="9">
        <v>0.4</v>
      </c>
      <c r="F144" s="10">
        <v>3.2</v>
      </c>
      <c r="G144" s="10">
        <v>285.0</v>
      </c>
      <c r="I144" s="7"/>
      <c r="J144" s="7"/>
      <c r="K144" s="13" t="str">
        <f>IF(discount&gt;50%, product, "")</f>
        <v/>
      </c>
      <c r="L144" s="7"/>
      <c r="M144" s="7"/>
      <c r="N144" s="7"/>
      <c r="O144" s="14"/>
      <c r="P144" s="14"/>
    </row>
    <row r="145">
      <c r="A145" s="7" t="s">
        <v>170</v>
      </c>
      <c r="B145" s="7" t="s">
        <v>25</v>
      </c>
      <c r="C145" s="8">
        <v>749.0</v>
      </c>
      <c r="D145" s="8">
        <v>1339.0</v>
      </c>
      <c r="E145" s="9">
        <v>0.44</v>
      </c>
      <c r="F145" s="10">
        <v>4.2</v>
      </c>
      <c r="G145" s="7" t="s">
        <v>171</v>
      </c>
      <c r="I145" s="7"/>
      <c r="J145" s="7"/>
      <c r="K145" s="13" t="str">
        <f>IF(discount&gt;50%, product, "")</f>
        <v/>
      </c>
      <c r="L145" s="7"/>
      <c r="M145" s="7"/>
      <c r="N145" s="7"/>
      <c r="O145" s="14"/>
      <c r="P145" s="14"/>
    </row>
    <row r="146">
      <c r="A146" s="7" t="s">
        <v>172</v>
      </c>
      <c r="B146" s="7" t="s">
        <v>37</v>
      </c>
      <c r="C146" s="8">
        <v>9999.0</v>
      </c>
      <c r="D146" s="8">
        <v>12999.0</v>
      </c>
      <c r="E146" s="9">
        <v>0.23</v>
      </c>
      <c r="F146" s="10">
        <v>4.2</v>
      </c>
      <c r="G146" s="11">
        <v>6088.0</v>
      </c>
      <c r="I146" s="7"/>
      <c r="J146" s="7"/>
      <c r="K146" s="13" t="str">
        <f>IF(discount&gt;50%, product, "")</f>
        <v/>
      </c>
      <c r="L146" s="7"/>
      <c r="M146" s="7"/>
      <c r="N146" s="7"/>
      <c r="O146" s="14"/>
      <c r="P146" s="14"/>
    </row>
    <row r="147">
      <c r="A147" s="7" t="s">
        <v>173</v>
      </c>
      <c r="B147" s="7" t="s">
        <v>71</v>
      </c>
      <c r="C147" s="8">
        <v>195.0</v>
      </c>
      <c r="D147" s="8">
        <v>499.0</v>
      </c>
      <c r="E147" s="9">
        <v>0.61</v>
      </c>
      <c r="F147" s="10">
        <v>3.7</v>
      </c>
      <c r="G147" s="11">
        <v>1383.0</v>
      </c>
      <c r="I147" s="7"/>
      <c r="J147" s="7"/>
      <c r="K147" s="13" t="str">
        <f>IF(discount&gt;50%, product, "")</f>
        <v>Airtel DigitalTV DTH Remote SD/HD/HD Recording Compatible for Television (Shining Black )</v>
      </c>
      <c r="L147" s="7"/>
      <c r="M147" s="7"/>
      <c r="N147" s="7"/>
      <c r="O147" s="14"/>
      <c r="P147" s="14"/>
    </row>
    <row r="148">
      <c r="A148" s="7" t="s">
        <v>174</v>
      </c>
      <c r="B148" s="7" t="s">
        <v>15</v>
      </c>
      <c r="C148" s="8">
        <v>999.0</v>
      </c>
      <c r="D148" s="8">
        <v>2100.0</v>
      </c>
      <c r="E148" s="9">
        <v>0.52</v>
      </c>
      <c r="F148" s="10">
        <v>4.5</v>
      </c>
      <c r="G148" s="11">
        <v>5492.0</v>
      </c>
      <c r="I148" s="7"/>
      <c r="J148" s="7"/>
      <c r="K148" s="13" t="str">
        <f>IF(discount&gt;50%, product, "")</f>
        <v>AmazonBasics New Release Nylon USB-A to Lightning Cable Cord, MFi Certified Charger for Apple iPhone, iPad, Silver, 6-Ft</v>
      </c>
      <c r="L148" s="7"/>
      <c r="M148" s="7"/>
      <c r="N148" s="7"/>
      <c r="O148" s="14"/>
      <c r="P148" s="14"/>
    </row>
    <row r="149">
      <c r="A149" s="7" t="s">
        <v>175</v>
      </c>
      <c r="B149" s="7" t="s">
        <v>15</v>
      </c>
      <c r="C149" s="8">
        <v>499.0</v>
      </c>
      <c r="D149" s="8">
        <v>899.0</v>
      </c>
      <c r="E149" s="9">
        <v>0.44</v>
      </c>
      <c r="F149" s="10">
        <v>4.2</v>
      </c>
      <c r="G149" s="10">
        <v>919.0</v>
      </c>
      <c r="I149" s="7"/>
      <c r="J149" s="7"/>
      <c r="K149" s="13" t="str">
        <f>IF(discount&gt;50%, product, "")</f>
        <v/>
      </c>
      <c r="L149" s="7"/>
      <c r="M149" s="7"/>
      <c r="N149" s="7"/>
      <c r="O149" s="14"/>
      <c r="P149" s="14"/>
    </row>
    <row r="150">
      <c r="A150" s="7" t="s">
        <v>176</v>
      </c>
      <c r="B150" s="7" t="s">
        <v>177</v>
      </c>
      <c r="C150" s="8">
        <v>416.0</v>
      </c>
      <c r="D150" s="8">
        <v>599.0</v>
      </c>
      <c r="E150" s="9">
        <v>0.31</v>
      </c>
      <c r="F150" s="10">
        <v>4.2</v>
      </c>
      <c r="G150" s="11">
        <v>30023.0</v>
      </c>
      <c r="I150" s="7"/>
      <c r="J150" s="7"/>
      <c r="K150" s="13" t="str">
        <f>IF(discount&gt;50%, product, "")</f>
        <v/>
      </c>
      <c r="L150" s="7"/>
      <c r="M150" s="7"/>
      <c r="N150" s="7"/>
      <c r="O150" s="14"/>
      <c r="P150" s="14"/>
    </row>
    <row r="151">
      <c r="A151" s="7" t="s">
        <v>178</v>
      </c>
      <c r="B151" s="7" t="s">
        <v>15</v>
      </c>
      <c r="C151" s="8">
        <v>368.0</v>
      </c>
      <c r="D151" s="8">
        <v>699.0</v>
      </c>
      <c r="E151" s="9">
        <v>0.47</v>
      </c>
      <c r="F151" s="10">
        <v>4.2</v>
      </c>
      <c r="G151" s="10">
        <v>387.0</v>
      </c>
      <c r="I151" s="7"/>
      <c r="J151" s="7"/>
      <c r="K151" s="13" t="str">
        <f>IF(discount&gt;50%, product, "")</f>
        <v/>
      </c>
      <c r="L151" s="7"/>
      <c r="M151" s="7"/>
      <c r="N151" s="7"/>
      <c r="O151" s="14"/>
      <c r="P151" s="14"/>
    </row>
    <row r="152">
      <c r="A152" s="7" t="s">
        <v>179</v>
      </c>
      <c r="B152" s="7" t="s">
        <v>37</v>
      </c>
      <c r="C152" s="8">
        <v>29990.0</v>
      </c>
      <c r="D152" s="8">
        <v>65000.0</v>
      </c>
      <c r="E152" s="9">
        <v>0.54</v>
      </c>
      <c r="F152" s="10">
        <v>4.1</v>
      </c>
      <c r="G152" s="10">
        <v>211.0</v>
      </c>
      <c r="I152" s="7"/>
      <c r="J152" s="7"/>
      <c r="K152" s="13" t="str">
        <f>IF(discount&gt;50%, product, "")</f>
        <v>VU 138 cm (55 inches) Premium Series 4K Ultra HD Smart IPS LED TV 55UT (Black)</v>
      </c>
      <c r="L152" s="7"/>
      <c r="M152" s="7"/>
      <c r="N152" s="7"/>
      <c r="O152" s="14"/>
      <c r="P152" s="14"/>
    </row>
    <row r="153">
      <c r="A153" s="7" t="s">
        <v>180</v>
      </c>
      <c r="B153" s="7" t="s">
        <v>15</v>
      </c>
      <c r="C153" s="8">
        <v>339.0</v>
      </c>
      <c r="D153" s="8">
        <v>1099.0</v>
      </c>
      <c r="E153" s="9">
        <v>0.69</v>
      </c>
      <c r="F153" s="10">
        <v>4.3</v>
      </c>
      <c r="G153" s="10">
        <v>974.0</v>
      </c>
      <c r="I153" s="7"/>
      <c r="J153" s="7"/>
      <c r="K153" s="13" t="str">
        <f>IF(discount&gt;50%, product, "")</f>
        <v>Zoul USB Type C Fast Charging 3A Nylon Braided Data Cable Quick Charger Cable QC 3.0 for Samsung Galaxy M31s M30 S10 S9 S20 Plus, Note 10 9 8, A20e A40 A50 A70 (1M, Grey)</v>
      </c>
      <c r="L153" s="7"/>
      <c r="M153" s="7"/>
      <c r="N153" s="7"/>
      <c r="O153" s="14"/>
      <c r="P153" s="14"/>
    </row>
    <row r="154">
      <c r="A154" s="7" t="s">
        <v>181</v>
      </c>
      <c r="B154" s="7" t="s">
        <v>37</v>
      </c>
      <c r="C154" s="8">
        <v>15490.0</v>
      </c>
      <c r="D154" s="8">
        <v>20900.0</v>
      </c>
      <c r="E154" s="9">
        <v>0.26</v>
      </c>
      <c r="F154" s="10">
        <v>4.3</v>
      </c>
      <c r="G154" s="11">
        <v>16299.0</v>
      </c>
      <c r="I154" s="7"/>
      <c r="J154" s="7"/>
      <c r="K154" s="13" t="str">
        <f>IF(discount&gt;50%, product, "")</f>
        <v/>
      </c>
      <c r="L154" s="7"/>
      <c r="M154" s="7"/>
      <c r="N154" s="7"/>
      <c r="O154" s="14"/>
      <c r="P154" s="14"/>
    </row>
    <row r="155">
      <c r="A155" s="7" t="s">
        <v>182</v>
      </c>
      <c r="B155" s="7" t="s">
        <v>15</v>
      </c>
      <c r="C155" s="8">
        <v>499.0</v>
      </c>
      <c r="D155" s="8">
        <v>1299.0</v>
      </c>
      <c r="E155" s="9">
        <v>0.62</v>
      </c>
      <c r="F155" s="10">
        <v>4.3</v>
      </c>
      <c r="G155" s="11">
        <v>30411.0</v>
      </c>
      <c r="I155" s="7"/>
      <c r="J155" s="7"/>
      <c r="K155" s="13" t="str">
        <f>IF(discount&gt;50%, product, "")</f>
        <v>MI Xiaomi USB Type C HYperCharge Cable 6A 100cm Sturdy and Durable Black Supports 120W HyperCharging</v>
      </c>
      <c r="L155" s="7"/>
      <c r="M155" s="7"/>
      <c r="N155" s="7"/>
      <c r="O155" s="14"/>
      <c r="P155" s="14"/>
    </row>
    <row r="156">
      <c r="A156" s="7" t="s">
        <v>183</v>
      </c>
      <c r="B156" s="7" t="s">
        <v>25</v>
      </c>
      <c r="C156" s="8">
        <v>249.0</v>
      </c>
      <c r="D156" s="8">
        <v>399.0</v>
      </c>
      <c r="E156" s="9">
        <v>0.38</v>
      </c>
      <c r="F156" s="10">
        <v>3.4</v>
      </c>
      <c r="G156" s="11">
        <v>4642.0</v>
      </c>
      <c r="I156" s="7"/>
      <c r="J156" s="7"/>
      <c r="K156" s="13" t="str">
        <f>IF(discount&gt;50%, product, "")</f>
        <v/>
      </c>
      <c r="L156" s="7"/>
      <c r="M156" s="7"/>
      <c r="N156" s="7"/>
      <c r="O156" s="14"/>
      <c r="P156" s="14"/>
    </row>
    <row r="157">
      <c r="A157" s="7" t="s">
        <v>184</v>
      </c>
      <c r="B157" s="7" t="s">
        <v>71</v>
      </c>
      <c r="C157" s="8">
        <v>399.0</v>
      </c>
      <c r="D157" s="8">
        <v>799.0</v>
      </c>
      <c r="E157" s="9">
        <v>0.5</v>
      </c>
      <c r="F157" s="10">
        <v>4.3</v>
      </c>
      <c r="G157" s="10">
        <v>12.0</v>
      </c>
      <c r="I157" s="7"/>
      <c r="J157" s="7"/>
      <c r="K157" s="13" t="str">
        <f>IF(discount&gt;50%, product, "")</f>
        <v/>
      </c>
      <c r="L157" s="7"/>
      <c r="M157" s="7"/>
      <c r="N157" s="7"/>
      <c r="O157" s="14"/>
      <c r="P157" s="14"/>
    </row>
    <row r="158">
      <c r="A158" s="7" t="s">
        <v>185</v>
      </c>
      <c r="B158" s="7" t="s">
        <v>15</v>
      </c>
      <c r="C158" s="8">
        <v>1499.0</v>
      </c>
      <c r="D158" s="8">
        <v>1999.0</v>
      </c>
      <c r="E158" s="9">
        <v>0.25</v>
      </c>
      <c r="F158" s="10">
        <v>4.4</v>
      </c>
      <c r="G158" s="11">
        <v>1951.0</v>
      </c>
      <c r="I158" s="7"/>
      <c r="J158" s="7"/>
      <c r="K158" s="13" t="str">
        <f>IF(discount&gt;50%, product, "")</f>
        <v/>
      </c>
      <c r="L158" s="7"/>
      <c r="M158" s="7"/>
      <c r="N158" s="7"/>
      <c r="O158" s="14"/>
      <c r="P158" s="14"/>
    </row>
    <row r="159">
      <c r="A159" s="7" t="s">
        <v>186</v>
      </c>
      <c r="B159" s="7" t="s">
        <v>187</v>
      </c>
      <c r="C159" s="8">
        <v>9490.0</v>
      </c>
      <c r="D159" s="8">
        <v>15990.0</v>
      </c>
      <c r="E159" s="9">
        <v>0.41</v>
      </c>
      <c r="F159" s="10">
        <v>3.9</v>
      </c>
      <c r="G159" s="11">
        <v>10480.0</v>
      </c>
      <c r="I159" s="7"/>
      <c r="J159" s="7"/>
      <c r="K159" s="13" t="str">
        <f>IF(discount&gt;50%, product, "")</f>
        <v/>
      </c>
      <c r="L159" s="7"/>
      <c r="M159" s="7"/>
      <c r="N159" s="7"/>
      <c r="O159" s="14"/>
      <c r="P159" s="14"/>
    </row>
    <row r="160">
      <c r="A160" s="7" t="s">
        <v>188</v>
      </c>
      <c r="B160" s="7" t="s">
        <v>31</v>
      </c>
      <c r="C160" s="8">
        <v>637.0</v>
      </c>
      <c r="D160" s="8">
        <v>1499.0</v>
      </c>
      <c r="E160" s="9">
        <v>0.58</v>
      </c>
      <c r="F160" s="10">
        <v>4.1</v>
      </c>
      <c r="G160" s="10">
        <v>24.0</v>
      </c>
      <c r="I160" s="7"/>
      <c r="J160" s="7"/>
      <c r="K160" s="13" t="str">
        <f>IF(discount&gt;50%, product, "")</f>
        <v>ZEBRONICS HAA2021 HDMI version 2.1 cable with 8K @ 60Hz, 4K @ 120Hz, eARC &amp; CEC support, 3D compatible, 2 meters length, 48Gbps max and Gold-plated connectors</v>
      </c>
      <c r="L160" s="7"/>
      <c r="M160" s="7"/>
      <c r="N160" s="7"/>
      <c r="O160" s="14"/>
      <c r="P160" s="14"/>
    </row>
    <row r="161">
      <c r="A161" s="7" t="s">
        <v>189</v>
      </c>
      <c r="B161" s="7" t="s">
        <v>71</v>
      </c>
      <c r="C161" s="8">
        <v>399.0</v>
      </c>
      <c r="D161" s="8">
        <v>899.0</v>
      </c>
      <c r="E161" s="9">
        <v>0.56</v>
      </c>
      <c r="F161" s="10">
        <v>3.9</v>
      </c>
      <c r="G161" s="10">
        <v>254.0</v>
      </c>
      <c r="I161" s="7"/>
      <c r="J161" s="7"/>
      <c r="K161" s="13" t="str">
        <f>IF(discount&gt;50%, product, "")</f>
        <v>7SEVEN® Compatible for Sony Bravia LCD LED UHD OLED QLED 4K Ultra HD TV remote control with YouTube and NETFLIX Hotkeys. Universal Replacement for Original Sony Smart Android tv Remote Control</v>
      </c>
      <c r="L161" s="7"/>
      <c r="M161" s="7"/>
      <c r="N161" s="7"/>
      <c r="O161" s="14"/>
      <c r="P161" s="14"/>
    </row>
    <row r="162">
      <c r="A162" s="7" t="s">
        <v>190</v>
      </c>
      <c r="B162" s="7" t="s">
        <v>177</v>
      </c>
      <c r="C162" s="8">
        <v>1089.0</v>
      </c>
      <c r="D162" s="8">
        <v>1600.0</v>
      </c>
      <c r="E162" s="9">
        <v>0.32</v>
      </c>
      <c r="F162" s="10">
        <v>4.0</v>
      </c>
      <c r="G162" s="11">
        <v>3565.0</v>
      </c>
      <c r="I162" s="7"/>
      <c r="J162" s="7"/>
      <c r="K162" s="13" t="str">
        <f>IF(discount&gt;50%, product, "")</f>
        <v/>
      </c>
      <c r="L162" s="7"/>
      <c r="M162" s="7"/>
      <c r="N162" s="7"/>
      <c r="O162" s="14"/>
      <c r="P162" s="14"/>
    </row>
    <row r="163">
      <c r="A163" s="7" t="s">
        <v>191</v>
      </c>
      <c r="B163" s="7" t="s">
        <v>15</v>
      </c>
      <c r="C163" s="8">
        <v>339.0</v>
      </c>
      <c r="D163" s="8">
        <v>999.0</v>
      </c>
      <c r="E163" s="9">
        <v>0.66</v>
      </c>
      <c r="F163" s="10">
        <v>4.3</v>
      </c>
      <c r="G163" s="11">
        <v>6255.0</v>
      </c>
      <c r="I163" s="7"/>
      <c r="J163" s="7"/>
      <c r="K163" s="13" t="str">
        <f>IF(discount&gt;50%, product, "")</f>
        <v>Wayona Type C Cable Nylon Braided USB C QC 3.0 Fast Charging Short Power Bank Cable for Samsung Galaxy S10e/S10+/S10/S9/S9+/Note 9/S8/Note 8, LG G7 G5 G6, Moto G6 G7 (0.25M, Black)</v>
      </c>
      <c r="L163" s="7"/>
      <c r="M163" s="7"/>
      <c r="N163" s="7"/>
      <c r="O163" s="14"/>
      <c r="P163" s="14"/>
    </row>
    <row r="164">
      <c r="A164" s="7" t="s">
        <v>192</v>
      </c>
      <c r="B164" s="7" t="s">
        <v>15</v>
      </c>
      <c r="C164" s="8">
        <v>149.0</v>
      </c>
      <c r="D164" s="8">
        <v>499.0</v>
      </c>
      <c r="E164" s="9">
        <v>0.7</v>
      </c>
      <c r="F164" s="10">
        <v>4.0</v>
      </c>
      <c r="G164" s="11">
        <v>7732.0</v>
      </c>
      <c r="I164" s="7"/>
      <c r="J164" s="7"/>
      <c r="K164" s="13" t="str">
        <f>IF(discount&gt;50%, product, "")</f>
        <v>Pinnaclz Original Combo of 2 USB Type C Fast Charging Cable, USB C Data Cable for Charging and Data Transfer Smart Phones White 1.2 Meter Made in India (Pack of 2)</v>
      </c>
      <c r="L164" s="7"/>
      <c r="M164" s="7"/>
      <c r="N164" s="7"/>
      <c r="O164" s="14"/>
      <c r="P164" s="14"/>
    </row>
    <row r="165">
      <c r="A165" s="7" t="s">
        <v>193</v>
      </c>
      <c r="B165" s="7" t="s">
        <v>15</v>
      </c>
      <c r="C165" s="8">
        <v>149.0</v>
      </c>
      <c r="D165" s="8">
        <v>399.0</v>
      </c>
      <c r="E165" s="9">
        <v>0.63</v>
      </c>
      <c r="F165" s="10">
        <v>3.9</v>
      </c>
      <c r="G165" s="10">
        <v>57.0</v>
      </c>
      <c r="I165" s="7"/>
      <c r="J165" s="7"/>
      <c r="K165" s="13" t="str">
        <f>IF(discount&gt;50%, product, "")</f>
        <v>Ambrane BCL-15 Lightning Cable for Smartphone (1.5m Black)</v>
      </c>
      <c r="L165" s="7"/>
      <c r="M165" s="7"/>
      <c r="N165" s="7"/>
      <c r="O165" s="14"/>
      <c r="P165" s="14"/>
    </row>
    <row r="166">
      <c r="A166" s="7" t="s">
        <v>194</v>
      </c>
      <c r="B166" s="7" t="s">
        <v>15</v>
      </c>
      <c r="C166" s="8">
        <v>599.0</v>
      </c>
      <c r="D166" s="8">
        <v>849.0</v>
      </c>
      <c r="E166" s="9">
        <v>0.29</v>
      </c>
      <c r="F166" s="10">
        <v>4.5</v>
      </c>
      <c r="G166" s="10">
        <v>577.0</v>
      </c>
      <c r="I166" s="7"/>
      <c r="J166" s="7"/>
      <c r="K166" s="13" t="str">
        <f>IF(discount&gt;50%, product, "")</f>
        <v/>
      </c>
      <c r="L166" s="7"/>
      <c r="M166" s="7"/>
      <c r="N166" s="7"/>
      <c r="O166" s="14"/>
      <c r="P166" s="14"/>
    </row>
    <row r="167">
      <c r="A167" s="7" t="s">
        <v>195</v>
      </c>
      <c r="B167" s="7" t="s">
        <v>71</v>
      </c>
      <c r="C167" s="8">
        <v>299.0</v>
      </c>
      <c r="D167" s="8">
        <v>1199.0</v>
      </c>
      <c r="E167" s="9">
        <v>0.75</v>
      </c>
      <c r="F167" s="10">
        <v>3.9</v>
      </c>
      <c r="G167" s="11">
        <v>1193.0</v>
      </c>
      <c r="I167" s="7"/>
      <c r="J167" s="7"/>
      <c r="K167" s="13" t="str">
        <f>IF(discount&gt;50%, product, "")</f>
        <v>LOHAYA Television Remote Compatible with Samsung Smart LED/LCD/HD TV Remote Control [ Compatible for All Samsung Tv Remote Control ]</v>
      </c>
      <c r="L167" s="7"/>
      <c r="M167" s="7"/>
      <c r="N167" s="7"/>
      <c r="O167" s="14"/>
      <c r="P167" s="14"/>
    </row>
    <row r="168">
      <c r="A168" s="7" t="s">
        <v>196</v>
      </c>
      <c r="B168" s="7" t="s">
        <v>15</v>
      </c>
      <c r="C168" s="8">
        <v>399.0</v>
      </c>
      <c r="D168" s="8">
        <v>1299.0</v>
      </c>
      <c r="E168" s="9">
        <v>0.69</v>
      </c>
      <c r="F168" s="10">
        <v>4.2</v>
      </c>
      <c r="G168" s="11">
        <v>13120.0</v>
      </c>
      <c r="I168" s="7"/>
      <c r="J168" s="7"/>
      <c r="K168" s="13" t="str">
        <f>IF(discount&gt;50%, product, "")</f>
        <v>Wayona Nylon Braided Lightning USB Data Sync &amp; 3A Charging Cable for iPhones, iPad Air, iPad Mini, iPod Nano and iPod Touch (3 FT Pack of 1, Grey)</v>
      </c>
      <c r="L168" s="7"/>
      <c r="M168" s="7"/>
      <c r="N168" s="7"/>
      <c r="O168" s="14"/>
      <c r="P168" s="14"/>
    </row>
    <row r="169">
      <c r="A169" s="7" t="s">
        <v>197</v>
      </c>
      <c r="B169" s="7" t="s">
        <v>71</v>
      </c>
      <c r="C169" s="8">
        <v>339.0</v>
      </c>
      <c r="D169" s="8">
        <v>1999.0</v>
      </c>
      <c r="E169" s="9">
        <v>0.83</v>
      </c>
      <c r="F169" s="10">
        <v>4.0</v>
      </c>
      <c r="G169" s="10">
        <v>343.0</v>
      </c>
      <c r="I169" s="7"/>
      <c r="J169" s="7"/>
      <c r="K169" s="13" t="str">
        <f>IF(discount&gt;50%, product, "")</f>
        <v>Electvision Remote Control Compatible with Kodak/Thomson Smart led tv (Without Voice) Before Placing Order for verification Contact Our coustmer Care 7738090464</v>
      </c>
      <c r="L169" s="7"/>
      <c r="M169" s="7"/>
      <c r="N169" s="7"/>
      <c r="O169" s="14"/>
      <c r="P169" s="14"/>
    </row>
    <row r="170">
      <c r="A170" s="7" t="s">
        <v>198</v>
      </c>
      <c r="B170" s="7" t="s">
        <v>37</v>
      </c>
      <c r="C170" s="8">
        <v>12499.0</v>
      </c>
      <c r="D170" s="8">
        <v>22990.0</v>
      </c>
      <c r="E170" s="9">
        <v>0.46</v>
      </c>
      <c r="F170" s="10">
        <v>4.3</v>
      </c>
      <c r="G170" s="11">
        <v>1611.0</v>
      </c>
      <c r="I170" s="7"/>
      <c r="J170" s="7"/>
      <c r="K170" s="13" t="str">
        <f>IF(discount&gt;50%, product, "")</f>
        <v/>
      </c>
      <c r="L170" s="7"/>
      <c r="M170" s="7"/>
      <c r="N170" s="7"/>
      <c r="O170" s="14"/>
      <c r="P170" s="14"/>
    </row>
    <row r="171">
      <c r="A171" s="7" t="s">
        <v>199</v>
      </c>
      <c r="B171" s="7" t="s">
        <v>15</v>
      </c>
      <c r="C171" s="8">
        <v>249.0</v>
      </c>
      <c r="D171" s="8">
        <v>399.0</v>
      </c>
      <c r="E171" s="9">
        <v>0.38</v>
      </c>
      <c r="F171" s="10">
        <v>4.0</v>
      </c>
      <c r="G171" s="11">
        <v>6558.0</v>
      </c>
      <c r="I171" s="7"/>
      <c r="J171" s="7"/>
      <c r="K171" s="13" t="str">
        <f>IF(discount&gt;50%, product, "")</f>
        <v/>
      </c>
      <c r="L171" s="7"/>
      <c r="M171" s="7"/>
      <c r="N171" s="7"/>
      <c r="O171" s="14"/>
      <c r="P171" s="14"/>
    </row>
    <row r="172">
      <c r="A172" s="7" t="s">
        <v>200</v>
      </c>
      <c r="B172" s="7" t="s">
        <v>25</v>
      </c>
      <c r="C172" s="8">
        <v>1399.0</v>
      </c>
      <c r="D172" s="8">
        <v>2499.0</v>
      </c>
      <c r="E172" s="9">
        <v>0.44</v>
      </c>
      <c r="F172" s="10">
        <v>4.4</v>
      </c>
      <c r="G172" s="11">
        <v>23169.0</v>
      </c>
      <c r="I172" s="7"/>
      <c r="J172" s="7"/>
      <c r="K172" s="13" t="str">
        <f>IF(discount&gt;50%, product, "")</f>
        <v/>
      </c>
      <c r="L172" s="7"/>
      <c r="M172" s="7"/>
      <c r="N172" s="7"/>
      <c r="O172" s="14"/>
      <c r="P172" s="14"/>
    </row>
    <row r="173">
      <c r="A173" s="7" t="s">
        <v>201</v>
      </c>
      <c r="B173" s="7" t="s">
        <v>37</v>
      </c>
      <c r="C173" s="8">
        <v>32999.0</v>
      </c>
      <c r="D173" s="8">
        <v>47990.0</v>
      </c>
      <c r="E173" s="9">
        <v>0.31</v>
      </c>
      <c r="F173" s="10">
        <v>4.3</v>
      </c>
      <c r="G173" s="11">
        <v>4703.0</v>
      </c>
      <c r="I173" s="7"/>
      <c r="J173" s="7"/>
      <c r="K173" s="13" t="str">
        <f>IF(discount&gt;50%, product, "")</f>
        <v/>
      </c>
      <c r="L173" s="7"/>
      <c r="M173" s="7"/>
      <c r="N173" s="7"/>
      <c r="O173" s="14"/>
      <c r="P173" s="14"/>
    </row>
    <row r="174">
      <c r="A174" s="7" t="s">
        <v>202</v>
      </c>
      <c r="B174" s="7" t="s">
        <v>15</v>
      </c>
      <c r="C174" s="8">
        <v>149.0</v>
      </c>
      <c r="D174" s="8">
        <v>399.0</v>
      </c>
      <c r="E174" s="9">
        <v>0.63</v>
      </c>
      <c r="F174" s="10">
        <v>4.0</v>
      </c>
      <c r="G174" s="11">
        <v>1423.0</v>
      </c>
      <c r="I174" s="7"/>
      <c r="J174" s="7"/>
      <c r="K174" s="13" t="str">
        <f>IF(discount&gt;50%, product, "")</f>
        <v>Ambrane 60W / 3A Fast Charging Output Cable with Micro to USB for Mobile, Neckband, True Wireless Earphone Charging, 480mbps Data Sync Speed, 1m Length (ACM - AZ1, Black)</v>
      </c>
      <c r="L174" s="7"/>
      <c r="M174" s="7"/>
      <c r="N174" s="7"/>
      <c r="O174" s="14"/>
      <c r="P174" s="14"/>
    </row>
    <row r="175">
      <c r="A175" s="7" t="s">
        <v>203</v>
      </c>
      <c r="B175" s="7" t="s">
        <v>15</v>
      </c>
      <c r="C175" s="8">
        <v>325.0</v>
      </c>
      <c r="D175" s="8">
        <v>999.0</v>
      </c>
      <c r="E175" s="9">
        <v>0.67</v>
      </c>
      <c r="F175" s="10">
        <v>4.3</v>
      </c>
      <c r="G175" s="11">
        <v>2651.0</v>
      </c>
      <c r="I175" s="7"/>
      <c r="J175" s="7"/>
      <c r="K175" s="13" t="str">
        <f>IF(discount&gt;50%, product, "")</f>
        <v>Wayona USB Type C 65W Fast Charging 2M/6Ft Long Flash Charge Cable 3A QC 3.0 Data Cable Compatible with Samsung Galaxy S21 S10 S9 S8, iQOO Z3, Vivo, Note 10 9 8, A20e A40 A50 A70, Moto G7 G8 (2M, Grey)</v>
      </c>
      <c r="L175" s="7"/>
      <c r="M175" s="7"/>
      <c r="N175" s="7"/>
      <c r="O175" s="14"/>
      <c r="P175" s="14"/>
    </row>
    <row r="176">
      <c r="A176" s="7" t="s">
        <v>204</v>
      </c>
      <c r="B176" s="7" t="s">
        <v>15</v>
      </c>
      <c r="C176" s="8">
        <v>399.0</v>
      </c>
      <c r="D176" s="8">
        <v>1999.0</v>
      </c>
      <c r="E176" s="9">
        <v>0.8</v>
      </c>
      <c r="F176" s="10">
        <v>5.0</v>
      </c>
      <c r="G176" s="10">
        <v>5.0</v>
      </c>
      <c r="I176" s="7"/>
      <c r="J176" s="7"/>
      <c r="K176" s="13" t="str">
        <f>IF(discount&gt;50%, product, "")</f>
        <v>Syncwire LTG to USB Cable for Fast Charging Compatible with Phone 5/ 5C/ 5S/ 6/ 6S/ 7/8/ X/XR/XS Max/ 11/12/ 13 Series and Pad Air/Mini, Pod &amp; Other Devices (1.1 Meter, White)</v>
      </c>
      <c r="L176" s="7"/>
      <c r="M176" s="7"/>
      <c r="N176" s="7"/>
      <c r="O176" s="14"/>
      <c r="P176" s="14"/>
    </row>
    <row r="177">
      <c r="A177" s="7" t="s">
        <v>205</v>
      </c>
      <c r="B177" s="7" t="s">
        <v>25</v>
      </c>
      <c r="C177" s="8">
        <v>199.0</v>
      </c>
      <c r="D177" s="8">
        <v>499.0</v>
      </c>
      <c r="E177" s="9">
        <v>0.6</v>
      </c>
      <c r="F177" s="10">
        <v>3.7</v>
      </c>
      <c r="G177" s="10">
        <v>612.0</v>
      </c>
      <c r="I177" s="7"/>
      <c r="J177" s="7"/>
      <c r="K177" s="13" t="str">
        <f>IF(discount&gt;50%, product, "")</f>
        <v>Skadioo WiFi Adapter for pc | Car Accessories, WiFi Dongle for pc | USB WiFi Adapter for pc | Wi-Fi Receiver 2.4GHz, 802.11b/g/n UNano Size WiFi Dongle Compatible Adapter,WiFi dongle for pc</v>
      </c>
      <c r="L177" s="7"/>
      <c r="M177" s="7"/>
      <c r="N177" s="7"/>
      <c r="O177" s="14"/>
      <c r="P177" s="14"/>
    </row>
    <row r="178">
      <c r="A178" s="7" t="s">
        <v>206</v>
      </c>
      <c r="B178" s="7" t="s">
        <v>15</v>
      </c>
      <c r="C178" s="8">
        <v>88.0</v>
      </c>
      <c r="D178" s="8">
        <v>299.0</v>
      </c>
      <c r="E178" s="9">
        <v>0.71</v>
      </c>
      <c r="F178" s="10">
        <v>4.0</v>
      </c>
      <c r="G178" s="11">
        <v>9378.0</v>
      </c>
      <c r="I178" s="7"/>
      <c r="J178" s="7"/>
      <c r="K178" s="13" t="str">
        <f>IF(discount&gt;50%, product, "")</f>
        <v>FLiX (Beetel USB to Type C PVC Data Sync &amp; 15W(3A) TPE Fast Charging Cable, Made in India, 480Mbps Data Sync, 1 Meter Long cable for all Andriod &amp; all Type C Devices (Black)(XCD - FPC02)</v>
      </c>
      <c r="L178" s="7"/>
      <c r="M178" s="7"/>
      <c r="N178" s="7"/>
      <c r="O178" s="14"/>
      <c r="P178" s="14"/>
    </row>
    <row r="179">
      <c r="A179" s="7" t="s">
        <v>207</v>
      </c>
      <c r="B179" s="7" t="s">
        <v>15</v>
      </c>
      <c r="C179" s="8">
        <v>399.0</v>
      </c>
      <c r="D179" s="8">
        <v>1099.0</v>
      </c>
      <c r="E179" s="9">
        <v>0.64</v>
      </c>
      <c r="F179" s="10">
        <v>4.1</v>
      </c>
      <c r="G179" s="11">
        <v>2685.0</v>
      </c>
      <c r="I179" s="7"/>
      <c r="J179" s="7"/>
      <c r="K179" s="13" t="str">
        <f>IF(discount&gt;50%, product, "")</f>
        <v>Zoul USB C to USB C Fast Charging Cable 65W Type C to Type C Nylon Braided Cord Compatible with Macbook Oneplus 9 10R Samsung Galaxy S22 S21 Ultra Z Flip3 Macbook Air/Pro M1 Google Pixel 11'' iPad Pro 2020/2018 (2M, Grey)</v>
      </c>
      <c r="L179" s="7"/>
      <c r="M179" s="7"/>
      <c r="N179" s="7"/>
      <c r="O179" s="14"/>
      <c r="P179" s="14"/>
    </row>
    <row r="180">
      <c r="A180" s="7" t="s">
        <v>208</v>
      </c>
      <c r="B180" s="7" t="s">
        <v>15</v>
      </c>
      <c r="C180" s="8">
        <v>57.89</v>
      </c>
      <c r="D180" s="8">
        <v>199.0</v>
      </c>
      <c r="E180" s="9">
        <v>0.71</v>
      </c>
      <c r="F180" s="10">
        <v>4.0</v>
      </c>
      <c r="G180" s="11">
        <v>9378.0</v>
      </c>
      <c r="I180" s="7"/>
      <c r="J180" s="7"/>
      <c r="K180" s="13" t="str">
        <f>IF(discount&gt;50%, product, "")</f>
        <v>FLiX (Beetel Flow USB to Micro USB PVC Data Sync &amp; 12W(2.4A) Fast Charging Cable,Made in India,480Mbps Data Sync,Solid Cable,1 Meter Long cable for all Andriod &amp; Micro USB Devices (Black)(XCD-FPM01)</v>
      </c>
      <c r="L180" s="7"/>
      <c r="M180" s="7"/>
      <c r="N180" s="7"/>
      <c r="O180" s="14"/>
      <c r="P180" s="14"/>
    </row>
    <row r="181">
      <c r="A181" s="7" t="s">
        <v>209</v>
      </c>
      <c r="B181" s="7" t="s">
        <v>71</v>
      </c>
      <c r="C181" s="8">
        <v>799.0</v>
      </c>
      <c r="D181" s="8">
        <v>1999.0</v>
      </c>
      <c r="E181" s="9">
        <v>0.6</v>
      </c>
      <c r="F181" s="10">
        <v>3.3</v>
      </c>
      <c r="G181" s="10">
        <v>576.0</v>
      </c>
      <c r="I181" s="7"/>
      <c r="J181" s="7"/>
      <c r="K181" s="13" t="str">
        <f>IF(discount&gt;50%, product, "")</f>
        <v>7SEVEN® Bluetooth Voice Command Remote for Xiaomi Redmi Mi Smart TV with Netflix &amp; Prime Video Hot Keys XMRM-00A</v>
      </c>
      <c r="L181" s="7"/>
      <c r="M181" s="7"/>
      <c r="N181" s="7"/>
      <c r="O181" s="14"/>
      <c r="P181" s="14"/>
    </row>
    <row r="182">
      <c r="A182" s="7" t="s">
        <v>210</v>
      </c>
      <c r="B182" s="7" t="s">
        <v>71</v>
      </c>
      <c r="C182" s="8">
        <v>205.0</v>
      </c>
      <c r="D182" s="8">
        <v>499.0</v>
      </c>
      <c r="E182" s="9">
        <v>0.59</v>
      </c>
      <c r="F182" s="10">
        <v>3.8</v>
      </c>
      <c r="G182" s="10">
        <v>313.0</v>
      </c>
      <c r="I182" s="7"/>
      <c r="J182" s="7"/>
      <c r="K182" s="13" t="str">
        <f>IF(discount&gt;50%, product, "")</f>
        <v>Sony TV - Remote Compatible for Sony LED Remote Control Works with Sony LED TV by Trend Trail Speed tech &amp; Remote hi Remote &amp; REO India only</v>
      </c>
      <c r="L182" s="7"/>
      <c r="M182" s="7"/>
      <c r="N182" s="7"/>
      <c r="O182" s="14"/>
      <c r="P182" s="14"/>
    </row>
    <row r="183">
      <c r="A183" s="7" t="s">
        <v>211</v>
      </c>
      <c r="B183" s="7" t="s">
        <v>15</v>
      </c>
      <c r="C183" s="8">
        <v>299.0</v>
      </c>
      <c r="D183" s="8">
        <v>699.0</v>
      </c>
      <c r="E183" s="9">
        <v>0.57</v>
      </c>
      <c r="F183" s="10">
        <v>4.1</v>
      </c>
      <c r="G183" s="11">
        <v>2957.0</v>
      </c>
      <c r="I183" s="7"/>
      <c r="J183" s="7"/>
      <c r="K183" s="13" t="str">
        <f>IF(discount&gt;50%, product, "")</f>
        <v>Storite USB 3.0 Cable A to Micro B high Speed Upto 5 Gbps Data Transfer Cable for Portable External Hard Drive - (20cm), Black</v>
      </c>
      <c r="L183" s="7"/>
      <c r="M183" s="7"/>
      <c r="N183" s="7"/>
      <c r="O183" s="14"/>
      <c r="P183" s="14"/>
    </row>
    <row r="184">
      <c r="A184" s="7" t="s">
        <v>212</v>
      </c>
      <c r="B184" s="7" t="s">
        <v>15</v>
      </c>
      <c r="C184" s="8">
        <v>849.0</v>
      </c>
      <c r="D184" s="8">
        <v>999.0</v>
      </c>
      <c r="E184" s="9">
        <v>0.15</v>
      </c>
      <c r="F184" s="10">
        <v>4.1</v>
      </c>
      <c r="G184" s="11">
        <v>6736.0</v>
      </c>
      <c r="I184" s="7"/>
      <c r="J184" s="7"/>
      <c r="K184" s="13" t="str">
        <f>IF(discount&gt;50%, product, "")</f>
        <v/>
      </c>
      <c r="L184" s="7"/>
      <c r="M184" s="7"/>
      <c r="N184" s="7"/>
      <c r="O184" s="14"/>
      <c r="P184" s="14"/>
    </row>
    <row r="185">
      <c r="A185" s="7" t="s">
        <v>213</v>
      </c>
      <c r="B185" s="7" t="s">
        <v>15</v>
      </c>
      <c r="C185" s="8">
        <v>949.0</v>
      </c>
      <c r="D185" s="8">
        <v>1999.0</v>
      </c>
      <c r="E185" s="9">
        <v>0.53</v>
      </c>
      <c r="F185" s="10">
        <v>4.4</v>
      </c>
      <c r="G185" s="11">
        <v>13552.0</v>
      </c>
      <c r="I185" s="7"/>
      <c r="J185" s="7"/>
      <c r="K185" s="13" t="str">
        <f>IF(discount&gt;50%, product, "")</f>
        <v>AmazonBasics USB C to Lightning Aluminum with Nylon Braided MFi Certified Charging Cable (Grey, 1.2 meter)</v>
      </c>
      <c r="L185" s="7"/>
      <c r="M185" s="7"/>
      <c r="N185" s="7"/>
      <c r="O185" s="14"/>
      <c r="P185" s="14"/>
    </row>
    <row r="186">
      <c r="A186" s="7" t="s">
        <v>214</v>
      </c>
      <c r="B186" s="7" t="s">
        <v>15</v>
      </c>
      <c r="C186" s="8">
        <v>499.0</v>
      </c>
      <c r="D186" s="8">
        <v>1200.0</v>
      </c>
      <c r="E186" s="9">
        <v>0.58</v>
      </c>
      <c r="F186" s="10">
        <v>4.3</v>
      </c>
      <c r="G186" s="11">
        <v>5451.0</v>
      </c>
      <c r="I186" s="7"/>
      <c r="J186" s="7"/>
      <c r="K186" s="13" t="str">
        <f>IF(discount&gt;50%, product, "")</f>
        <v>AmazonBasics Double Braided Nylon USB Type-C to Type-C 2.0 Cable Smartphone (Dark Grey, 3 feet)</v>
      </c>
      <c r="L186" s="7"/>
      <c r="M186" s="7"/>
      <c r="N186" s="7"/>
      <c r="O186" s="14"/>
      <c r="P186" s="14"/>
    </row>
    <row r="187">
      <c r="A187" s="7" t="s">
        <v>215</v>
      </c>
      <c r="B187" s="7" t="s">
        <v>15</v>
      </c>
      <c r="C187" s="8">
        <v>299.0</v>
      </c>
      <c r="D187" s="8">
        <v>485.0</v>
      </c>
      <c r="E187" s="9">
        <v>0.38</v>
      </c>
      <c r="F187" s="10">
        <v>4.3</v>
      </c>
      <c r="G187" s="11">
        <v>10911.0</v>
      </c>
      <c r="I187" s="7"/>
      <c r="J187" s="7"/>
      <c r="K187" s="13" t="str">
        <f>IF(discount&gt;50%, product, "")</f>
        <v/>
      </c>
      <c r="L187" s="7"/>
      <c r="M187" s="7"/>
      <c r="N187" s="7"/>
      <c r="O187" s="14"/>
      <c r="P187" s="14"/>
    </row>
    <row r="188">
      <c r="A188" s="7" t="s">
        <v>216</v>
      </c>
      <c r="B188" s="7" t="s">
        <v>15</v>
      </c>
      <c r="C188" s="8">
        <v>949.0</v>
      </c>
      <c r="D188" s="8">
        <v>1999.0</v>
      </c>
      <c r="E188" s="9">
        <v>0.53</v>
      </c>
      <c r="F188" s="10">
        <v>4.4</v>
      </c>
      <c r="G188" s="11">
        <v>13552.0</v>
      </c>
      <c r="I188" s="7"/>
      <c r="J188" s="7"/>
      <c r="K188" s="13" t="str">
        <f>IF(discount&gt;50%, product, "")</f>
        <v>AmazonBasics USB C to Lightning Aluminum with Nylon Braided MFi Certified Charging Cable (Grey, 1.8 meter)</v>
      </c>
      <c r="L188" s="7"/>
      <c r="M188" s="7"/>
      <c r="N188" s="7"/>
      <c r="O188" s="14"/>
      <c r="P188" s="14"/>
    </row>
    <row r="189">
      <c r="A189" s="7" t="s">
        <v>217</v>
      </c>
      <c r="B189" s="7" t="s">
        <v>15</v>
      </c>
      <c r="C189" s="8">
        <v>379.0</v>
      </c>
      <c r="D189" s="8">
        <v>1099.0</v>
      </c>
      <c r="E189" s="9">
        <v>0.66</v>
      </c>
      <c r="F189" s="10">
        <v>4.3</v>
      </c>
      <c r="G189" s="11">
        <v>2806.0</v>
      </c>
      <c r="I189" s="7"/>
      <c r="J189" s="7"/>
      <c r="K189" s="13" t="str">
        <f>IF(discount&gt;50%, product, "")</f>
        <v>Wayona Usb C 65W Fast Charging Cable Compatible For Tablets Samsung S22 S20 S10 S20Fe S21 S21 Ultra A70 A51 A71 A50S M31 M51 M31S M53 5G (1M, Black)</v>
      </c>
      <c r="L189" s="7"/>
      <c r="M189" s="7"/>
      <c r="N189" s="7"/>
      <c r="O189" s="14"/>
      <c r="P189" s="14"/>
    </row>
    <row r="190">
      <c r="A190" s="7" t="s">
        <v>218</v>
      </c>
      <c r="B190" s="7" t="s">
        <v>37</v>
      </c>
      <c r="C190" s="8">
        <v>8990.0</v>
      </c>
      <c r="D190" s="8">
        <v>18990.0</v>
      </c>
      <c r="E190" s="9">
        <v>0.53</v>
      </c>
      <c r="F190" s="10">
        <v>3.9</v>
      </c>
      <c r="G190" s="10">
        <v>350.0</v>
      </c>
      <c r="I190" s="7"/>
      <c r="J190" s="7"/>
      <c r="K190" s="13" t="str">
        <f>IF(discount&gt;50%, product, "")</f>
        <v>Karbonn 80 cm (32 inches) Millenium Bezel-Less Series HD Ready Smart LED TV KJW32SKHD (Phantom Black)</v>
      </c>
      <c r="L190" s="7"/>
      <c r="M190" s="7"/>
      <c r="N190" s="7"/>
      <c r="O190" s="14"/>
      <c r="P190" s="14"/>
    </row>
    <row r="191">
      <c r="A191" s="7" t="s">
        <v>219</v>
      </c>
      <c r="B191" s="7" t="s">
        <v>177</v>
      </c>
      <c r="C191" s="8">
        <v>486.0</v>
      </c>
      <c r="D191" s="8">
        <v>1999.0</v>
      </c>
      <c r="E191" s="9">
        <v>0.76</v>
      </c>
      <c r="F191" s="10">
        <v>4.2</v>
      </c>
      <c r="G191" s="11">
        <v>30023.0</v>
      </c>
      <c r="I191" s="7"/>
      <c r="J191" s="7"/>
      <c r="K191" s="13" t="str">
        <f>IF(discount&gt;50%, product, "")</f>
        <v>BlueRigger Digital Optical Audio Toslink Cable (6 Feet / 1.8 Meter) With 8 Channel (7.1) Audio Support (for Home Theatre, Xbox, Playstation etc.)</v>
      </c>
      <c r="L191" s="7"/>
      <c r="M191" s="7"/>
      <c r="N191" s="7"/>
      <c r="O191" s="14"/>
      <c r="P191" s="14"/>
    </row>
    <row r="192">
      <c r="A192" s="7" t="s">
        <v>220</v>
      </c>
      <c r="B192" s="7" t="s">
        <v>77</v>
      </c>
      <c r="C192" s="8">
        <v>5699.0</v>
      </c>
      <c r="D192" s="8">
        <v>11000.0</v>
      </c>
      <c r="E192" s="9">
        <v>0.48</v>
      </c>
      <c r="F192" s="10">
        <v>4.2</v>
      </c>
      <c r="G192" s="11">
        <v>4003.0</v>
      </c>
      <c r="I192" s="7"/>
      <c r="J192" s="7"/>
      <c r="K192" s="13" t="str">
        <f>IF(discount&gt;50%, product, "")</f>
        <v/>
      </c>
      <c r="L192" s="7"/>
      <c r="M192" s="7"/>
      <c r="N192" s="7"/>
      <c r="O192" s="14"/>
      <c r="P192" s="14"/>
    </row>
    <row r="193">
      <c r="A193" s="7" t="s">
        <v>221</v>
      </c>
      <c r="B193" s="7" t="s">
        <v>15</v>
      </c>
      <c r="C193" s="8">
        <v>709.0</v>
      </c>
      <c r="D193" s="8">
        <v>1999.0</v>
      </c>
      <c r="E193" s="9">
        <v>0.65</v>
      </c>
      <c r="F193" s="10">
        <v>4.1</v>
      </c>
      <c r="G193" s="7" t="s">
        <v>222</v>
      </c>
      <c r="I193" s="7"/>
      <c r="J193" s="7"/>
      <c r="K193" s="13" t="str">
        <f>IF(discount&gt;50%, product, "")</f>
        <v>Amazon Basics USB A to Lightning MFi Certified Charging Cable (White, 1.2 meter)</v>
      </c>
      <c r="L193" s="7"/>
      <c r="M193" s="7"/>
      <c r="N193" s="7"/>
      <c r="O193" s="14"/>
      <c r="P193" s="14"/>
    </row>
    <row r="194">
      <c r="A194" s="7" t="s">
        <v>223</v>
      </c>
      <c r="B194" s="7" t="s">
        <v>37</v>
      </c>
      <c r="C194" s="8">
        <v>47990.0</v>
      </c>
      <c r="D194" s="8">
        <v>70900.0</v>
      </c>
      <c r="E194" s="9">
        <v>0.32</v>
      </c>
      <c r="F194" s="10">
        <v>4.3</v>
      </c>
      <c r="G194" s="11">
        <v>7109.0</v>
      </c>
      <c r="I194" s="7"/>
      <c r="J194" s="7"/>
      <c r="K194" s="13" t="str">
        <f>IF(discount&gt;50%, product, "")</f>
        <v/>
      </c>
      <c r="L194" s="7"/>
      <c r="M194" s="7"/>
      <c r="N194" s="7"/>
      <c r="O194" s="14"/>
      <c r="P194" s="14"/>
    </row>
    <row r="195">
      <c r="A195" s="7" t="s">
        <v>224</v>
      </c>
      <c r="B195" s="7" t="s">
        <v>71</v>
      </c>
      <c r="C195" s="8">
        <v>299.0</v>
      </c>
      <c r="D195" s="8">
        <v>1199.0</v>
      </c>
      <c r="E195" s="9">
        <v>0.75</v>
      </c>
      <c r="F195" s="10">
        <v>3.7</v>
      </c>
      <c r="G195" s="10">
        <v>490.0</v>
      </c>
      <c r="I195" s="7"/>
      <c r="J195" s="7"/>
      <c r="K195" s="13" t="str">
        <f>IF(discount&gt;50%, product, "")</f>
        <v>LOHAYA Television Remote Compatible for VU LED LCD HD Tv Remote Control Model No :- EN2B27V</v>
      </c>
      <c r="L195" s="7"/>
      <c r="M195" s="7"/>
      <c r="N195" s="7"/>
      <c r="O195" s="14"/>
      <c r="P195" s="14"/>
    </row>
    <row r="196">
      <c r="A196" s="7" t="s">
        <v>225</v>
      </c>
      <c r="B196" s="7" t="s">
        <v>15</v>
      </c>
      <c r="C196" s="8">
        <v>320.0</v>
      </c>
      <c r="D196" s="8">
        <v>599.0</v>
      </c>
      <c r="E196" s="9">
        <v>0.47</v>
      </c>
      <c r="F196" s="10">
        <v>4.1</v>
      </c>
      <c r="G196" s="10">
        <v>491.0</v>
      </c>
      <c r="I196" s="7"/>
      <c r="J196" s="7"/>
      <c r="K196" s="13" t="str">
        <f>IF(discount&gt;50%, product, "")</f>
        <v/>
      </c>
      <c r="L196" s="7"/>
      <c r="M196" s="7"/>
      <c r="N196" s="7"/>
      <c r="O196" s="14"/>
      <c r="P196" s="14"/>
    </row>
    <row r="197">
      <c r="A197" s="7" t="s">
        <v>226</v>
      </c>
      <c r="B197" s="7" t="s">
        <v>15</v>
      </c>
      <c r="C197" s="8">
        <v>139.0</v>
      </c>
      <c r="D197" s="8">
        <v>549.0</v>
      </c>
      <c r="E197" s="9">
        <v>0.75</v>
      </c>
      <c r="F197" s="10">
        <v>3.9</v>
      </c>
      <c r="G197" s="10">
        <v>61.0</v>
      </c>
      <c r="I197" s="7"/>
      <c r="J197" s="7"/>
      <c r="K197" s="13" t="str">
        <f>IF(discount&gt;50%, product, "")</f>
        <v>Zebronics CU3100V Fast charging Type C cable with QC 18W support, 3A max capacity, 1 meter braided cable, Data transfer and Superior durability (Braided Black + White)</v>
      </c>
      <c r="L197" s="7"/>
      <c r="M197" s="7"/>
      <c r="N197" s="7"/>
      <c r="O197" s="14"/>
      <c r="P197" s="14"/>
    </row>
    <row r="198">
      <c r="A198" s="7" t="s">
        <v>227</v>
      </c>
      <c r="B198" s="7" t="s">
        <v>15</v>
      </c>
      <c r="C198" s="8">
        <v>129.0</v>
      </c>
      <c r="D198" s="8">
        <v>249.0</v>
      </c>
      <c r="E198" s="9">
        <v>0.48</v>
      </c>
      <c r="F198" s="10">
        <v>4.0</v>
      </c>
      <c r="G198" s="11">
        <v>9378.0</v>
      </c>
      <c r="I198" s="7"/>
      <c r="J198" s="7"/>
      <c r="K198" s="13" t="str">
        <f>IF(discount&gt;50%, product, "")</f>
        <v/>
      </c>
      <c r="L198" s="7"/>
      <c r="M198" s="7"/>
      <c r="N198" s="7"/>
      <c r="O198" s="14"/>
      <c r="P198" s="14"/>
    </row>
    <row r="199">
      <c r="A199" s="7" t="s">
        <v>228</v>
      </c>
      <c r="B199" s="7" t="s">
        <v>37</v>
      </c>
      <c r="C199" s="8">
        <v>24999.0</v>
      </c>
      <c r="D199" s="8">
        <v>35999.0</v>
      </c>
      <c r="E199" s="9">
        <v>0.31</v>
      </c>
      <c r="F199" s="10">
        <v>4.2</v>
      </c>
      <c r="G199" s="11">
        <v>32840.0</v>
      </c>
      <c r="I199" s="7"/>
      <c r="J199" s="7"/>
      <c r="K199" s="13" t="str">
        <f>IF(discount&gt;50%, product, "")</f>
        <v/>
      </c>
      <c r="L199" s="7"/>
      <c r="M199" s="7"/>
      <c r="N199" s="7"/>
      <c r="O199" s="14"/>
      <c r="P199" s="14"/>
    </row>
    <row r="200">
      <c r="A200" s="7" t="s">
        <v>229</v>
      </c>
      <c r="B200" s="7" t="s">
        <v>15</v>
      </c>
      <c r="C200" s="8">
        <v>999.0</v>
      </c>
      <c r="D200" s="8">
        <v>1699.0</v>
      </c>
      <c r="E200" s="9">
        <v>0.41</v>
      </c>
      <c r="F200" s="10">
        <v>4.4</v>
      </c>
      <c r="G200" s="11">
        <v>7318.0</v>
      </c>
      <c r="I200" s="7"/>
      <c r="J200" s="7"/>
      <c r="K200" s="13" t="str">
        <f>IF(discount&gt;50%, product, "")</f>
        <v/>
      </c>
      <c r="L200" s="7"/>
      <c r="M200" s="7"/>
      <c r="N200" s="7"/>
      <c r="O200" s="14"/>
      <c r="P200" s="14"/>
    </row>
    <row r="201">
      <c r="A201" s="7" t="s">
        <v>230</v>
      </c>
      <c r="B201" s="7" t="s">
        <v>15</v>
      </c>
      <c r="C201" s="8">
        <v>225.0</v>
      </c>
      <c r="D201" s="8">
        <v>499.0</v>
      </c>
      <c r="E201" s="9">
        <v>0.55</v>
      </c>
      <c r="F201" s="10">
        <v>4.1</v>
      </c>
      <c r="G201" s="10">
        <v>789.0</v>
      </c>
      <c r="I201" s="7"/>
      <c r="J201" s="7"/>
      <c r="K201" s="13" t="str">
        <f>IF(discount&gt;50%, product, "")</f>
        <v>Time Office Scanner Replacement Cable for Startek FM220U (Type C) Ivory</v>
      </c>
      <c r="L201" s="7"/>
      <c r="M201" s="7"/>
      <c r="N201" s="7"/>
      <c r="O201" s="14"/>
      <c r="P201" s="14"/>
    </row>
    <row r="202">
      <c r="A202" s="7" t="s">
        <v>231</v>
      </c>
      <c r="B202" s="7" t="s">
        <v>71</v>
      </c>
      <c r="C202" s="8">
        <v>547.0</v>
      </c>
      <c r="D202" s="8">
        <v>2999.0</v>
      </c>
      <c r="E202" s="9">
        <v>0.82</v>
      </c>
      <c r="F202" s="10">
        <v>4.3</v>
      </c>
      <c r="G202" s="10">
        <v>407.0</v>
      </c>
      <c r="I202" s="7"/>
      <c r="J202" s="7"/>
      <c r="K202" s="13" t="str">
        <f>IF(discount&gt;50%, product, "")</f>
        <v>Caldipree Silicone Case Cover Compatible for 2022 Samsung Smart TV Remote QLED TV BN68-13897A TM2280E (2022-BLACK)</v>
      </c>
      <c r="L202" s="7"/>
      <c r="M202" s="7"/>
      <c r="N202" s="7"/>
      <c r="O202" s="14"/>
      <c r="P202" s="14"/>
    </row>
    <row r="203">
      <c r="A203" s="7" t="s">
        <v>232</v>
      </c>
      <c r="B203" s="7" t="s">
        <v>15</v>
      </c>
      <c r="C203" s="8">
        <v>259.0</v>
      </c>
      <c r="D203" s="8">
        <v>699.0</v>
      </c>
      <c r="E203" s="9">
        <v>0.63</v>
      </c>
      <c r="F203" s="10">
        <v>3.8</v>
      </c>
      <c r="G203" s="11">
        <v>2399.0</v>
      </c>
      <c r="I203" s="7"/>
      <c r="J203" s="7"/>
      <c r="K203" s="13" t="str">
        <f>IF(discount&gt;50%, product, "")</f>
        <v>Storite USB 2.0 A to Mini 5 pin B Cable for External HDDS/Camera/Card Readers 35cm</v>
      </c>
      <c r="L203" s="7"/>
      <c r="M203" s="7"/>
      <c r="N203" s="7"/>
      <c r="O203" s="14"/>
      <c r="P203" s="14"/>
    </row>
    <row r="204">
      <c r="A204" s="7" t="s">
        <v>233</v>
      </c>
      <c r="B204" s="7" t="s">
        <v>71</v>
      </c>
      <c r="C204" s="8">
        <v>239.0</v>
      </c>
      <c r="D204" s="8">
        <v>699.0</v>
      </c>
      <c r="E204" s="9">
        <v>0.66</v>
      </c>
      <c r="F204" s="10">
        <v>4.4</v>
      </c>
      <c r="G204" s="11">
        <v>2640.0</v>
      </c>
      <c r="I204" s="7"/>
      <c r="J204" s="7"/>
      <c r="K204" s="13" t="str">
        <f>IF(discount&gt;50%, product, "")</f>
        <v>Universal Remote Control for All Sony TV for All LCD LED and Bravia TVs Remote</v>
      </c>
      <c r="L204" s="7"/>
      <c r="M204" s="7"/>
      <c r="N204" s="7"/>
      <c r="O204" s="14"/>
      <c r="P204" s="14"/>
    </row>
    <row r="205">
      <c r="A205" s="7" t="s">
        <v>234</v>
      </c>
      <c r="B205" s="7" t="s">
        <v>71</v>
      </c>
      <c r="C205" s="8">
        <v>349.0</v>
      </c>
      <c r="D205" s="8">
        <v>999.0</v>
      </c>
      <c r="E205" s="9">
        <v>0.65</v>
      </c>
      <c r="F205" s="10">
        <v>4.0</v>
      </c>
      <c r="G205" s="10">
        <v>839.0</v>
      </c>
      <c r="I205" s="7"/>
      <c r="J205" s="7"/>
      <c r="K205" s="13" t="str">
        <f>IF(discount&gt;50%, product, "")</f>
        <v>Cotbolt Silicone Case Cover Compatible for Samsung BN59-01312A QLED 8K 4K Smart TV Remote Shockproof Protective Remote Cover (Black)</v>
      </c>
      <c r="L205" s="7"/>
      <c r="M205" s="7"/>
      <c r="N205" s="7"/>
      <c r="O205" s="14"/>
      <c r="P205" s="14"/>
    </row>
    <row r="206">
      <c r="A206" s="7" t="s">
        <v>235</v>
      </c>
      <c r="B206" s="7" t="s">
        <v>31</v>
      </c>
      <c r="C206" s="8">
        <v>467.0</v>
      </c>
      <c r="D206" s="8">
        <v>599.0</v>
      </c>
      <c r="E206" s="9">
        <v>0.22</v>
      </c>
      <c r="F206" s="10">
        <v>4.4</v>
      </c>
      <c r="G206" s="11">
        <v>44054.0</v>
      </c>
      <c r="I206" s="7"/>
      <c r="J206" s="7"/>
      <c r="K206" s="13" t="str">
        <f>IF(discount&gt;50%, product, "")</f>
        <v/>
      </c>
      <c r="L206" s="7"/>
      <c r="M206" s="7"/>
      <c r="N206" s="7"/>
      <c r="O206" s="14"/>
      <c r="P206" s="14"/>
    </row>
    <row r="207">
      <c r="A207" s="7" t="s">
        <v>236</v>
      </c>
      <c r="B207" s="7" t="s">
        <v>15</v>
      </c>
      <c r="C207" s="8">
        <v>449.0</v>
      </c>
      <c r="D207" s="8">
        <v>599.0</v>
      </c>
      <c r="E207" s="9">
        <v>0.25</v>
      </c>
      <c r="F207" s="10">
        <v>4.0</v>
      </c>
      <c r="G207" s="11">
        <v>3231.0</v>
      </c>
      <c r="I207" s="7"/>
      <c r="J207" s="7"/>
      <c r="K207" s="13" t="str">
        <f>IF(discount&gt;50%, product, "")</f>
        <v/>
      </c>
      <c r="L207" s="7"/>
      <c r="M207" s="7"/>
      <c r="N207" s="7"/>
      <c r="O207" s="14"/>
      <c r="P207" s="14"/>
    </row>
    <row r="208">
      <c r="A208" s="7" t="s">
        <v>237</v>
      </c>
      <c r="B208" s="7" t="s">
        <v>37</v>
      </c>
      <c r="C208" s="8">
        <v>11990.0</v>
      </c>
      <c r="D208" s="8">
        <v>31990.0</v>
      </c>
      <c r="E208" s="9">
        <v>0.63</v>
      </c>
      <c r="F208" s="10">
        <v>4.2</v>
      </c>
      <c r="G208" s="10">
        <v>64.0</v>
      </c>
      <c r="I208" s="7"/>
      <c r="J208" s="7"/>
      <c r="K208" s="13" t="str">
        <f>IF(discount&gt;50%, product, "")</f>
        <v>TCL 80 cm (32 inches) HD Ready Certified Android Smart LED TV 32S615 (Black)</v>
      </c>
      <c r="L208" s="7"/>
      <c r="M208" s="7"/>
      <c r="N208" s="7"/>
      <c r="O208" s="14"/>
      <c r="P208" s="14"/>
    </row>
    <row r="209">
      <c r="A209" s="7" t="s">
        <v>238</v>
      </c>
      <c r="B209" s="7" t="s">
        <v>15</v>
      </c>
      <c r="C209" s="8">
        <v>350.0</v>
      </c>
      <c r="D209" s="8">
        <v>599.0</v>
      </c>
      <c r="E209" s="9">
        <v>0.42</v>
      </c>
      <c r="F209" s="10">
        <v>3.9</v>
      </c>
      <c r="G209" s="11">
        <v>8314.0</v>
      </c>
      <c r="I209" s="7"/>
      <c r="J209" s="7"/>
      <c r="K209" s="13" t="str">
        <f>IF(discount&gt;50%, product, "")</f>
        <v/>
      </c>
      <c r="L209" s="7"/>
      <c r="M209" s="7"/>
      <c r="N209" s="7"/>
      <c r="O209" s="14"/>
      <c r="P209" s="14"/>
    </row>
    <row r="210">
      <c r="A210" s="7" t="s">
        <v>239</v>
      </c>
      <c r="B210" s="7" t="s">
        <v>15</v>
      </c>
      <c r="C210" s="8">
        <v>252.0</v>
      </c>
      <c r="D210" s="8">
        <v>999.0</v>
      </c>
      <c r="E210" s="9">
        <v>0.75</v>
      </c>
      <c r="F210" s="10">
        <v>3.7</v>
      </c>
      <c r="G210" s="11">
        <v>2249.0</v>
      </c>
      <c r="I210" s="7"/>
      <c r="J210" s="7"/>
      <c r="K210" s="13" t="str">
        <f>IF(discount&gt;50%, product, "")</f>
        <v>MYVN LTG to USB for Fast Charging &amp; Data Sync USB Cable Compatible for iPhone 5/5s/6/6S/7/7+/8/8+/10/11, iPad Air/Mini, iPod and iOS Devices (1 M)</v>
      </c>
      <c r="L210" s="7"/>
      <c r="M210" s="7"/>
      <c r="N210" s="7"/>
      <c r="O210" s="14"/>
      <c r="P210" s="14"/>
    </row>
    <row r="211">
      <c r="A211" s="7" t="s">
        <v>240</v>
      </c>
      <c r="B211" s="7" t="s">
        <v>71</v>
      </c>
      <c r="C211" s="8">
        <v>204.0</v>
      </c>
      <c r="D211" s="8">
        <v>599.0</v>
      </c>
      <c r="E211" s="9">
        <v>0.66</v>
      </c>
      <c r="F211" s="10">
        <v>3.6</v>
      </c>
      <c r="G211" s="10">
        <v>339.0</v>
      </c>
      <c r="I211" s="7"/>
      <c r="J211" s="7"/>
      <c r="K211" s="13" t="str">
        <f>IF(discount&gt;50%, product, "")</f>
        <v>Tata Sky Universal Remote Compatible for SD/HD</v>
      </c>
      <c r="L211" s="7"/>
      <c r="M211" s="7"/>
      <c r="N211" s="7"/>
      <c r="O211" s="14"/>
      <c r="P211" s="14"/>
    </row>
    <row r="212">
      <c r="A212" s="7" t="s">
        <v>241</v>
      </c>
      <c r="B212" s="7" t="s">
        <v>187</v>
      </c>
      <c r="C212" s="8">
        <v>6490.0</v>
      </c>
      <c r="D212" s="8">
        <v>9990.0</v>
      </c>
      <c r="E212" s="9">
        <v>0.35</v>
      </c>
      <c r="F212" s="10">
        <v>4.0</v>
      </c>
      <c r="G212" s="10">
        <v>27.0</v>
      </c>
      <c r="I212" s="7"/>
      <c r="J212" s="7"/>
      <c r="K212" s="13" t="str">
        <f>IF(discount&gt;50%, product, "")</f>
        <v/>
      </c>
      <c r="L212" s="7"/>
      <c r="M212" s="7"/>
      <c r="N212" s="7"/>
      <c r="O212" s="14"/>
      <c r="P212" s="14"/>
    </row>
    <row r="213">
      <c r="A213" s="7" t="s">
        <v>242</v>
      </c>
      <c r="B213" s="7" t="s">
        <v>71</v>
      </c>
      <c r="C213" s="8">
        <v>235.0</v>
      </c>
      <c r="D213" s="8">
        <v>599.0</v>
      </c>
      <c r="E213" s="9">
        <v>0.61</v>
      </c>
      <c r="F213" s="10">
        <v>3.5</v>
      </c>
      <c r="G213" s="10">
        <v>197.0</v>
      </c>
      <c r="I213" s="7"/>
      <c r="J213" s="7"/>
      <c r="K213" s="13" t="str">
        <f>IF(discount&gt;50%, product, "")</f>
        <v>7SEVEN® Compatible Tata Sky Remote Control Replacement of Original dth SD HD tata Play Set top Box Remote - IR Learning Universal Remote for Any Brand TV - Pairing Must</v>
      </c>
      <c r="L213" s="7"/>
      <c r="M213" s="7"/>
      <c r="N213" s="7"/>
      <c r="O213" s="14"/>
      <c r="P213" s="14"/>
    </row>
    <row r="214">
      <c r="A214" s="7" t="s">
        <v>243</v>
      </c>
      <c r="B214" s="7" t="s">
        <v>15</v>
      </c>
      <c r="C214" s="8">
        <v>299.0</v>
      </c>
      <c r="D214" s="8">
        <v>800.0</v>
      </c>
      <c r="E214" s="9">
        <v>0.63</v>
      </c>
      <c r="F214" s="10">
        <v>4.5</v>
      </c>
      <c r="G214" s="11">
        <v>74977.0</v>
      </c>
      <c r="I214" s="7"/>
      <c r="J214" s="7"/>
      <c r="K214" s="13" t="str">
        <f>IF(discount&gt;50%, product, "")</f>
        <v>AmazonBasics USB 2.0 Extension Cable for Personal Computer, Printer, 2-Pack - A-Male to A-Female - 3.3 Feet (1 Meter, Black)</v>
      </c>
      <c r="L214" s="7"/>
      <c r="M214" s="7"/>
      <c r="N214" s="7"/>
      <c r="O214" s="14"/>
      <c r="P214" s="14"/>
    </row>
    <row r="215">
      <c r="A215" s="7" t="s">
        <v>244</v>
      </c>
      <c r="B215" s="7" t="s">
        <v>15</v>
      </c>
      <c r="C215" s="8">
        <v>799.0</v>
      </c>
      <c r="D215" s="8">
        <v>1999.0</v>
      </c>
      <c r="E215" s="9">
        <v>0.6</v>
      </c>
      <c r="F215" s="10">
        <v>4.2</v>
      </c>
      <c r="G215" s="11">
        <v>8583.0</v>
      </c>
      <c r="I215" s="7"/>
      <c r="J215" s="7"/>
      <c r="K215" s="13" t="str">
        <f>IF(discount&gt;50%, product, "")</f>
        <v>Amazon Basics USB C to Lightning TPE MFi Certified Charging Cable (White, 1.2 meter)</v>
      </c>
      <c r="L215" s="7"/>
      <c r="M215" s="7"/>
      <c r="N215" s="7"/>
      <c r="O215" s="14"/>
      <c r="P215" s="14"/>
    </row>
    <row r="216">
      <c r="A216" s="7" t="s">
        <v>245</v>
      </c>
      <c r="B216" s="7" t="s">
        <v>71</v>
      </c>
      <c r="C216" s="8">
        <v>299.0</v>
      </c>
      <c r="D216" s="8">
        <v>999.0</v>
      </c>
      <c r="E216" s="9">
        <v>0.7</v>
      </c>
      <c r="F216" s="10">
        <v>3.8</v>
      </c>
      <c r="G216" s="10">
        <v>928.0</v>
      </c>
      <c r="I216" s="7"/>
      <c r="J216" s="7"/>
      <c r="K216" s="13" t="str">
        <f>IF(discount&gt;50%, product, "")</f>
        <v>Crypo™ Universal Remote Compatible with Tata Sky Universal HD &amp; SD Set top Box (Also Works with All TV)</v>
      </c>
      <c r="L216" s="7"/>
      <c r="M216" s="7"/>
      <c r="N216" s="7"/>
      <c r="O216" s="14"/>
      <c r="P216" s="14"/>
    </row>
    <row r="217">
      <c r="A217" s="7" t="s">
        <v>246</v>
      </c>
      <c r="B217" s="7" t="s">
        <v>77</v>
      </c>
      <c r="C217" s="8">
        <v>6999.0</v>
      </c>
      <c r="D217" s="8">
        <v>16990.0</v>
      </c>
      <c r="E217" s="9">
        <v>0.59</v>
      </c>
      <c r="F217" s="10">
        <v>3.8</v>
      </c>
      <c r="G217" s="10">
        <v>110.0</v>
      </c>
      <c r="I217" s="7"/>
      <c r="J217" s="7"/>
      <c r="K217" s="13" t="str">
        <f>IF(discount&gt;50%, product, "")</f>
        <v>Karbonn 80 cm (32 Inches) Millennium Series HD Ready LED TV KJW32NSHDF (Phantom Black) with Bezel-Less Design</v>
      </c>
      <c r="L217" s="7"/>
      <c r="M217" s="7"/>
      <c r="N217" s="7"/>
      <c r="O217" s="14"/>
      <c r="P217" s="14"/>
    </row>
    <row r="218">
      <c r="A218" s="7" t="s">
        <v>247</v>
      </c>
      <c r="B218" s="7" t="s">
        <v>37</v>
      </c>
      <c r="C218" s="8">
        <v>42999.0</v>
      </c>
      <c r="D218" s="8">
        <v>59999.0</v>
      </c>
      <c r="E218" s="9">
        <v>0.28</v>
      </c>
      <c r="F218" s="10">
        <v>4.1</v>
      </c>
      <c r="G218" s="11">
        <v>6753.0</v>
      </c>
      <c r="I218" s="7"/>
      <c r="J218" s="7"/>
      <c r="K218" s="13" t="str">
        <f>IF(discount&gt;50%, product, "")</f>
        <v/>
      </c>
      <c r="L218" s="7"/>
      <c r="M218" s="7"/>
      <c r="N218" s="7"/>
      <c r="O218" s="14"/>
      <c r="P218" s="14"/>
    </row>
    <row r="219">
      <c r="A219" s="7" t="s">
        <v>248</v>
      </c>
      <c r="B219" s="7" t="s">
        <v>31</v>
      </c>
      <c r="C219" s="8">
        <v>173.0</v>
      </c>
      <c r="D219" s="8">
        <v>999.0</v>
      </c>
      <c r="E219" s="9">
        <v>0.83</v>
      </c>
      <c r="F219" s="10">
        <v>4.3</v>
      </c>
      <c r="G219" s="11">
        <v>1237.0</v>
      </c>
      <c r="I219" s="7"/>
      <c r="J219" s="7"/>
      <c r="K219" s="13" t="str">
        <f>IF(discount&gt;50%, product, "")</f>
        <v>Posh 1.5 Meter High Speed Gold Plated HDMI Male to Female Extension Cable (Black)</v>
      </c>
      <c r="L219" s="7"/>
      <c r="M219" s="7"/>
      <c r="N219" s="7"/>
      <c r="O219" s="14"/>
      <c r="P219" s="14"/>
    </row>
    <row r="220">
      <c r="A220" s="7" t="s">
        <v>249</v>
      </c>
      <c r="B220" s="7" t="s">
        <v>250</v>
      </c>
      <c r="C220" s="8">
        <v>209.0</v>
      </c>
      <c r="D220" s="8">
        <v>600.0</v>
      </c>
      <c r="E220" s="9">
        <v>0.65</v>
      </c>
      <c r="F220" s="10">
        <v>4.4</v>
      </c>
      <c r="G220" s="11">
        <v>18872.0</v>
      </c>
      <c r="I220" s="7"/>
      <c r="J220" s="7"/>
      <c r="K220" s="13" t="str">
        <f>IF(discount&gt;50%, product, "")</f>
        <v>Amazon Basics HDMI Coupler,Black</v>
      </c>
      <c r="L220" s="7"/>
      <c r="M220" s="7"/>
      <c r="N220" s="7"/>
      <c r="O220" s="14"/>
      <c r="P220" s="14"/>
    </row>
    <row r="221">
      <c r="A221" s="7" t="s">
        <v>251</v>
      </c>
      <c r="B221" s="7" t="s">
        <v>15</v>
      </c>
      <c r="C221" s="8">
        <v>848.99</v>
      </c>
      <c r="D221" s="8">
        <v>1490.0</v>
      </c>
      <c r="E221" s="9">
        <v>0.43</v>
      </c>
      <c r="F221" s="10">
        <v>3.9</v>
      </c>
      <c r="G221" s="10">
        <v>356.0</v>
      </c>
      <c r="I221" s="7"/>
      <c r="J221" s="7"/>
      <c r="K221" s="13" t="str">
        <f>IF(discount&gt;50%, product, "")</f>
        <v/>
      </c>
      <c r="L221" s="7"/>
      <c r="M221" s="7"/>
      <c r="N221" s="7"/>
      <c r="O221" s="14"/>
      <c r="P221" s="14"/>
    </row>
    <row r="222">
      <c r="A222" s="7" t="s">
        <v>252</v>
      </c>
      <c r="B222" s="7" t="s">
        <v>15</v>
      </c>
      <c r="C222" s="8">
        <v>649.0</v>
      </c>
      <c r="D222" s="8">
        <v>1999.0</v>
      </c>
      <c r="E222" s="9">
        <v>0.68</v>
      </c>
      <c r="F222" s="10">
        <v>4.2</v>
      </c>
      <c r="G222" s="11">
        <v>24269.0</v>
      </c>
      <c r="I222" s="7"/>
      <c r="J222" s="7"/>
      <c r="K222" s="13" t="str">
        <f>IF(discount&gt;50%, product, "")</f>
        <v>Wayona Nylon Braided Usb Syncing And Charging Cable Sync And Charging Cable For Iphone, Ipad (3 Ft, Black) - Pack Of 2</v>
      </c>
      <c r="L222" s="7"/>
      <c r="M222" s="7"/>
      <c r="N222" s="7"/>
      <c r="O222" s="14"/>
      <c r="P222" s="14"/>
    </row>
    <row r="223">
      <c r="A223" s="7" t="s">
        <v>253</v>
      </c>
      <c r="B223" s="7" t="s">
        <v>71</v>
      </c>
      <c r="C223" s="8">
        <v>299.0</v>
      </c>
      <c r="D223" s="8">
        <v>899.0</v>
      </c>
      <c r="E223" s="9">
        <v>0.67</v>
      </c>
      <c r="F223" s="10">
        <v>3.8</v>
      </c>
      <c r="G223" s="10">
        <v>425.0</v>
      </c>
      <c r="I223" s="7"/>
      <c r="J223" s="7"/>
      <c r="K223" s="13" t="str">
        <f>IF(discount&gt;50%, product, "")</f>
        <v>Astigo Compatible Remote for Airtel Digital Set Top Box (Pairing Required with TV Remote)</v>
      </c>
      <c r="L223" s="7"/>
      <c r="M223" s="7"/>
      <c r="N223" s="7"/>
      <c r="O223" s="14"/>
      <c r="P223" s="14"/>
    </row>
    <row r="224">
      <c r="A224" s="7" t="s">
        <v>254</v>
      </c>
      <c r="B224" s="7" t="s">
        <v>93</v>
      </c>
      <c r="C224" s="8">
        <v>399.0</v>
      </c>
      <c r="D224" s="8">
        <v>799.0</v>
      </c>
      <c r="E224" s="9">
        <v>0.5</v>
      </c>
      <c r="F224" s="10">
        <v>4.1</v>
      </c>
      <c r="G224" s="11">
        <v>1161.0</v>
      </c>
      <c r="I224" s="7"/>
      <c r="J224" s="7"/>
      <c r="K224" s="13" t="str">
        <f>IF(discount&gt;50%, product, "")</f>
        <v/>
      </c>
      <c r="L224" s="7"/>
      <c r="M224" s="7"/>
      <c r="N224" s="7"/>
      <c r="O224" s="14"/>
      <c r="P224" s="14"/>
    </row>
    <row r="225">
      <c r="A225" s="7" t="s">
        <v>255</v>
      </c>
      <c r="B225" s="7" t="s">
        <v>15</v>
      </c>
      <c r="C225" s="8">
        <v>249.0</v>
      </c>
      <c r="D225" s="8">
        <v>499.0</v>
      </c>
      <c r="E225" s="9">
        <v>0.5</v>
      </c>
      <c r="F225" s="10">
        <v>4.1</v>
      </c>
      <c r="G225" s="11">
        <v>1508.0</v>
      </c>
      <c r="I225" s="7"/>
      <c r="J225" s="7"/>
      <c r="K225" s="13" t="str">
        <f>IF(discount&gt;50%, product, "")</f>
        <v/>
      </c>
      <c r="L225" s="7"/>
      <c r="M225" s="7"/>
      <c r="N225" s="7"/>
      <c r="O225" s="14"/>
      <c r="P225" s="14"/>
    </row>
    <row r="226">
      <c r="A226" s="7" t="s">
        <v>256</v>
      </c>
      <c r="B226" s="7" t="s">
        <v>257</v>
      </c>
      <c r="C226" s="8">
        <v>1249.0</v>
      </c>
      <c r="D226" s="8">
        <v>2299.0</v>
      </c>
      <c r="E226" s="9">
        <v>0.46</v>
      </c>
      <c r="F226" s="10">
        <v>4.3</v>
      </c>
      <c r="G226" s="11">
        <v>7636.0</v>
      </c>
      <c r="I226" s="7"/>
      <c r="J226" s="7"/>
      <c r="K226" s="13" t="str">
        <f>IF(discount&gt;50%, product, "")</f>
        <v/>
      </c>
      <c r="L226" s="7"/>
      <c r="M226" s="7"/>
      <c r="N226" s="7"/>
      <c r="O226" s="14"/>
      <c r="P226" s="14"/>
    </row>
    <row r="227">
      <c r="A227" s="7" t="s">
        <v>258</v>
      </c>
      <c r="B227" s="7" t="s">
        <v>71</v>
      </c>
      <c r="C227" s="8">
        <v>213.0</v>
      </c>
      <c r="D227" s="8">
        <v>499.0</v>
      </c>
      <c r="E227" s="9">
        <v>0.57</v>
      </c>
      <c r="F227" s="10">
        <v>3.7</v>
      </c>
      <c r="G227" s="10">
        <v>246.0</v>
      </c>
      <c r="I227" s="7"/>
      <c r="J227" s="7"/>
      <c r="K227" s="13" t="str">
        <f>IF(discount&gt;50%, product, "")</f>
        <v>Remote Compatible for Samsung LED/LCD Remote Control Works with Samsung LED/LCD TV by Trend Trail</v>
      </c>
      <c r="L227" s="7"/>
      <c r="M227" s="7"/>
      <c r="N227" s="7"/>
      <c r="O227" s="14"/>
      <c r="P227" s="14"/>
    </row>
    <row r="228">
      <c r="A228" s="7" t="s">
        <v>259</v>
      </c>
      <c r="B228" s="7" t="s">
        <v>71</v>
      </c>
      <c r="C228" s="8">
        <v>209.0</v>
      </c>
      <c r="D228" s="8">
        <v>499.0</v>
      </c>
      <c r="E228" s="9">
        <v>0.58</v>
      </c>
      <c r="F228" s="10">
        <v>4.0</v>
      </c>
      <c r="G228" s="10">
        <v>479.0</v>
      </c>
      <c r="I228" s="7"/>
      <c r="J228" s="7"/>
      <c r="K228" s="13" t="str">
        <f>IF(discount&gt;50%, product, "")</f>
        <v>SoniVision SA-D10 SA-D100 SA-D40 Home Theater Systems Remote Compatible with Sony RM-ANU156</v>
      </c>
      <c r="L228" s="7"/>
      <c r="M228" s="7"/>
      <c r="N228" s="7"/>
      <c r="O228" s="14"/>
      <c r="P228" s="14"/>
    </row>
    <row r="229">
      <c r="A229" s="7" t="s">
        <v>260</v>
      </c>
      <c r="B229" s="7" t="s">
        <v>31</v>
      </c>
      <c r="C229" s="8">
        <v>598.0</v>
      </c>
      <c r="D229" s="8">
        <v>4999.0</v>
      </c>
      <c r="E229" s="9">
        <v>0.88</v>
      </c>
      <c r="F229" s="10">
        <v>4.2</v>
      </c>
      <c r="G229" s="10">
        <v>910.0</v>
      </c>
      <c r="I229" s="7"/>
      <c r="J229" s="7"/>
      <c r="K229" s="13" t="str">
        <f>IF(discount&gt;50%, product, "")</f>
        <v>Rts™ High Speed 3D Full HD 1080p Support (10 Meters) HDMI Male to HDMI Male Cable TV Lead 1.4V for All Hdmi Devices- Black (10M - 30 FEET)</v>
      </c>
      <c r="L229" s="7"/>
      <c r="M229" s="7"/>
      <c r="N229" s="7"/>
      <c r="O229" s="14"/>
      <c r="P229" s="14"/>
    </row>
    <row r="230">
      <c r="A230" s="7" t="s">
        <v>261</v>
      </c>
      <c r="B230" s="7" t="s">
        <v>15</v>
      </c>
      <c r="C230" s="8">
        <v>799.0</v>
      </c>
      <c r="D230" s="8">
        <v>1749.0</v>
      </c>
      <c r="E230" s="9">
        <v>0.54</v>
      </c>
      <c r="F230" s="10">
        <v>4.1</v>
      </c>
      <c r="G230" s="11">
        <v>5626.0</v>
      </c>
      <c r="I230" s="7"/>
      <c r="J230" s="7"/>
      <c r="K230" s="13" t="str">
        <f>IF(discount&gt;50%, product, "")</f>
        <v>boAt LTG 500 Apple MFI Certified for iPhone, iPad and iPod 2Mtr Data Cable(Metallic Silver)</v>
      </c>
      <c r="L230" s="7"/>
      <c r="M230" s="7"/>
      <c r="N230" s="7"/>
      <c r="O230" s="14"/>
      <c r="P230" s="14"/>
    </row>
    <row r="231">
      <c r="A231" s="7" t="s">
        <v>262</v>
      </c>
      <c r="B231" s="7" t="s">
        <v>15</v>
      </c>
      <c r="C231" s="8">
        <v>159.0</v>
      </c>
      <c r="D231" s="8">
        <v>595.0</v>
      </c>
      <c r="E231" s="9">
        <v>0.73</v>
      </c>
      <c r="F231" s="10">
        <v>4.3</v>
      </c>
      <c r="G231" s="11">
        <v>14184.0</v>
      </c>
      <c r="I231" s="7"/>
      <c r="J231" s="7"/>
      <c r="K231" s="13" t="str">
        <f>IF(discount&gt;50%, product, "")</f>
        <v>Agaro Blaze USBA to micro +Type C 2in1 Braided 1.2M Cable</v>
      </c>
      <c r="L231" s="7"/>
      <c r="M231" s="7"/>
      <c r="N231" s="7"/>
      <c r="O231" s="14"/>
      <c r="P231" s="14"/>
    </row>
    <row r="232">
      <c r="A232" s="7" t="s">
        <v>263</v>
      </c>
      <c r="B232" s="7" t="s">
        <v>264</v>
      </c>
      <c r="C232" s="8">
        <v>499.0</v>
      </c>
      <c r="D232" s="8">
        <v>1100.0</v>
      </c>
      <c r="E232" s="9">
        <v>0.55</v>
      </c>
      <c r="F232" s="10">
        <v>4.4</v>
      </c>
      <c r="G232" s="11">
        <v>25177.0</v>
      </c>
      <c r="I232" s="7"/>
      <c r="J232" s="7"/>
      <c r="K232" s="13" t="str">
        <f>IF(discount&gt;50%, product, "")</f>
        <v>AmazonBasics 6 Feet DisplayPort to DisplayPort Cable - (Not HDMI Cable) (Gold)</v>
      </c>
      <c r="L232" s="7"/>
      <c r="M232" s="7"/>
      <c r="N232" s="7"/>
      <c r="O232" s="14"/>
      <c r="P232" s="14"/>
    </row>
    <row r="233">
      <c r="A233" s="7" t="s">
        <v>265</v>
      </c>
      <c r="B233" s="7" t="s">
        <v>37</v>
      </c>
      <c r="C233" s="8">
        <v>31999.0</v>
      </c>
      <c r="D233" s="8">
        <v>49999.0</v>
      </c>
      <c r="E233" s="9">
        <v>0.36</v>
      </c>
      <c r="F233" s="10">
        <v>4.3</v>
      </c>
      <c r="G233" s="11">
        <v>21252.0</v>
      </c>
      <c r="I233" s="7"/>
      <c r="J233" s="7"/>
      <c r="K233" s="13" t="str">
        <f>IF(discount&gt;50%, product, "")</f>
        <v/>
      </c>
      <c r="L233" s="7"/>
      <c r="M233" s="7"/>
      <c r="N233" s="7"/>
      <c r="O233" s="14"/>
      <c r="P233" s="14"/>
    </row>
    <row r="234">
      <c r="A234" s="7" t="s">
        <v>266</v>
      </c>
      <c r="B234" s="7" t="s">
        <v>37</v>
      </c>
      <c r="C234" s="8">
        <v>32990.0</v>
      </c>
      <c r="D234" s="8">
        <v>56790.0</v>
      </c>
      <c r="E234" s="9">
        <v>0.42</v>
      </c>
      <c r="F234" s="10">
        <v>4.3</v>
      </c>
      <c r="G234" s="10">
        <v>567.0</v>
      </c>
      <c r="I234" s="7"/>
      <c r="J234" s="7"/>
      <c r="K234" s="13" t="str">
        <f>IF(discount&gt;50%, product, "")</f>
        <v/>
      </c>
      <c r="L234" s="7"/>
      <c r="M234" s="7"/>
      <c r="N234" s="7"/>
      <c r="O234" s="14"/>
      <c r="P234" s="14"/>
    </row>
    <row r="235">
      <c r="A235" s="7" t="s">
        <v>267</v>
      </c>
      <c r="B235" s="7" t="s">
        <v>71</v>
      </c>
      <c r="C235" s="8">
        <v>299.0</v>
      </c>
      <c r="D235" s="8">
        <v>1199.0</v>
      </c>
      <c r="E235" s="9">
        <v>0.75</v>
      </c>
      <c r="F235" s="10">
        <v>3.5</v>
      </c>
      <c r="G235" s="10">
        <v>466.0</v>
      </c>
      <c r="I235" s="7"/>
      <c r="J235" s="7"/>
      <c r="K235" s="13" t="str">
        <f>IF(discount&gt;50%, product, "")</f>
        <v>LOHAYA LCD/LED Remote Compatible for Sony Bravia Smart LCD LED UHD OLED QLED 4K Ultra HD TV Remote Control with YouTube &amp; Netflix Function [ Compatible for Sony Tv Remote Control ]</v>
      </c>
      <c r="L235" s="7"/>
      <c r="M235" s="7"/>
      <c r="N235" s="7"/>
      <c r="O235" s="14"/>
      <c r="P235" s="14"/>
    </row>
    <row r="236">
      <c r="A236" s="7" t="s">
        <v>268</v>
      </c>
      <c r="B236" s="7" t="s">
        <v>15</v>
      </c>
      <c r="C236" s="8">
        <v>128.31</v>
      </c>
      <c r="D236" s="8">
        <v>549.0</v>
      </c>
      <c r="E236" s="9">
        <v>0.77</v>
      </c>
      <c r="F236" s="10">
        <v>3.9</v>
      </c>
      <c r="G236" s="10">
        <v>61.0</v>
      </c>
      <c r="I236" s="7"/>
      <c r="J236" s="7"/>
      <c r="K236" s="13" t="str">
        <f>IF(discount&gt;50%, product, "")</f>
        <v>Zebronics CU3100V Fast charging Type C cable with QC 18W support, 3A max capacity, 1 meter braided cable, Data transfer and Superior durability (Braided Black )</v>
      </c>
      <c r="L236" s="7"/>
      <c r="M236" s="7"/>
      <c r="N236" s="7"/>
      <c r="O236" s="14"/>
      <c r="P236" s="14"/>
    </row>
    <row r="237">
      <c r="A237" s="7" t="s">
        <v>269</v>
      </c>
      <c r="B237" s="7" t="s">
        <v>15</v>
      </c>
      <c r="C237" s="8">
        <v>599.0</v>
      </c>
      <c r="D237" s="8">
        <v>849.0</v>
      </c>
      <c r="E237" s="9">
        <v>0.29</v>
      </c>
      <c r="F237" s="10">
        <v>4.5</v>
      </c>
      <c r="G237" s="10">
        <v>474.0</v>
      </c>
      <c r="I237" s="7"/>
      <c r="J237" s="7"/>
      <c r="K237" s="13" t="str">
        <f>IF(discount&gt;50%, product, "")</f>
        <v/>
      </c>
      <c r="L237" s="7"/>
      <c r="M237" s="7"/>
      <c r="N237" s="7"/>
      <c r="O237" s="14"/>
      <c r="P237" s="14"/>
    </row>
    <row r="238">
      <c r="A238" s="7" t="s">
        <v>270</v>
      </c>
      <c r="B238" s="7" t="s">
        <v>71</v>
      </c>
      <c r="C238" s="8">
        <v>399.0</v>
      </c>
      <c r="D238" s="8">
        <v>899.0</v>
      </c>
      <c r="E238" s="9">
        <v>0.56</v>
      </c>
      <c r="F238" s="10">
        <v>3.4</v>
      </c>
      <c r="G238" s="10">
        <v>431.0</v>
      </c>
      <c r="I238" s="7"/>
      <c r="J238" s="7"/>
      <c r="K238" s="13" t="str">
        <f>IF(discount&gt;50%, product, "")</f>
        <v>7SEVEN® TCL Remote Control Smart TV RC802V Remote Compatible for TCL TV Remote Original 55EP680 40A325 49S6500 55P8S 55P8 50P8 65P8 40S6500 43S6500FS 49S6800FS 49S6800 49S6510FS(Without Voice Function/Google Assistant and Non-Bluetooth remote)</v>
      </c>
      <c r="L238" s="7"/>
      <c r="M238" s="7"/>
      <c r="N238" s="7"/>
      <c r="O238" s="14"/>
      <c r="P238" s="14"/>
    </row>
    <row r="239">
      <c r="A239" s="7" t="s">
        <v>271</v>
      </c>
      <c r="B239" s="7" t="s">
        <v>15</v>
      </c>
      <c r="C239" s="8">
        <v>449.0</v>
      </c>
      <c r="D239" s="8">
        <v>1099.0</v>
      </c>
      <c r="E239" s="9">
        <v>0.59</v>
      </c>
      <c r="F239" s="10">
        <v>4.0</v>
      </c>
      <c r="G239" s="10">
        <v>242.0</v>
      </c>
      <c r="I239" s="7"/>
      <c r="J239" s="7"/>
      <c r="K239" s="13" t="str">
        <f>IF(discount&gt;50%, product, "")</f>
        <v>Wayona 3in1 Nylon Braided 66W USB Fast Charging Cable with Type C, Lightening and Micro USB Port, Compatible with iPhone, iPad, Samsung Galaxy, OnePlus, Mi, Oppo, Vivo, iQOO, Xiaomi (1M, Black)</v>
      </c>
      <c r="L239" s="7"/>
      <c r="M239" s="7"/>
      <c r="N239" s="7"/>
      <c r="O239" s="14"/>
      <c r="P239" s="14"/>
    </row>
    <row r="240">
      <c r="A240" s="7" t="s">
        <v>272</v>
      </c>
      <c r="B240" s="7" t="s">
        <v>15</v>
      </c>
      <c r="C240" s="8">
        <v>254.0</v>
      </c>
      <c r="D240" s="8">
        <v>799.0</v>
      </c>
      <c r="E240" s="9">
        <v>0.68</v>
      </c>
      <c r="F240" s="10">
        <v>4.0</v>
      </c>
      <c r="G240" s="11">
        <v>2905.0</v>
      </c>
      <c r="I240" s="7"/>
      <c r="J240" s="7"/>
      <c r="K240" s="13" t="str">
        <f>IF(discount&gt;50%, product, "")</f>
        <v>Hi-Mobiler iPhone Charger Lightning Cable,2 Pack Apple MFi Certified USB iPhone Fast Chargering Cord,Data Sync Transfer for 13/12/11 Pro Max Xs X XR 8 7 6 5 5s iPad iPod More Model Cell Phone Cables</v>
      </c>
      <c r="L240" s="7"/>
      <c r="M240" s="7"/>
      <c r="N240" s="7"/>
      <c r="O240" s="14"/>
      <c r="P240" s="14"/>
    </row>
    <row r="241">
      <c r="A241" s="7" t="s">
        <v>273</v>
      </c>
      <c r="B241" s="7" t="s">
        <v>274</v>
      </c>
      <c r="C241" s="8">
        <v>399.0</v>
      </c>
      <c r="D241" s="8">
        <v>795.0</v>
      </c>
      <c r="E241" s="9">
        <v>0.5</v>
      </c>
      <c r="F241" s="10">
        <v>4.4</v>
      </c>
      <c r="G241" s="11">
        <v>12091.0</v>
      </c>
      <c r="I241" s="7"/>
      <c r="J241" s="7"/>
      <c r="K241" s="13" t="str">
        <f>IF(discount&gt;50%, product, "")</f>
        <v/>
      </c>
      <c r="L241" s="7"/>
      <c r="M241" s="7"/>
      <c r="N241" s="7"/>
      <c r="O241" s="14"/>
      <c r="P241" s="14"/>
    </row>
    <row r="242">
      <c r="A242" s="7" t="s">
        <v>275</v>
      </c>
      <c r="B242" s="7" t="s">
        <v>15</v>
      </c>
      <c r="C242" s="8">
        <v>179.0</v>
      </c>
      <c r="D242" s="8">
        <v>399.0</v>
      </c>
      <c r="E242" s="9">
        <v>0.55</v>
      </c>
      <c r="F242" s="10">
        <v>4.0</v>
      </c>
      <c r="G242" s="11">
        <v>1423.0</v>
      </c>
      <c r="I242" s="7"/>
      <c r="J242" s="7"/>
      <c r="K242" s="13" t="str">
        <f>IF(discount&gt;50%, product, "")</f>
        <v>Ambrane 60W / 3A Fast Charging Output Cable with Type-C to USB for Mobile, Neckband, True Wireless Earphone Charging, 480mbps Data Sync Speed, 1m Length (ACT - AZ10, White)</v>
      </c>
      <c r="L242" s="7"/>
      <c r="M242" s="7"/>
      <c r="N242" s="7"/>
      <c r="O242" s="14"/>
      <c r="P242" s="14"/>
    </row>
    <row r="243">
      <c r="A243" s="7" t="s">
        <v>276</v>
      </c>
      <c r="B243" s="7" t="s">
        <v>15</v>
      </c>
      <c r="C243" s="8">
        <v>339.0</v>
      </c>
      <c r="D243" s="8">
        <v>999.0</v>
      </c>
      <c r="E243" s="9">
        <v>0.66</v>
      </c>
      <c r="F243" s="10">
        <v>4.3</v>
      </c>
      <c r="G243" s="11">
        <v>6255.0</v>
      </c>
      <c r="I243" s="7"/>
      <c r="J243" s="7"/>
      <c r="K243" s="13" t="str">
        <f>IF(discount&gt;50%, product, "")</f>
        <v>Wayona Usb Type C To Usb Nylon Braided Quick Charger Fast Charging Short Cable For Smartphone (Samsung Galaxy S21/S20/S10/S9/S9+/Note 9/S8/Note 8, Lg G7 G5 G6, Moto G6 G7) (0.25M,Grey)</v>
      </c>
      <c r="L243" s="7"/>
      <c r="M243" s="7"/>
      <c r="N243" s="7"/>
      <c r="O243" s="14"/>
      <c r="P243" s="14"/>
    </row>
    <row r="244">
      <c r="A244" s="7" t="s">
        <v>277</v>
      </c>
      <c r="B244" s="7" t="s">
        <v>93</v>
      </c>
      <c r="C244" s="8">
        <v>399.0</v>
      </c>
      <c r="D244" s="8">
        <v>999.0</v>
      </c>
      <c r="E244" s="9">
        <v>0.6</v>
      </c>
      <c r="F244" s="10">
        <v>4.0</v>
      </c>
      <c r="G244" s="11">
        <v>1236.0</v>
      </c>
      <c r="I244" s="7"/>
      <c r="J244" s="7"/>
      <c r="K244" s="13" t="str">
        <f>IF(discount&gt;50%, product, "")</f>
        <v>Caprigo Heavy Duty TV Wall Mount Bracket for 14 to 32 Inch LED/HD/Smart TV’s, Universal Fixed TV Wall Mount Stand (M452)</v>
      </c>
      <c r="L244" s="7"/>
      <c r="M244" s="7"/>
      <c r="N244" s="7"/>
      <c r="O244" s="14"/>
      <c r="P244" s="14"/>
    </row>
    <row r="245">
      <c r="A245" s="7" t="s">
        <v>278</v>
      </c>
      <c r="B245" s="7" t="s">
        <v>71</v>
      </c>
      <c r="C245" s="8">
        <v>199.0</v>
      </c>
      <c r="D245" s="8">
        <v>399.0</v>
      </c>
      <c r="E245" s="9">
        <v>0.5</v>
      </c>
      <c r="F245" s="10">
        <v>4.2</v>
      </c>
      <c r="G245" s="11">
        <v>1335.0</v>
      </c>
      <c r="I245" s="7"/>
      <c r="J245" s="7"/>
      <c r="K245" s="13" t="str">
        <f>IF(discount&gt;50%, product, "")</f>
        <v/>
      </c>
      <c r="L245" s="7"/>
      <c r="M245" s="7"/>
      <c r="N245" s="7"/>
      <c r="O245" s="14"/>
      <c r="P245" s="14"/>
    </row>
    <row r="246">
      <c r="A246" s="7" t="s">
        <v>279</v>
      </c>
      <c r="B246" s="7" t="s">
        <v>71</v>
      </c>
      <c r="C246" s="8">
        <v>349.0</v>
      </c>
      <c r="D246" s="8">
        <v>1999.0</v>
      </c>
      <c r="E246" s="9">
        <v>0.83</v>
      </c>
      <c r="F246" s="10">
        <v>3.8</v>
      </c>
      <c r="G246" s="10">
        <v>197.0</v>
      </c>
      <c r="I246" s="7"/>
      <c r="J246" s="7"/>
      <c r="K246" s="13" t="str">
        <f>IF(discount&gt;50%, product, "")</f>
        <v>Electvision Remote Control for led Smart tv Compatible with VU Smart Led (Without Voice)</v>
      </c>
      <c r="L246" s="7"/>
      <c r="M246" s="7"/>
      <c r="N246" s="7"/>
      <c r="O246" s="14"/>
      <c r="P246" s="14"/>
    </row>
    <row r="247">
      <c r="A247" s="7" t="s">
        <v>280</v>
      </c>
      <c r="B247" s="7" t="s">
        <v>15</v>
      </c>
      <c r="C247" s="8">
        <v>299.0</v>
      </c>
      <c r="D247" s="8">
        <v>798.0</v>
      </c>
      <c r="E247" s="9">
        <v>0.63</v>
      </c>
      <c r="F247" s="10">
        <v>4.4</v>
      </c>
      <c r="G247" s="11">
        <v>28791.0</v>
      </c>
      <c r="I247" s="7"/>
      <c r="J247" s="7"/>
      <c r="K247" s="13" t="str">
        <f>IF(discount&gt;50%, product, "")</f>
        <v>Boat A 350 Type C Cable 1.5m(Jet Black)</v>
      </c>
      <c r="L247" s="7"/>
      <c r="M247" s="7"/>
      <c r="N247" s="7"/>
      <c r="O247" s="14"/>
      <c r="P247" s="14"/>
    </row>
    <row r="248">
      <c r="A248" s="7" t="s">
        <v>281</v>
      </c>
      <c r="B248" s="7" t="s">
        <v>15</v>
      </c>
      <c r="C248" s="8">
        <v>89.0</v>
      </c>
      <c r="D248" s="8">
        <v>800.0</v>
      </c>
      <c r="E248" s="9">
        <v>0.89</v>
      </c>
      <c r="F248" s="10">
        <v>3.9</v>
      </c>
      <c r="G248" s="11">
        <v>1075.0</v>
      </c>
      <c r="I248" s="7"/>
      <c r="J248" s="7"/>
      <c r="K248" s="13" t="str">
        <f>IF(discount&gt;50%, product, "")</f>
        <v>pTron Solero M241 2.4A Micro USB Data &amp; Charging Cable, Made in India, 480Mbps Data Sync, Durable 1-Meter Long USB Cable for Micro USB Devices (White)</v>
      </c>
      <c r="L248" s="7"/>
      <c r="M248" s="7"/>
      <c r="N248" s="7"/>
      <c r="O248" s="14"/>
      <c r="P248" s="14"/>
    </row>
    <row r="249">
      <c r="A249" s="7" t="s">
        <v>282</v>
      </c>
      <c r="B249" s="7" t="s">
        <v>15</v>
      </c>
      <c r="C249" s="8">
        <v>549.0</v>
      </c>
      <c r="D249" s="8">
        <v>995.0</v>
      </c>
      <c r="E249" s="9">
        <v>0.45</v>
      </c>
      <c r="F249" s="10">
        <v>4.2</v>
      </c>
      <c r="G249" s="11">
        <v>29746.0</v>
      </c>
      <c r="I249" s="7"/>
      <c r="J249" s="7"/>
      <c r="K249" s="13" t="str">
        <f>IF(discount&gt;50%, product, "")</f>
        <v/>
      </c>
      <c r="L249" s="7"/>
      <c r="M249" s="7"/>
      <c r="N249" s="7"/>
      <c r="O249" s="14"/>
      <c r="P249" s="14"/>
    </row>
    <row r="250">
      <c r="A250" s="7" t="s">
        <v>283</v>
      </c>
      <c r="B250" s="7" t="s">
        <v>15</v>
      </c>
      <c r="C250" s="8">
        <v>129.0</v>
      </c>
      <c r="D250" s="8">
        <v>1000.0</v>
      </c>
      <c r="E250" s="9">
        <v>0.87</v>
      </c>
      <c r="F250" s="10">
        <v>3.9</v>
      </c>
      <c r="G250" s="10">
        <v>295.0</v>
      </c>
      <c r="I250" s="7"/>
      <c r="J250" s="7"/>
      <c r="K250" s="13" t="str">
        <f>IF(discount&gt;50%, product, "")</f>
        <v>Croma 3A Fast charge 1m Type-C to All Type-C Phones sync and charge cable, Made in India, 480Mbps Data transfer rate, Tested Durability with 8000+ bends (12 months warranty) - CRCMA0106sTC10, Black</v>
      </c>
      <c r="L250" s="7"/>
      <c r="M250" s="7"/>
      <c r="N250" s="7"/>
      <c r="O250" s="14"/>
      <c r="P250" s="14"/>
    </row>
    <row r="251">
      <c r="A251" s="7" t="s">
        <v>284</v>
      </c>
      <c r="B251" s="7" t="s">
        <v>37</v>
      </c>
      <c r="C251" s="8">
        <v>77990.0</v>
      </c>
      <c r="D251" s="8" t="s">
        <v>285</v>
      </c>
      <c r="E251" s="9">
        <v>0.44</v>
      </c>
      <c r="F251" s="10">
        <v>4.7</v>
      </c>
      <c r="G251" s="11">
        <v>5935.0</v>
      </c>
      <c r="I251" s="7"/>
      <c r="J251" s="7"/>
      <c r="K251" s="13" t="str">
        <f>IF(discount&gt;50%, product, "")</f>
        <v/>
      </c>
      <c r="L251" s="7"/>
      <c r="M251" s="7"/>
      <c r="N251" s="7"/>
      <c r="O251" s="14"/>
      <c r="P251" s="14"/>
    </row>
    <row r="252">
      <c r="A252" s="7" t="s">
        <v>286</v>
      </c>
      <c r="B252" s="7" t="s">
        <v>71</v>
      </c>
      <c r="C252" s="8">
        <v>349.0</v>
      </c>
      <c r="D252" s="8">
        <v>799.0</v>
      </c>
      <c r="E252" s="9">
        <v>0.56</v>
      </c>
      <c r="F252" s="10">
        <v>3.6</v>
      </c>
      <c r="G252" s="10">
        <v>323.0</v>
      </c>
      <c r="I252" s="7"/>
      <c r="J252" s="7"/>
      <c r="K252" s="13" t="str">
        <f>IF(discount&gt;50%, product, "")</f>
        <v>7SEVEN® Compatible for Mi tv Remote Control Original Suitable with Smart Android 4K LED Non Voice Command Xiaomi Redmi Remote of 4A Model 32 43 55 65 inches</v>
      </c>
      <c r="L252" s="7"/>
      <c r="M252" s="7"/>
      <c r="N252" s="7"/>
      <c r="O252" s="14"/>
      <c r="P252" s="14"/>
    </row>
    <row r="253">
      <c r="A253" s="7" t="s">
        <v>287</v>
      </c>
      <c r="B253" s="7" t="s">
        <v>71</v>
      </c>
      <c r="C253" s="8">
        <v>499.0</v>
      </c>
      <c r="D253" s="8">
        <v>899.0</v>
      </c>
      <c r="E253" s="9">
        <v>0.44</v>
      </c>
      <c r="F253" s="10">
        <v>3.7</v>
      </c>
      <c r="G253" s="10">
        <v>185.0</v>
      </c>
      <c r="I253" s="7"/>
      <c r="J253" s="7"/>
      <c r="K253" s="13" t="str">
        <f>IF(discount&gt;50%, product, "")</f>
        <v/>
      </c>
      <c r="L253" s="7"/>
      <c r="M253" s="7"/>
      <c r="N253" s="7"/>
      <c r="O253" s="14"/>
      <c r="P253" s="14"/>
    </row>
    <row r="254">
      <c r="A254" s="7" t="s">
        <v>288</v>
      </c>
      <c r="B254" s="7" t="s">
        <v>15</v>
      </c>
      <c r="C254" s="8">
        <v>299.0</v>
      </c>
      <c r="D254" s="8">
        <v>799.0</v>
      </c>
      <c r="E254" s="9">
        <v>0.63</v>
      </c>
      <c r="F254" s="10">
        <v>4.2</v>
      </c>
      <c r="G254" s="11">
        <v>2117.0</v>
      </c>
      <c r="I254" s="7"/>
      <c r="J254" s="7"/>
      <c r="K254" s="13" t="str">
        <f>IF(discount&gt;50%, product, "")</f>
        <v>Storite High Speed Micro USB 3.0 Cable A to Micro B for External &amp; Desktop Hard Drives 45cm</v>
      </c>
      <c r="L254" s="7"/>
      <c r="M254" s="7"/>
      <c r="N254" s="7"/>
      <c r="O254" s="14"/>
      <c r="P254" s="14"/>
    </row>
    <row r="255">
      <c r="A255" s="7" t="s">
        <v>289</v>
      </c>
      <c r="B255" s="7" t="s">
        <v>15</v>
      </c>
      <c r="C255" s="8">
        <v>182.0</v>
      </c>
      <c r="D255" s="8">
        <v>599.0</v>
      </c>
      <c r="E255" s="9">
        <v>0.7</v>
      </c>
      <c r="F255" s="10">
        <v>4.0</v>
      </c>
      <c r="G255" s="11">
        <v>9378.0</v>
      </c>
      <c r="I255" s="7"/>
      <c r="J255" s="7"/>
      <c r="K255" s="13" t="str">
        <f>IF(discount&gt;50%, product, "")</f>
        <v>FLiX (Beetel) 3in1 (Type C|Micro|Iphone Lightening) Textured Pattern 3A Fast Charging Cable with QC &amp; PD Support for Type C,Micro USB &amp; Lightning Iphone Cable,Made in India,1.5 Meter Long Cable(T101)</v>
      </c>
      <c r="L255" s="7"/>
      <c r="M255" s="7"/>
      <c r="N255" s="7"/>
      <c r="O255" s="14"/>
      <c r="P255" s="14"/>
    </row>
    <row r="256">
      <c r="A256" s="7" t="s">
        <v>290</v>
      </c>
      <c r="B256" s="7" t="s">
        <v>93</v>
      </c>
      <c r="C256" s="8">
        <v>96.0</v>
      </c>
      <c r="D256" s="8">
        <v>399.0</v>
      </c>
      <c r="E256" s="9">
        <v>0.76</v>
      </c>
      <c r="F256" s="10">
        <v>3.6</v>
      </c>
      <c r="G256" s="11">
        <v>1796.0</v>
      </c>
      <c r="I256" s="7"/>
      <c r="J256" s="7"/>
      <c r="K256" s="13" t="str">
        <f>IF(discount&gt;50%, product, "")</f>
        <v>SVM Products Unbreakable Set Top Box Stand with Dual Remote Holder (Black)</v>
      </c>
      <c r="L256" s="7"/>
      <c r="M256" s="7"/>
      <c r="N256" s="7"/>
      <c r="O256" s="14"/>
      <c r="P256" s="14"/>
    </row>
    <row r="257">
      <c r="A257" s="7" t="s">
        <v>291</v>
      </c>
      <c r="B257" s="7" t="s">
        <v>37</v>
      </c>
      <c r="C257" s="8">
        <v>54990.0</v>
      </c>
      <c r="D257" s="8">
        <v>85000.0</v>
      </c>
      <c r="E257" s="9">
        <v>0.35</v>
      </c>
      <c r="F257" s="10">
        <v>4.3</v>
      </c>
      <c r="G257" s="11">
        <v>3587.0</v>
      </c>
      <c r="I257" s="7"/>
      <c r="J257" s="7"/>
      <c r="K257" s="13" t="str">
        <f>IF(discount&gt;50%, product, "")</f>
        <v/>
      </c>
      <c r="L257" s="7"/>
      <c r="M257" s="7"/>
      <c r="N257" s="7"/>
      <c r="O257" s="14"/>
      <c r="P257" s="14"/>
    </row>
    <row r="258">
      <c r="A258" s="7" t="s">
        <v>292</v>
      </c>
      <c r="B258" s="7" t="s">
        <v>155</v>
      </c>
      <c r="C258" s="8">
        <v>439.0</v>
      </c>
      <c r="D258" s="8">
        <v>758.0</v>
      </c>
      <c r="E258" s="9">
        <v>0.42</v>
      </c>
      <c r="F258" s="10">
        <v>4.2</v>
      </c>
      <c r="G258" s="11">
        <v>4296.0</v>
      </c>
      <c r="I258" s="7"/>
      <c r="J258" s="7"/>
      <c r="K258" s="13" t="str">
        <f>IF(discount&gt;50%, product, "")</f>
        <v/>
      </c>
      <c r="L258" s="7"/>
      <c r="M258" s="7"/>
      <c r="N258" s="7"/>
      <c r="O258" s="14"/>
      <c r="P258" s="14"/>
    </row>
    <row r="259">
      <c r="A259" s="7" t="s">
        <v>293</v>
      </c>
      <c r="B259" s="7" t="s">
        <v>15</v>
      </c>
      <c r="C259" s="8">
        <v>299.0</v>
      </c>
      <c r="D259" s="8">
        <v>999.0</v>
      </c>
      <c r="E259" s="9">
        <v>0.7</v>
      </c>
      <c r="F259" s="10">
        <v>4.3</v>
      </c>
      <c r="G259" s="11">
        <v>2651.0</v>
      </c>
      <c r="I259" s="7"/>
      <c r="J259" s="7"/>
      <c r="K259" s="13" t="str">
        <f>IF(discount&gt;50%, product, "")</f>
        <v>Wayona USB Type C Fast Charging Cable Charger Cord 3A QC 3.0 Data Cable Compatible with Samsung Galaxy S10e S10 S9 S8 S20 Plus, Note 10 9 8, M51 A40 A50 A70, Moto G7 G8 (1M, Grey)</v>
      </c>
      <c r="L259" s="7"/>
      <c r="M259" s="7"/>
      <c r="N259" s="7"/>
      <c r="O259" s="14"/>
      <c r="P259" s="14"/>
    </row>
    <row r="260">
      <c r="A260" s="7" t="s">
        <v>294</v>
      </c>
      <c r="B260" s="7" t="s">
        <v>15</v>
      </c>
      <c r="C260" s="8">
        <v>299.0</v>
      </c>
      <c r="D260" s="8">
        <v>799.0</v>
      </c>
      <c r="E260" s="9">
        <v>0.63</v>
      </c>
      <c r="F260" s="10">
        <v>4.2</v>
      </c>
      <c r="G260" s="11">
        <v>94363.0</v>
      </c>
      <c r="I260" s="7"/>
      <c r="J260" s="7"/>
      <c r="K260" s="13" t="str">
        <f>IF(discount&gt;50%, product, "")</f>
        <v>boAt Rugged V3 Braided Micro USB Cable (Pearl White)</v>
      </c>
      <c r="L260" s="7"/>
      <c r="M260" s="7"/>
      <c r="N260" s="7"/>
      <c r="O260" s="14"/>
      <c r="P260" s="14"/>
    </row>
    <row r="261">
      <c r="A261" s="7" t="s">
        <v>295</v>
      </c>
      <c r="B261" s="7" t="s">
        <v>15</v>
      </c>
      <c r="C261" s="8">
        <v>789.0</v>
      </c>
      <c r="D261" s="8">
        <v>1999.0</v>
      </c>
      <c r="E261" s="9">
        <v>0.61</v>
      </c>
      <c r="F261" s="10">
        <v>4.2</v>
      </c>
      <c r="G261" s="11">
        <v>34540.0</v>
      </c>
      <c r="I261" s="7"/>
      <c r="J261" s="7"/>
      <c r="K261" s="13" t="str">
        <f>IF(discount&gt;50%, product, "")</f>
        <v>Amazon Basics USB A to Lightning PVC Molded Nylon MFi Certified Charging Cable (Black, 1.2 meter)</v>
      </c>
      <c r="L261" s="7"/>
      <c r="M261" s="7"/>
      <c r="N261" s="7"/>
      <c r="O261" s="14"/>
      <c r="P261" s="14"/>
    </row>
    <row r="262">
      <c r="A262" s="7" t="s">
        <v>296</v>
      </c>
      <c r="B262" s="7" t="s">
        <v>31</v>
      </c>
      <c r="C262" s="8">
        <v>299.0</v>
      </c>
      <c r="D262" s="8">
        <v>700.0</v>
      </c>
      <c r="E262" s="9">
        <v>0.57</v>
      </c>
      <c r="F262" s="10">
        <v>4.4</v>
      </c>
      <c r="G262" s="11">
        <v>8714.0</v>
      </c>
      <c r="I262" s="7"/>
      <c r="J262" s="7"/>
      <c r="K262" s="13" t="str">
        <f>IF(discount&gt;50%, product, "")</f>
        <v>AmazonBasics - High-Speed Male to Female HDMI Extension Cable - 6 Feet</v>
      </c>
      <c r="L262" s="7"/>
      <c r="M262" s="7"/>
      <c r="N262" s="7"/>
      <c r="O262" s="14"/>
      <c r="P262" s="14"/>
    </row>
    <row r="263">
      <c r="A263" s="7" t="s">
        <v>297</v>
      </c>
      <c r="B263" s="7" t="s">
        <v>15</v>
      </c>
      <c r="C263" s="8">
        <v>325.0</v>
      </c>
      <c r="D263" s="8">
        <v>1099.0</v>
      </c>
      <c r="E263" s="9">
        <v>0.7</v>
      </c>
      <c r="F263" s="10">
        <v>4.2</v>
      </c>
      <c r="G263" s="11">
        <v>10576.0</v>
      </c>
      <c r="I263" s="7"/>
      <c r="J263" s="7"/>
      <c r="K263" s="13" t="str">
        <f>IF(discount&gt;50%, product, "")</f>
        <v>Wayona Nylon Braided Usb Type C 3Ft 1M 3A Fast Charger Cable For Samsung Galaxy S9 S8 (Wc3Cb1, Black)</v>
      </c>
      <c r="L263" s="7"/>
      <c r="M263" s="7"/>
      <c r="N263" s="7"/>
      <c r="O263" s="14"/>
      <c r="P263" s="14"/>
    </row>
    <row r="264">
      <c r="A264" s="7" t="s">
        <v>298</v>
      </c>
      <c r="B264" s="7" t="s">
        <v>15</v>
      </c>
      <c r="C264" s="8">
        <v>1299.0</v>
      </c>
      <c r="D264" s="8">
        <v>1999.0</v>
      </c>
      <c r="E264" s="9">
        <v>0.35</v>
      </c>
      <c r="F264" s="10">
        <v>4.4</v>
      </c>
      <c r="G264" s="11">
        <v>7318.0</v>
      </c>
      <c r="I264" s="7"/>
      <c r="J264" s="7"/>
      <c r="K264" s="13" t="str">
        <f>IF(discount&gt;50%, product, "")</f>
        <v/>
      </c>
      <c r="L264" s="7"/>
      <c r="M264" s="7"/>
      <c r="N264" s="7"/>
      <c r="O264" s="14"/>
      <c r="P264" s="14"/>
    </row>
    <row r="265">
      <c r="A265" s="7" t="s">
        <v>299</v>
      </c>
      <c r="B265" s="7" t="s">
        <v>71</v>
      </c>
      <c r="C265" s="8">
        <v>790.0</v>
      </c>
      <c r="D265" s="8">
        <v>1999.0</v>
      </c>
      <c r="E265" s="9">
        <v>0.6</v>
      </c>
      <c r="F265" s="10">
        <v>3.0</v>
      </c>
      <c r="G265" s="10">
        <v>103.0</v>
      </c>
      <c r="I265" s="7"/>
      <c r="J265" s="7"/>
      <c r="K265" s="13" t="str">
        <f>IF(discount&gt;50%, product, "")</f>
        <v>7SEVEN Compatible LG TV Remote Suitable for LG Non Magic Smart tv Remote Control (Mouse &amp; Voice Non-Support) MR20GA Prime Video and Netflix Hotkeys</v>
      </c>
      <c r="L265" s="7"/>
      <c r="M265" s="7"/>
      <c r="N265" s="7"/>
      <c r="O265" s="14"/>
      <c r="P265" s="14"/>
    </row>
    <row r="266">
      <c r="A266" s="7" t="s">
        <v>300</v>
      </c>
      <c r="B266" s="7" t="s">
        <v>301</v>
      </c>
      <c r="C266" s="8">
        <v>4699.0</v>
      </c>
      <c r="D266" s="8">
        <v>4699.0</v>
      </c>
      <c r="E266" s="9">
        <v>0.0</v>
      </c>
      <c r="F266" s="10">
        <v>4.5</v>
      </c>
      <c r="G266" s="10">
        <v>224.0</v>
      </c>
      <c r="I266" s="7"/>
      <c r="J266" s="7"/>
      <c r="K266" s="13" t="str">
        <f>IF(discount&gt;50%, product, "")</f>
        <v/>
      </c>
      <c r="L266" s="7"/>
      <c r="M266" s="7"/>
      <c r="N266" s="7"/>
      <c r="O266" s="14"/>
      <c r="P266" s="14"/>
    </row>
    <row r="267">
      <c r="A267" s="7" t="s">
        <v>302</v>
      </c>
      <c r="B267" s="7" t="s">
        <v>37</v>
      </c>
      <c r="C267" s="8">
        <v>18999.0</v>
      </c>
      <c r="D267" s="8">
        <v>24990.0</v>
      </c>
      <c r="E267" s="9">
        <v>0.24</v>
      </c>
      <c r="F267" s="10">
        <v>4.3</v>
      </c>
      <c r="G267" s="11">
        <v>4702.0</v>
      </c>
      <c r="I267" s="7"/>
      <c r="J267" s="7"/>
      <c r="K267" s="13" t="str">
        <f>IF(discount&gt;50%, product, "")</f>
        <v/>
      </c>
      <c r="L267" s="7"/>
      <c r="M267" s="7"/>
      <c r="N267" s="7"/>
      <c r="O267" s="14"/>
      <c r="P267" s="14"/>
    </row>
    <row r="268">
      <c r="A268" s="7" t="s">
        <v>303</v>
      </c>
      <c r="B268" s="7" t="s">
        <v>15</v>
      </c>
      <c r="C268" s="8">
        <v>199.0</v>
      </c>
      <c r="D268" s="8">
        <v>999.0</v>
      </c>
      <c r="E268" s="9">
        <v>0.8</v>
      </c>
      <c r="F268" s="10">
        <v>4.2</v>
      </c>
      <c r="G268" s="10">
        <v>85.0</v>
      </c>
      <c r="I268" s="7"/>
      <c r="J268" s="7"/>
      <c r="K268" s="13" t="str">
        <f>IF(discount&gt;50%, product, "")</f>
        <v>Lapster usb 2.0 mantra cable, mantra mfs 100 data cable (black)</v>
      </c>
      <c r="L268" s="7"/>
      <c r="M268" s="7"/>
      <c r="N268" s="7"/>
      <c r="O268" s="14"/>
      <c r="P268" s="14"/>
    </row>
    <row r="269">
      <c r="A269" s="7" t="s">
        <v>304</v>
      </c>
      <c r="B269" s="7" t="s">
        <v>31</v>
      </c>
      <c r="C269" s="8">
        <v>269.0</v>
      </c>
      <c r="D269" s="8">
        <v>650.0</v>
      </c>
      <c r="E269" s="9">
        <v>0.59</v>
      </c>
      <c r="F269" s="10">
        <v>4.4</v>
      </c>
      <c r="G269" s="11">
        <v>35877.0</v>
      </c>
      <c r="I269" s="7"/>
      <c r="J269" s="7"/>
      <c r="K269" s="13" t="str">
        <f>IF(discount&gt;50%, product, "")</f>
        <v>AmazonBasics High-Speed Braided HDMI Cable - 3 Feet - Supports Ethernet, 3D, 4K and Audio Return (Black)</v>
      </c>
      <c r="L269" s="7"/>
      <c r="M269" s="7"/>
      <c r="N269" s="7"/>
      <c r="O269" s="14"/>
      <c r="P269" s="14"/>
    </row>
    <row r="270">
      <c r="A270" s="7" t="s">
        <v>305</v>
      </c>
      <c r="B270" s="7" t="s">
        <v>306</v>
      </c>
      <c r="C270" s="8">
        <v>1990.0</v>
      </c>
      <c r="D270" s="8">
        <v>3100.0</v>
      </c>
      <c r="E270" s="9">
        <v>0.36</v>
      </c>
      <c r="F270" s="10">
        <v>4.0</v>
      </c>
      <c r="G270" s="10">
        <v>897.0</v>
      </c>
      <c r="I270" s="7"/>
      <c r="J270" s="7"/>
      <c r="K270" s="13" t="str">
        <f>IF(discount&gt;50%, product, "")</f>
        <v/>
      </c>
      <c r="L270" s="7"/>
      <c r="M270" s="7"/>
      <c r="N270" s="7"/>
      <c r="O270" s="14"/>
      <c r="P270" s="14"/>
    </row>
    <row r="271">
      <c r="A271" s="7" t="s">
        <v>307</v>
      </c>
      <c r="B271" s="7" t="s">
        <v>308</v>
      </c>
      <c r="C271" s="8">
        <v>2299.0</v>
      </c>
      <c r="D271" s="8">
        <v>3999.0</v>
      </c>
      <c r="E271" s="9">
        <v>0.43</v>
      </c>
      <c r="F271" s="10">
        <v>3.8</v>
      </c>
      <c r="G271" s="10">
        <v>282.0</v>
      </c>
      <c r="I271" s="7"/>
      <c r="J271" s="7"/>
      <c r="K271" s="13" t="str">
        <f>IF(discount&gt;50%, product, "")</f>
        <v/>
      </c>
      <c r="L271" s="7"/>
      <c r="M271" s="7"/>
      <c r="N271" s="7"/>
      <c r="O271" s="14"/>
      <c r="P271" s="14"/>
    </row>
    <row r="272">
      <c r="A272" s="7" t="s">
        <v>309</v>
      </c>
      <c r="B272" s="7" t="s">
        <v>37</v>
      </c>
      <c r="C272" s="8">
        <v>35999.0</v>
      </c>
      <c r="D272" s="8">
        <v>49990.0</v>
      </c>
      <c r="E272" s="9">
        <v>0.28</v>
      </c>
      <c r="F272" s="10">
        <v>4.3</v>
      </c>
      <c r="G272" s="11">
        <v>1611.0</v>
      </c>
      <c r="I272" s="7"/>
      <c r="J272" s="7"/>
      <c r="K272" s="13" t="str">
        <f>IF(discount&gt;50%, product, "")</f>
        <v/>
      </c>
      <c r="L272" s="7"/>
      <c r="M272" s="7"/>
      <c r="N272" s="7"/>
      <c r="O272" s="14"/>
      <c r="P272" s="14"/>
    </row>
    <row r="273">
      <c r="A273" s="7" t="s">
        <v>310</v>
      </c>
      <c r="B273" s="7" t="s">
        <v>71</v>
      </c>
      <c r="C273" s="8">
        <v>349.0</v>
      </c>
      <c r="D273" s="8">
        <v>999.0</v>
      </c>
      <c r="E273" s="9">
        <v>0.65</v>
      </c>
      <c r="F273" s="10">
        <v>4.2</v>
      </c>
      <c r="G273" s="10">
        <v>513.0</v>
      </c>
      <c r="I273" s="7"/>
      <c r="J273" s="7"/>
      <c r="K273" s="13" t="str">
        <f>IF(discount&gt;50%, product, "")</f>
        <v>Dealfreez Case Compatible for Fire TV Stick 4K All Alexa Voice Remote Shockproof Silicone Anti-Lost Cover with Loop (C-Black)</v>
      </c>
      <c r="L273" s="7"/>
      <c r="M273" s="7"/>
      <c r="N273" s="7"/>
      <c r="O273" s="14"/>
      <c r="P273" s="14"/>
    </row>
    <row r="274">
      <c r="A274" s="7" t="s">
        <v>311</v>
      </c>
      <c r="B274" s="7" t="s">
        <v>15</v>
      </c>
      <c r="C274" s="8">
        <v>719.0</v>
      </c>
      <c r="D274" s="8">
        <v>1499.0</v>
      </c>
      <c r="E274" s="9">
        <v>0.52</v>
      </c>
      <c r="F274" s="10">
        <v>4.1</v>
      </c>
      <c r="G274" s="11">
        <v>1045.0</v>
      </c>
      <c r="I274" s="7"/>
      <c r="J274" s="7"/>
      <c r="K274" s="13" t="str">
        <f>IF(discount&gt;50%, product, "")</f>
        <v>Wayona Type C to Lightning MFI Certified 20W Fast charging Nylon Braided USB C Cable for iPhone 14 Pro, 14 Pro Max, 14, 14 Plus, 13, 13 Pro, 13 Pro Max, 13 Mini, 12, 12 Pro, 11, 11 Pro Max, iPhone 12 Mini (2M, Black)</v>
      </c>
      <c r="L274" s="7"/>
      <c r="M274" s="7"/>
      <c r="N274" s="7"/>
      <c r="O274" s="14"/>
      <c r="P274" s="14"/>
    </row>
    <row r="275">
      <c r="A275" s="7" t="s">
        <v>312</v>
      </c>
      <c r="B275" s="7" t="s">
        <v>37</v>
      </c>
      <c r="C275" s="8">
        <v>8999.0</v>
      </c>
      <c r="D275" s="8">
        <v>18999.0</v>
      </c>
      <c r="E275" s="9">
        <v>0.53</v>
      </c>
      <c r="F275" s="10">
        <v>4.0</v>
      </c>
      <c r="G275" s="11">
        <v>6347.0</v>
      </c>
      <c r="I275" s="7"/>
      <c r="J275" s="7"/>
      <c r="K275" s="13" t="str">
        <f>IF(discount&gt;50%, product, "")</f>
        <v>VW 80 cm (32 inches) HD Ready Android Smart LED TV VW32PRO (Black)</v>
      </c>
      <c r="L275" s="7"/>
      <c r="M275" s="7"/>
      <c r="N275" s="7"/>
      <c r="O275" s="14"/>
      <c r="P275" s="14"/>
    </row>
    <row r="276">
      <c r="A276" s="7" t="s">
        <v>313</v>
      </c>
      <c r="B276" s="7" t="s">
        <v>257</v>
      </c>
      <c r="C276" s="8">
        <v>917.0</v>
      </c>
      <c r="D276" s="8">
        <v>2299.0</v>
      </c>
      <c r="E276" s="9">
        <v>0.6</v>
      </c>
      <c r="F276" s="10">
        <v>4.2</v>
      </c>
      <c r="G276" s="11">
        <v>3300.0</v>
      </c>
      <c r="I276" s="7"/>
      <c r="J276" s="7"/>
      <c r="K276" s="13" t="str">
        <f>IF(discount&gt;50%, product, "")</f>
        <v>Airtel Digital TV HD Set Top Box with 1 Month Basic Pack with Recording + Free Standard Installation</v>
      </c>
      <c r="L276" s="7"/>
      <c r="M276" s="7"/>
      <c r="N276" s="7"/>
      <c r="O276" s="14"/>
      <c r="P276" s="14"/>
    </row>
    <row r="277">
      <c r="A277" s="7" t="s">
        <v>314</v>
      </c>
      <c r="B277" s="7" t="s">
        <v>71</v>
      </c>
      <c r="C277" s="8">
        <v>399.0</v>
      </c>
      <c r="D277" s="8">
        <v>999.0</v>
      </c>
      <c r="E277" s="9">
        <v>0.6</v>
      </c>
      <c r="F277" s="10">
        <v>3.3</v>
      </c>
      <c r="G277" s="10">
        <v>23.0</v>
      </c>
      <c r="I277" s="7"/>
      <c r="J277" s="7"/>
      <c r="K277" s="13" t="str">
        <f>IF(discount&gt;50%, product, "")</f>
        <v>LOHAYA Voice Assistant Remote Compatible for Airtel Xstream Set-Top Box Remote Control with Netflix Function (Black) (Non - Voice)</v>
      </c>
      <c r="L277" s="7"/>
      <c r="M277" s="7"/>
      <c r="N277" s="7"/>
      <c r="O277" s="14"/>
      <c r="P277" s="14"/>
    </row>
    <row r="278">
      <c r="A278" s="7" t="s">
        <v>315</v>
      </c>
      <c r="B278" s="7" t="s">
        <v>37</v>
      </c>
      <c r="C278" s="8">
        <v>45999.0</v>
      </c>
      <c r="D278" s="8">
        <v>69900.0</v>
      </c>
      <c r="E278" s="9">
        <v>0.34</v>
      </c>
      <c r="F278" s="10">
        <v>4.3</v>
      </c>
      <c r="G278" s="11">
        <v>7109.0</v>
      </c>
      <c r="I278" s="7"/>
      <c r="J278" s="7"/>
      <c r="K278" s="13" t="str">
        <f>IF(discount&gt;50%, product, "")</f>
        <v/>
      </c>
      <c r="L278" s="7"/>
      <c r="M278" s="7"/>
      <c r="N278" s="7"/>
      <c r="O278" s="14"/>
      <c r="P278" s="14"/>
    </row>
    <row r="279">
      <c r="A279" s="7" t="s">
        <v>316</v>
      </c>
      <c r="B279" s="7" t="s">
        <v>15</v>
      </c>
      <c r="C279" s="8">
        <v>119.0</v>
      </c>
      <c r="D279" s="8">
        <v>299.0</v>
      </c>
      <c r="E279" s="9">
        <v>0.6</v>
      </c>
      <c r="F279" s="10">
        <v>3.8</v>
      </c>
      <c r="G279" s="10">
        <v>51.0</v>
      </c>
      <c r="I279" s="7"/>
      <c r="J279" s="7"/>
      <c r="K279" s="13" t="str">
        <f>IF(discount&gt;50%, product, "")</f>
        <v>Amazon Brand - Solimo 3A Fast Charging Tough Type C USB Data Cable  – 1 Meter</v>
      </c>
      <c r="L279" s="7"/>
      <c r="M279" s="7"/>
      <c r="N279" s="7"/>
      <c r="O279" s="14"/>
      <c r="P279" s="14"/>
    </row>
    <row r="280">
      <c r="A280" s="7" t="s">
        <v>317</v>
      </c>
      <c r="B280" s="7" t="s">
        <v>37</v>
      </c>
      <c r="C280" s="8">
        <v>21999.0</v>
      </c>
      <c r="D280" s="8">
        <v>29999.0</v>
      </c>
      <c r="E280" s="9">
        <v>0.27</v>
      </c>
      <c r="F280" s="10">
        <v>4.2</v>
      </c>
      <c r="G280" s="11">
        <v>32840.0</v>
      </c>
      <c r="I280" s="7"/>
      <c r="J280" s="7"/>
      <c r="K280" s="13" t="str">
        <f>IF(discount&gt;50%, product, "")</f>
        <v/>
      </c>
      <c r="L280" s="7"/>
      <c r="M280" s="7"/>
      <c r="N280" s="7"/>
      <c r="O280" s="14"/>
      <c r="P280" s="14"/>
    </row>
    <row r="281">
      <c r="A281" s="7" t="s">
        <v>318</v>
      </c>
      <c r="B281" s="7" t="s">
        <v>71</v>
      </c>
      <c r="C281" s="8">
        <v>299.0</v>
      </c>
      <c r="D281" s="8">
        <v>599.0</v>
      </c>
      <c r="E281" s="9">
        <v>0.5</v>
      </c>
      <c r="F281" s="10">
        <v>3.7</v>
      </c>
      <c r="G281" s="10">
        <v>708.0</v>
      </c>
      <c r="I281" s="7"/>
      <c r="J281" s="7"/>
      <c r="K281" s="13" t="str">
        <f>IF(discount&gt;50%, product, "")</f>
        <v/>
      </c>
      <c r="L281" s="7"/>
      <c r="M281" s="7"/>
      <c r="N281" s="7"/>
      <c r="O281" s="14"/>
      <c r="P281" s="14"/>
    </row>
    <row r="282">
      <c r="A282" s="7" t="s">
        <v>319</v>
      </c>
      <c r="B282" s="7" t="s">
        <v>37</v>
      </c>
      <c r="C282" s="8">
        <v>21990.0</v>
      </c>
      <c r="D282" s="8">
        <v>34990.0</v>
      </c>
      <c r="E282" s="9">
        <v>0.37</v>
      </c>
      <c r="F282" s="10">
        <v>4.3</v>
      </c>
      <c r="G282" s="11">
        <v>1657.0</v>
      </c>
      <c r="I282" s="7"/>
      <c r="J282" s="7"/>
      <c r="K282" s="13" t="str">
        <f>IF(discount&gt;50%, product, "")</f>
        <v/>
      </c>
      <c r="L282" s="7"/>
      <c r="M282" s="7"/>
      <c r="N282" s="7"/>
      <c r="O282" s="14"/>
      <c r="P282" s="14"/>
    </row>
    <row r="283">
      <c r="A283" s="7" t="s">
        <v>320</v>
      </c>
      <c r="B283" s="7" t="s">
        <v>15</v>
      </c>
      <c r="C283" s="8">
        <v>417.44</v>
      </c>
      <c r="D283" s="8">
        <v>670.0</v>
      </c>
      <c r="E283" s="9">
        <v>0.38</v>
      </c>
      <c r="F283" s="10">
        <v>3.9</v>
      </c>
      <c r="G283" s="10">
        <v>523.0</v>
      </c>
      <c r="I283" s="7"/>
      <c r="J283" s="7"/>
      <c r="K283" s="13" t="str">
        <f>IF(discount&gt;50%, product, "")</f>
        <v/>
      </c>
      <c r="L283" s="7"/>
      <c r="M283" s="7"/>
      <c r="N283" s="7"/>
      <c r="O283" s="14"/>
      <c r="P283" s="14"/>
    </row>
    <row r="284">
      <c r="A284" s="7" t="s">
        <v>321</v>
      </c>
      <c r="B284" s="7" t="s">
        <v>15</v>
      </c>
      <c r="C284" s="8">
        <v>199.0</v>
      </c>
      <c r="D284" s="8">
        <v>999.0</v>
      </c>
      <c r="E284" s="9">
        <v>0.8</v>
      </c>
      <c r="F284" s="10">
        <v>3.0</v>
      </c>
      <c r="G284" s="7"/>
      <c r="I284" s="7"/>
      <c r="J284" s="7"/>
      <c r="K284" s="13" t="str">
        <f>IF(discount&gt;50%, product, "")</f>
        <v>Amazon Brand - Solimo 65W Fast Charging Braided Type C to C Data Cable | Suitable For All Supported Mobile Phones (1 Meter, Black)</v>
      </c>
      <c r="L284" s="7"/>
      <c r="M284" s="7"/>
      <c r="N284" s="7"/>
      <c r="O284" s="14"/>
      <c r="P284" s="14"/>
    </row>
    <row r="285">
      <c r="A285" s="7" t="s">
        <v>322</v>
      </c>
      <c r="B285" s="7" t="s">
        <v>37</v>
      </c>
      <c r="C285" s="8">
        <v>47990.0</v>
      </c>
      <c r="D285" s="8">
        <v>79990.0</v>
      </c>
      <c r="E285" s="9">
        <v>0.4</v>
      </c>
      <c r="F285" s="10">
        <v>4.3</v>
      </c>
      <c r="G285" s="11">
        <v>1376.0</v>
      </c>
      <c r="I285" s="7"/>
      <c r="J285" s="7"/>
      <c r="K285" s="13" t="str">
        <f>IF(discount&gt;50%, product, "")</f>
        <v/>
      </c>
      <c r="L285" s="7"/>
      <c r="M285" s="7"/>
      <c r="N285" s="7"/>
      <c r="O285" s="14"/>
      <c r="P285" s="14"/>
    </row>
    <row r="286">
      <c r="A286" s="7" t="s">
        <v>323</v>
      </c>
      <c r="B286" s="7" t="s">
        <v>71</v>
      </c>
      <c r="C286" s="8">
        <v>215.0</v>
      </c>
      <c r="D286" s="8">
        <v>499.0</v>
      </c>
      <c r="E286" s="9">
        <v>0.57</v>
      </c>
      <c r="F286" s="10">
        <v>3.5</v>
      </c>
      <c r="G286" s="10">
        <v>121.0</v>
      </c>
      <c r="I286" s="7"/>
      <c r="J286" s="7"/>
      <c r="K286" s="13" t="str">
        <f>IF(discount&gt;50%, product, "")</f>
        <v>Tata Sky Digital TV HD Setup Box Remote</v>
      </c>
      <c r="L286" s="7"/>
      <c r="M286" s="7"/>
      <c r="N286" s="7"/>
      <c r="O286" s="14"/>
      <c r="P286" s="14"/>
    </row>
    <row r="287">
      <c r="A287" s="7" t="s">
        <v>324</v>
      </c>
      <c r="B287" s="7" t="s">
        <v>15</v>
      </c>
      <c r="C287" s="8">
        <v>99.0</v>
      </c>
      <c r="D287" s="8">
        <v>800.0</v>
      </c>
      <c r="E287" s="9">
        <v>0.88</v>
      </c>
      <c r="F287" s="10">
        <v>3.9</v>
      </c>
      <c r="G287" s="11">
        <v>1075.0</v>
      </c>
      <c r="I287" s="7"/>
      <c r="J287" s="7"/>
      <c r="K287" s="13" t="str">
        <f>IF(discount&gt;50%, product, "")</f>
        <v>pTron Solero T241 2.4A Type-C Data &amp; Charging USB Cable, Made in India, 480Mbps Data Sync, Durable 1-Meter Long USB Cable for Smartphone, Type-C USB Devices (White)</v>
      </c>
      <c r="L287" s="7"/>
      <c r="M287" s="7"/>
      <c r="N287" s="7"/>
      <c r="O287" s="14"/>
      <c r="P287" s="14"/>
    </row>
    <row r="288">
      <c r="A288" s="7" t="s">
        <v>325</v>
      </c>
      <c r="B288" s="7" t="s">
        <v>37</v>
      </c>
      <c r="C288" s="8">
        <v>18999.0</v>
      </c>
      <c r="D288" s="8">
        <v>35000.0</v>
      </c>
      <c r="E288" s="9">
        <v>0.46</v>
      </c>
      <c r="F288" s="10">
        <v>4.0</v>
      </c>
      <c r="G288" s="11">
        <v>1001.0</v>
      </c>
      <c r="I288" s="7"/>
      <c r="J288" s="7"/>
      <c r="K288" s="13" t="str">
        <f>IF(discount&gt;50%, product, "")</f>
        <v/>
      </c>
      <c r="L288" s="7"/>
      <c r="M288" s="7"/>
      <c r="N288" s="7"/>
      <c r="O288" s="14"/>
      <c r="P288" s="14"/>
    </row>
    <row r="289">
      <c r="A289" s="7" t="s">
        <v>326</v>
      </c>
      <c r="B289" s="7" t="s">
        <v>15</v>
      </c>
      <c r="C289" s="8">
        <v>249.0</v>
      </c>
      <c r="D289" s="8">
        <v>999.0</v>
      </c>
      <c r="E289" s="9">
        <v>0.75</v>
      </c>
      <c r="F289" s="10">
        <v>4.3</v>
      </c>
      <c r="G289" s="10">
        <v>112.0</v>
      </c>
      <c r="I289" s="7"/>
      <c r="J289" s="7"/>
      <c r="K289" s="13" t="str">
        <f>IF(discount&gt;50%, product, "")</f>
        <v>Storite Super Speed USB 3.0 Male to Male Cable for Hard Drive Enclosures, Laptop Cooling Pad, DVD Players(60cm,Black)</v>
      </c>
      <c r="L289" s="7"/>
      <c r="M289" s="7"/>
      <c r="N289" s="7"/>
      <c r="O289" s="14"/>
      <c r="P289" s="14"/>
    </row>
    <row r="290">
      <c r="A290" s="7" t="s">
        <v>327</v>
      </c>
      <c r="B290" s="7" t="s">
        <v>77</v>
      </c>
      <c r="C290" s="8">
        <v>7999.0</v>
      </c>
      <c r="D290" s="8">
        <v>15999.0</v>
      </c>
      <c r="E290" s="9">
        <v>0.5</v>
      </c>
      <c r="F290" s="10">
        <v>3.8</v>
      </c>
      <c r="G290" s="11">
        <v>3022.0</v>
      </c>
      <c r="I290" s="7"/>
      <c r="J290" s="7"/>
      <c r="K290" s="13" t="str">
        <f>IF(discount&gt;50%, product, "")</f>
        <v/>
      </c>
      <c r="L290" s="7"/>
      <c r="M290" s="7"/>
      <c r="N290" s="7"/>
      <c r="O290" s="14"/>
      <c r="P290" s="14"/>
    </row>
    <row r="291">
      <c r="A291" s="7" t="s">
        <v>328</v>
      </c>
      <c r="B291" s="7" t="s">
        <v>15</v>
      </c>
      <c r="C291" s="8">
        <v>649.0</v>
      </c>
      <c r="D291" s="8">
        <v>1600.0</v>
      </c>
      <c r="E291" s="9">
        <v>0.59</v>
      </c>
      <c r="F291" s="10">
        <v>4.3</v>
      </c>
      <c r="G291" s="11">
        <v>5451.0</v>
      </c>
      <c r="I291" s="7"/>
      <c r="J291" s="7"/>
      <c r="K291" s="13" t="str">
        <f>IF(discount&gt;50%, product, "")</f>
        <v>AmazonBasics Double Braided Nylon USB Type-C to Type-C 2.0 Cable, Charging Adapter, Smartphone 6 feet, Dark Grey</v>
      </c>
      <c r="L291" s="7"/>
      <c r="M291" s="7"/>
      <c r="N291" s="7"/>
      <c r="O291" s="14"/>
      <c r="P291" s="14"/>
    </row>
    <row r="292">
      <c r="A292" s="7" t="s">
        <v>104</v>
      </c>
      <c r="B292" s="7" t="s">
        <v>71</v>
      </c>
      <c r="C292" s="8">
        <v>1289.0</v>
      </c>
      <c r="D292" s="8">
        <v>2499.0</v>
      </c>
      <c r="E292" s="9">
        <v>0.48</v>
      </c>
      <c r="F292" s="10">
        <v>3.3</v>
      </c>
      <c r="G292" s="10">
        <v>73.0</v>
      </c>
      <c r="I292" s="7"/>
      <c r="J292" s="7"/>
      <c r="K292" s="13" t="str">
        <f>IF(discount&gt;50%, product, "")</f>
        <v/>
      </c>
      <c r="L292" s="7"/>
      <c r="M292" s="7"/>
      <c r="N292" s="7"/>
      <c r="O292" s="14"/>
      <c r="P292" s="14"/>
    </row>
    <row r="293">
      <c r="A293" s="7" t="s">
        <v>329</v>
      </c>
      <c r="B293" s="7" t="s">
        <v>31</v>
      </c>
      <c r="C293" s="8">
        <v>609.0</v>
      </c>
      <c r="D293" s="8">
        <v>1500.0</v>
      </c>
      <c r="E293" s="9">
        <v>0.59</v>
      </c>
      <c r="F293" s="10">
        <v>4.5</v>
      </c>
      <c r="G293" s="11">
        <v>1029.0</v>
      </c>
      <c r="I293" s="7"/>
      <c r="J293" s="7"/>
      <c r="K293" s="13" t="str">
        <f>IF(discount&gt;50%, product, "")</f>
        <v>AmazonBasics 10.2 Gbps High-Speed 4K HDMI Cable with Braided Cord (10-Foot, Dark Grey)</v>
      </c>
      <c r="L293" s="7"/>
      <c r="M293" s="7"/>
      <c r="N293" s="7"/>
      <c r="O293" s="14"/>
      <c r="P293" s="14"/>
    </row>
    <row r="294">
      <c r="A294" s="7" t="s">
        <v>330</v>
      </c>
      <c r="B294" s="7" t="s">
        <v>37</v>
      </c>
      <c r="C294" s="8">
        <v>32990.0</v>
      </c>
      <c r="D294" s="8">
        <v>54990.0</v>
      </c>
      <c r="E294" s="9">
        <v>0.4</v>
      </c>
      <c r="F294" s="10">
        <v>4.1</v>
      </c>
      <c r="G294" s="11">
        <v>1555.0</v>
      </c>
      <c r="I294" s="7"/>
      <c r="J294" s="7"/>
      <c r="K294" s="13" t="str">
        <f>IF(discount&gt;50%, product, "")</f>
        <v/>
      </c>
      <c r="L294" s="7"/>
      <c r="M294" s="7"/>
      <c r="N294" s="7"/>
      <c r="O294" s="14"/>
      <c r="P294" s="14"/>
    </row>
    <row r="295">
      <c r="A295" s="7" t="s">
        <v>331</v>
      </c>
      <c r="B295" s="7" t="s">
        <v>31</v>
      </c>
      <c r="C295" s="8">
        <v>599.0</v>
      </c>
      <c r="D295" s="8">
        <v>1999.0</v>
      </c>
      <c r="E295" s="9">
        <v>0.7</v>
      </c>
      <c r="F295" s="10">
        <v>4.2</v>
      </c>
      <c r="G295" s="10">
        <v>47.0</v>
      </c>
      <c r="I295" s="7"/>
      <c r="J295" s="7"/>
      <c r="K295" s="13" t="str">
        <f>IF(discount&gt;50%, product, "")</f>
        <v>Tuarso 8K HDMI 2.1 Cable 48Gbps , 1.5 Meter High-Speed Braided HDMI Cable ( 8K@60HZ、4K@120HZ、2K@240HZ ) HDMI 2.1 Cable Compatible with Monitors , Television , Laptops , Projectors , Game Consoles and more with HDMI Ports Device</v>
      </c>
      <c r="L295" s="7"/>
      <c r="M295" s="7"/>
      <c r="N295" s="7"/>
      <c r="O295" s="14"/>
      <c r="P295" s="14"/>
    </row>
    <row r="296">
      <c r="A296" s="7" t="s">
        <v>332</v>
      </c>
      <c r="B296" s="7" t="s">
        <v>15</v>
      </c>
      <c r="C296" s="8">
        <v>349.0</v>
      </c>
      <c r="D296" s="8">
        <v>899.0</v>
      </c>
      <c r="E296" s="9">
        <v>0.61</v>
      </c>
      <c r="F296" s="10">
        <v>4.1</v>
      </c>
      <c r="G296" s="11">
        <v>14896.0</v>
      </c>
      <c r="I296" s="7"/>
      <c r="J296" s="7"/>
      <c r="K296" s="13" t="str">
        <f>IF(discount&gt;50%, product, "")</f>
        <v>AmazonBasics USB Type-C to Micro-B 2.0 Cable - 6 Inches (15.2 Centimeters) - White</v>
      </c>
      <c r="L296" s="7"/>
      <c r="M296" s="7"/>
      <c r="N296" s="7"/>
      <c r="O296" s="14"/>
      <c r="P296" s="14"/>
    </row>
    <row r="297">
      <c r="A297" s="7" t="s">
        <v>333</v>
      </c>
      <c r="B297" s="7" t="s">
        <v>37</v>
      </c>
      <c r="C297" s="8">
        <v>29999.0</v>
      </c>
      <c r="D297" s="8">
        <v>50999.0</v>
      </c>
      <c r="E297" s="9">
        <v>0.41</v>
      </c>
      <c r="F297" s="10">
        <v>4.4</v>
      </c>
      <c r="G297" s="11">
        <v>1712.0</v>
      </c>
      <c r="I297" s="7"/>
      <c r="J297" s="7"/>
      <c r="K297" s="13" t="str">
        <f>IF(discount&gt;50%, product, "")</f>
        <v/>
      </c>
      <c r="L297" s="7"/>
      <c r="M297" s="7"/>
      <c r="N297" s="7"/>
      <c r="O297" s="14"/>
      <c r="P297" s="14"/>
    </row>
    <row r="298">
      <c r="A298" s="7" t="s">
        <v>278</v>
      </c>
      <c r="B298" s="7" t="s">
        <v>71</v>
      </c>
      <c r="C298" s="8">
        <v>199.0</v>
      </c>
      <c r="D298" s="8">
        <v>399.0</v>
      </c>
      <c r="E298" s="9">
        <v>0.5</v>
      </c>
      <c r="F298" s="10">
        <v>4.2</v>
      </c>
      <c r="G298" s="11">
        <v>1335.0</v>
      </c>
      <c r="I298" s="7"/>
      <c r="J298" s="7"/>
      <c r="K298" s="13" t="str">
        <f>IF(discount&gt;50%, product, "")</f>
        <v/>
      </c>
      <c r="L298" s="7"/>
      <c r="M298" s="7"/>
      <c r="N298" s="7"/>
      <c r="O298" s="14"/>
      <c r="P298" s="14"/>
    </row>
    <row r="299">
      <c r="A299" s="7" t="s">
        <v>334</v>
      </c>
      <c r="B299" s="7" t="s">
        <v>71</v>
      </c>
      <c r="C299" s="8">
        <v>349.0</v>
      </c>
      <c r="D299" s="8">
        <v>699.0</v>
      </c>
      <c r="E299" s="9">
        <v>0.5</v>
      </c>
      <c r="F299" s="10">
        <v>3.9</v>
      </c>
      <c r="G299" s="10">
        <v>214.0</v>
      </c>
      <c r="I299" s="7"/>
      <c r="J299" s="7"/>
      <c r="K299" s="13" t="str">
        <f>IF(discount&gt;50%, product, "")</f>
        <v/>
      </c>
      <c r="L299" s="7"/>
      <c r="M299" s="7"/>
      <c r="N299" s="7"/>
      <c r="O299" s="14"/>
      <c r="P299" s="14"/>
    </row>
    <row r="300">
      <c r="A300" s="7" t="s">
        <v>335</v>
      </c>
      <c r="B300" s="7" t="s">
        <v>93</v>
      </c>
      <c r="C300" s="8">
        <v>1850.0</v>
      </c>
      <c r="D300" s="8">
        <v>4500.0</v>
      </c>
      <c r="E300" s="9">
        <v>0.59</v>
      </c>
      <c r="F300" s="10">
        <v>4.0</v>
      </c>
      <c r="G300" s="10">
        <v>184.0</v>
      </c>
      <c r="I300" s="7"/>
      <c r="J300" s="7"/>
      <c r="K300" s="13" t="str">
        <f>IF(discount&gt;50%, product, "")</f>
        <v>PROLEGEND® PL-T002 Universal TV Stand Table Top for Most 22 to 65 inch LCD Flat Screen TV, VESA up to 800 by 400mm</v>
      </c>
      <c r="L300" s="7"/>
      <c r="M300" s="7"/>
      <c r="N300" s="7"/>
      <c r="O300" s="14"/>
      <c r="P300" s="14"/>
    </row>
    <row r="301">
      <c r="A301" s="7" t="s">
        <v>336</v>
      </c>
      <c r="B301" s="7" t="s">
        <v>187</v>
      </c>
      <c r="C301" s="8">
        <v>13990.0</v>
      </c>
      <c r="D301" s="8">
        <v>28900.0</v>
      </c>
      <c r="E301" s="9">
        <v>0.52</v>
      </c>
      <c r="F301" s="10">
        <v>4.5</v>
      </c>
      <c r="G301" s="10">
        <v>7.0</v>
      </c>
      <c r="I301" s="7"/>
      <c r="J301" s="7"/>
      <c r="K301" s="13" t="str">
        <f>IF(discount&gt;50%, product, "")</f>
        <v>WANBO X1 Pro (Upgraded) | Native 1080P Full HD | Android 9 | Projector for Home | LED Cinema | 350ANSI | 3900 lumens | WiFi Bluetooth | HDMI ARC | Dolby DTS | 4D Keystone Correction (Global Version)</v>
      </c>
      <c r="L301" s="7"/>
      <c r="M301" s="7"/>
      <c r="N301" s="7"/>
      <c r="O301" s="14"/>
      <c r="P301" s="14"/>
    </row>
    <row r="302">
      <c r="A302" s="7" t="s">
        <v>337</v>
      </c>
      <c r="B302" s="7" t="s">
        <v>15</v>
      </c>
      <c r="C302" s="8">
        <v>129.0</v>
      </c>
      <c r="D302" s="8">
        <v>449.0</v>
      </c>
      <c r="E302" s="9">
        <v>0.71</v>
      </c>
      <c r="F302" s="10">
        <v>3.7</v>
      </c>
      <c r="G302" s="10">
        <v>41.0</v>
      </c>
      <c r="I302" s="7"/>
      <c r="J302" s="7"/>
      <c r="K302" s="13" t="str">
        <f>IF(discount&gt;50%, product, "")</f>
        <v>Lava Charging Adapter Elements D3 2A Fast Charging Speed Usb Type C Data Cable, White</v>
      </c>
      <c r="L302" s="7"/>
      <c r="M302" s="7"/>
      <c r="N302" s="7"/>
      <c r="O302" s="14"/>
      <c r="P302" s="14"/>
    </row>
    <row r="303">
      <c r="A303" s="7" t="s">
        <v>338</v>
      </c>
      <c r="B303" s="7" t="s">
        <v>31</v>
      </c>
      <c r="C303" s="8">
        <v>379.0</v>
      </c>
      <c r="D303" s="8">
        <v>999.0</v>
      </c>
      <c r="E303" s="9">
        <v>0.62</v>
      </c>
      <c r="F303" s="10">
        <v>4.2</v>
      </c>
      <c r="G303" s="11">
        <v>12153.0</v>
      </c>
      <c r="I303" s="7"/>
      <c r="J303" s="7"/>
      <c r="K303" s="13" t="str">
        <f>IF(discount&gt;50%, product, "")</f>
        <v>TIZUM High Speed HDMI Cable Aura -Gold Plated-High Speed Data 10.2Gbps, 3D, 4K, HD 1080P (10 Ft/ 3 M)</v>
      </c>
      <c r="L303" s="7"/>
      <c r="M303" s="7"/>
      <c r="N303" s="7"/>
      <c r="O303" s="14"/>
      <c r="P303" s="14"/>
    </row>
    <row r="304">
      <c r="A304" s="7" t="s">
        <v>339</v>
      </c>
      <c r="B304" s="7" t="s">
        <v>31</v>
      </c>
      <c r="C304" s="8">
        <v>185.0</v>
      </c>
      <c r="D304" s="8">
        <v>499.0</v>
      </c>
      <c r="E304" s="9">
        <v>0.63</v>
      </c>
      <c r="F304" s="10">
        <v>4.2</v>
      </c>
      <c r="G304" s="10">
        <v>25.0</v>
      </c>
      <c r="I304" s="7"/>
      <c r="J304" s="7"/>
      <c r="K304" s="13" t="str">
        <f>IF(discount&gt;50%, product, "")</f>
        <v>Technotech High Speed HDMI Cable 5 Meter V1.4 - Supports Full HD 1080p (Color May Vary)</v>
      </c>
      <c r="L304" s="7"/>
      <c r="M304" s="7"/>
      <c r="N304" s="7"/>
      <c r="O304" s="14"/>
      <c r="P304" s="14"/>
    </row>
    <row r="305">
      <c r="A305" s="7" t="s">
        <v>340</v>
      </c>
      <c r="B305" s="7" t="s">
        <v>25</v>
      </c>
      <c r="C305" s="8">
        <v>218.0</v>
      </c>
      <c r="D305" s="8">
        <v>999.0</v>
      </c>
      <c r="E305" s="9">
        <v>0.78</v>
      </c>
      <c r="F305" s="10">
        <v>4.2</v>
      </c>
      <c r="G305" s="10">
        <v>163.0</v>
      </c>
      <c r="I305" s="7"/>
      <c r="J305" s="7"/>
      <c r="K305" s="13" t="str">
        <f>IF(discount&gt;50%, product, "")</f>
        <v>NK STAR 950 Mbps USB WiFi Adapter Wireless Network Receiver Dongle for Desktop Laptop, (Support- Windows XP/7/8/10 &amp; MAC OS) NOt Support to DVR and HDTV</v>
      </c>
      <c r="L305" s="7"/>
      <c r="M305" s="7"/>
      <c r="N305" s="7"/>
      <c r="O305" s="14"/>
      <c r="P305" s="14"/>
    </row>
    <row r="306">
      <c r="A306" s="7" t="s">
        <v>341</v>
      </c>
      <c r="B306" s="7" t="s">
        <v>15</v>
      </c>
      <c r="C306" s="8">
        <v>199.0</v>
      </c>
      <c r="D306" s="8">
        <v>999.0</v>
      </c>
      <c r="E306" s="9">
        <v>0.8</v>
      </c>
      <c r="F306" s="10">
        <v>4.3</v>
      </c>
      <c r="G306" s="10">
        <v>87.0</v>
      </c>
      <c r="I306" s="7"/>
      <c r="J306" s="7"/>
      <c r="K306" s="13" t="str">
        <f>IF(discount&gt;50%, product, "")</f>
        <v>LS LAPSTER Quality Assured USB 2.0 morpho cable, morpho device cable for Mso 1300 E3/E2/E Biometric Finger Print Scanner morpho USB cable (Black)</v>
      </c>
      <c r="L306" s="7"/>
      <c r="M306" s="7"/>
      <c r="N306" s="7"/>
      <c r="O306" s="14"/>
      <c r="P306" s="14"/>
    </row>
    <row r="307">
      <c r="A307" s="7" t="s">
        <v>342</v>
      </c>
      <c r="B307" s="7" t="s">
        <v>31</v>
      </c>
      <c r="C307" s="8">
        <v>499.0</v>
      </c>
      <c r="D307" s="8">
        <v>900.0</v>
      </c>
      <c r="E307" s="9">
        <v>0.45</v>
      </c>
      <c r="F307" s="10">
        <v>4.4</v>
      </c>
      <c r="G307" s="11">
        <v>2165.0</v>
      </c>
      <c r="I307" s="7"/>
      <c r="J307" s="7"/>
      <c r="K307" s="13" t="str">
        <f>IF(discount&gt;50%, product, "")</f>
        <v/>
      </c>
      <c r="L307" s="7"/>
      <c r="M307" s="7"/>
      <c r="N307" s="7"/>
      <c r="O307" s="14"/>
      <c r="P307" s="14"/>
    </row>
    <row r="308">
      <c r="A308" s="7" t="s">
        <v>343</v>
      </c>
      <c r="B308" s="7" t="s">
        <v>37</v>
      </c>
      <c r="C308" s="8">
        <v>26999.0</v>
      </c>
      <c r="D308" s="8">
        <v>42999.0</v>
      </c>
      <c r="E308" s="9">
        <v>0.37</v>
      </c>
      <c r="F308" s="10">
        <v>4.2</v>
      </c>
      <c r="G308" s="11">
        <v>1510.0</v>
      </c>
      <c r="I308" s="7"/>
      <c r="J308" s="7"/>
      <c r="K308" s="13" t="str">
        <f>IF(discount&gt;50%, product, "")</f>
        <v/>
      </c>
      <c r="L308" s="7"/>
      <c r="M308" s="7"/>
      <c r="N308" s="7"/>
      <c r="O308" s="14"/>
      <c r="P308" s="14"/>
    </row>
    <row r="309">
      <c r="A309" s="7" t="s">
        <v>344</v>
      </c>
      <c r="B309" s="7" t="s">
        <v>93</v>
      </c>
      <c r="C309" s="8">
        <v>893.0</v>
      </c>
      <c r="D309" s="8">
        <v>1052.0</v>
      </c>
      <c r="E309" s="9">
        <v>0.15</v>
      </c>
      <c r="F309" s="10">
        <v>4.3</v>
      </c>
      <c r="G309" s="10">
        <v>106.0</v>
      </c>
      <c r="I309" s="7"/>
      <c r="J309" s="7"/>
      <c r="K309" s="13" t="str">
        <f>IF(discount&gt;50%, product, "")</f>
        <v/>
      </c>
      <c r="L309" s="7"/>
      <c r="M309" s="7"/>
      <c r="N309" s="7"/>
      <c r="O309" s="14"/>
      <c r="P309" s="14"/>
    </row>
    <row r="310">
      <c r="A310" s="7" t="s">
        <v>345</v>
      </c>
      <c r="B310" s="7" t="s">
        <v>37</v>
      </c>
      <c r="C310" s="8">
        <v>10990.0</v>
      </c>
      <c r="D310" s="8">
        <v>19990.0</v>
      </c>
      <c r="E310" s="9">
        <v>0.45</v>
      </c>
      <c r="F310" s="10">
        <v>3.7</v>
      </c>
      <c r="G310" s="10">
        <v>129.0</v>
      </c>
      <c r="I310" s="7"/>
      <c r="J310" s="7"/>
      <c r="K310" s="13" t="str">
        <f>IF(discount&gt;50%, product, "")</f>
        <v/>
      </c>
      <c r="L310" s="7"/>
      <c r="M310" s="7"/>
      <c r="N310" s="7"/>
      <c r="O310" s="14"/>
      <c r="P310" s="14"/>
    </row>
    <row r="311">
      <c r="A311" s="7" t="s">
        <v>346</v>
      </c>
      <c r="B311" s="7" t="s">
        <v>15</v>
      </c>
      <c r="C311" s="8">
        <v>379.0</v>
      </c>
      <c r="D311" s="8">
        <v>1099.0</v>
      </c>
      <c r="E311" s="9">
        <v>0.66</v>
      </c>
      <c r="F311" s="10">
        <v>4.3</v>
      </c>
      <c r="G311" s="11">
        <v>3049.0</v>
      </c>
      <c r="I311" s="7"/>
      <c r="J311" s="7"/>
      <c r="K311" s="13" t="str">
        <f>IF(discount&gt;50%, product, "")</f>
        <v>Synqe USB Type C Fast Charging Cable 2M Charger Cord Data Cable Compatible with Samsung Galaxy M51,Galaxy M31S, S10e S10 S9 S20 Plus, Note10 9 8,M40 A50 A70, Redmi Note 9, Moto G7, Poco F1 (2M, Grey)</v>
      </c>
      <c r="L311" s="7"/>
      <c r="M311" s="7"/>
      <c r="N311" s="7"/>
      <c r="O311" s="14"/>
      <c r="P311" s="14"/>
    </row>
    <row r="312">
      <c r="A312" s="7" t="s">
        <v>347</v>
      </c>
      <c r="B312" s="7" t="s">
        <v>37</v>
      </c>
      <c r="C312" s="8">
        <v>16999.0</v>
      </c>
      <c r="D312" s="8">
        <v>25999.0</v>
      </c>
      <c r="E312" s="9">
        <v>0.35</v>
      </c>
      <c r="F312" s="10">
        <v>4.2</v>
      </c>
      <c r="G312" s="11">
        <v>32840.0</v>
      </c>
      <c r="I312" s="7"/>
      <c r="J312" s="7"/>
      <c r="K312" s="13" t="str">
        <f>IF(discount&gt;50%, product, "")</f>
        <v/>
      </c>
      <c r="L312" s="7"/>
      <c r="M312" s="7"/>
      <c r="N312" s="7"/>
      <c r="O312" s="14"/>
      <c r="P312" s="14"/>
    </row>
    <row r="313">
      <c r="A313" s="7" t="s">
        <v>348</v>
      </c>
      <c r="B313" s="7" t="s">
        <v>31</v>
      </c>
      <c r="C313" s="8">
        <v>699.0</v>
      </c>
      <c r="D313" s="8">
        <v>1899.0</v>
      </c>
      <c r="E313" s="9">
        <v>0.63</v>
      </c>
      <c r="F313" s="10">
        <v>4.4</v>
      </c>
      <c r="G313" s="10">
        <v>390.0</v>
      </c>
      <c r="I313" s="7"/>
      <c r="J313" s="7"/>
      <c r="K313" s="13" t="str">
        <f>IF(discount&gt;50%, product, "")</f>
        <v>Bestor ® 8K Hdmi 2.1 Cable 48Gbps 9.80Ft/Ultra High Speed Hdmi Braided Cord For Roku Tv/Ps5/Hdtv/Blu-Ray Projector, Laptop, Television, Personal Computer, Xbox, Ps4, Ps5, Ps4 Pro (1 M, Grey)</v>
      </c>
      <c r="L313" s="7"/>
      <c r="M313" s="7"/>
      <c r="N313" s="7"/>
      <c r="O313" s="14"/>
      <c r="P313" s="14"/>
    </row>
    <row r="314">
      <c r="A314" s="7" t="s">
        <v>349</v>
      </c>
      <c r="B314" s="7" t="s">
        <v>350</v>
      </c>
      <c r="C314" s="8">
        <v>2699.0</v>
      </c>
      <c r="D314" s="8">
        <v>3500.0</v>
      </c>
      <c r="E314" s="9">
        <v>0.23</v>
      </c>
      <c r="F314" s="10">
        <v>3.5</v>
      </c>
      <c r="G314" s="10">
        <v>621.0</v>
      </c>
      <c r="I314" s="7"/>
      <c r="J314" s="7"/>
      <c r="K314" s="13" t="str">
        <f>IF(discount&gt;50%, product, "")</f>
        <v/>
      </c>
      <c r="L314" s="7"/>
      <c r="M314" s="7"/>
      <c r="N314" s="7"/>
      <c r="O314" s="14"/>
      <c r="P314" s="14"/>
    </row>
    <row r="315">
      <c r="A315" s="7" t="s">
        <v>351</v>
      </c>
      <c r="B315" s="7" t="s">
        <v>15</v>
      </c>
      <c r="C315" s="8">
        <v>129.0</v>
      </c>
      <c r="D315" s="8">
        <v>599.0</v>
      </c>
      <c r="E315" s="9">
        <v>0.78</v>
      </c>
      <c r="F315" s="10">
        <v>4.1</v>
      </c>
      <c r="G315" s="10">
        <v>265.0</v>
      </c>
      <c r="I315" s="7"/>
      <c r="J315" s="7"/>
      <c r="K315" s="13" t="str">
        <f>IF(discount&gt;50%, product, "")</f>
        <v>Amazon Brand - Solimo Fast Charging Braided Type C Data Cable Seam, Suitable For All Supported Mobile Phones (1 Meter, Black)</v>
      </c>
      <c r="L315" s="7"/>
      <c r="M315" s="7"/>
      <c r="N315" s="7"/>
      <c r="O315" s="14"/>
      <c r="P315" s="14"/>
    </row>
    <row r="316">
      <c r="A316" s="7" t="s">
        <v>352</v>
      </c>
      <c r="B316" s="7" t="s">
        <v>15</v>
      </c>
      <c r="C316" s="8">
        <v>389.0</v>
      </c>
      <c r="D316" s="8">
        <v>999.0</v>
      </c>
      <c r="E316" s="9">
        <v>0.61</v>
      </c>
      <c r="F316" s="10">
        <v>4.3</v>
      </c>
      <c r="G316" s="10">
        <v>838.0</v>
      </c>
      <c r="I316" s="7"/>
      <c r="J316" s="7"/>
      <c r="K316" s="13" t="str">
        <f>IF(discount&gt;50%, product, "")</f>
        <v>Synqe USB C to USB C 60W Nylon Braided Fast Charging Type C to Type C Cable Compatible with Samsung Galaxy Note 20/Ultra, S20 S22 S21 S20 FE A73 A53 A33 (2M, Black)</v>
      </c>
      <c r="L316" s="7"/>
      <c r="M316" s="7"/>
      <c r="N316" s="7"/>
      <c r="O316" s="14"/>
      <c r="P316" s="14"/>
    </row>
    <row r="317">
      <c r="A317" s="7" t="s">
        <v>353</v>
      </c>
      <c r="B317" s="7" t="s">
        <v>71</v>
      </c>
      <c r="C317" s="8">
        <v>246.0</v>
      </c>
      <c r="D317" s="8">
        <v>600.0</v>
      </c>
      <c r="E317" s="9">
        <v>0.59</v>
      </c>
      <c r="F317" s="10">
        <v>4.2</v>
      </c>
      <c r="G317" s="10">
        <v>143.0</v>
      </c>
      <c r="I317" s="7"/>
      <c r="J317" s="7"/>
      <c r="K317" s="13" t="str">
        <f>IF(discount&gt;50%, product, "")</f>
        <v>Shopoflux Silicone Remote Cover for Mi Smart TV and Mi TV Stick/MI Box S / 3S / MI 4X / 4A Smart LED TV (Black)</v>
      </c>
      <c r="L317" s="7"/>
      <c r="M317" s="7"/>
      <c r="N317" s="7"/>
      <c r="O317" s="14"/>
      <c r="P317" s="14"/>
    </row>
    <row r="318">
      <c r="A318" s="7" t="s">
        <v>354</v>
      </c>
      <c r="B318" s="7" t="s">
        <v>15</v>
      </c>
      <c r="C318" s="8">
        <v>299.0</v>
      </c>
      <c r="D318" s="8">
        <v>799.0</v>
      </c>
      <c r="E318" s="9">
        <v>0.63</v>
      </c>
      <c r="F318" s="10">
        <v>4.0</v>
      </c>
      <c r="G318" s="10">
        <v>151.0</v>
      </c>
      <c r="I318" s="7"/>
      <c r="J318" s="7"/>
      <c r="K318" s="13" t="str">
        <f>IF(discount&gt;50%, product, "")</f>
        <v>EYNK Extra Long Micro USB Fast Charging USB Cable | Micro USB Data Cable | Quick Fast Charging Cable | Charger Sync Cable | High Speed Transfer Android Smartphones V8 Cable (2.4 Amp, 3m,) (White)</v>
      </c>
      <c r="L318" s="7"/>
      <c r="M318" s="7"/>
      <c r="N318" s="7"/>
      <c r="O318" s="14"/>
      <c r="P318" s="14"/>
    </row>
    <row r="319">
      <c r="A319" s="7" t="s">
        <v>355</v>
      </c>
      <c r="B319" s="7" t="s">
        <v>71</v>
      </c>
      <c r="C319" s="8">
        <v>247.0</v>
      </c>
      <c r="D319" s="8">
        <v>399.0</v>
      </c>
      <c r="E319" s="9">
        <v>0.38</v>
      </c>
      <c r="F319" s="10">
        <v>3.9</v>
      </c>
      <c r="G319" s="10">
        <v>200.0</v>
      </c>
      <c r="I319" s="7"/>
      <c r="J319" s="7"/>
      <c r="K319" s="13" t="str">
        <f>IF(discount&gt;50%, product, "")</f>
        <v/>
      </c>
      <c r="L319" s="7"/>
      <c r="M319" s="7"/>
      <c r="N319" s="7"/>
      <c r="O319" s="14"/>
      <c r="P319" s="14"/>
    </row>
    <row r="320">
      <c r="A320" s="7" t="s">
        <v>356</v>
      </c>
      <c r="B320" s="7" t="s">
        <v>71</v>
      </c>
      <c r="C320" s="8">
        <v>1369.0</v>
      </c>
      <c r="D320" s="8">
        <v>2999.0</v>
      </c>
      <c r="E320" s="9">
        <v>0.54</v>
      </c>
      <c r="F320" s="10">
        <v>3.3</v>
      </c>
      <c r="G320" s="10">
        <v>227.0</v>
      </c>
      <c r="I320" s="7"/>
      <c r="J320" s="7"/>
      <c r="K320" s="13" t="str">
        <f>IF(discount&gt;50%, product, "")</f>
        <v>7SEVEN® Compatible with Fire Tv Stick Remote with Voice Command Feature Suitable for Second Generation Amazon Fire Tv Stick Remote Only - Pairing Must</v>
      </c>
      <c r="L320" s="7"/>
      <c r="M320" s="7"/>
      <c r="N320" s="7"/>
      <c r="O320" s="14"/>
      <c r="P320" s="14"/>
    </row>
    <row r="321">
      <c r="A321" s="7" t="s">
        <v>357</v>
      </c>
      <c r="B321" s="7" t="s">
        <v>71</v>
      </c>
      <c r="C321" s="8">
        <v>199.0</v>
      </c>
      <c r="D321" s="8">
        <v>499.0</v>
      </c>
      <c r="E321" s="9">
        <v>0.6</v>
      </c>
      <c r="F321" s="10">
        <v>3.8</v>
      </c>
      <c r="G321" s="10">
        <v>538.0</v>
      </c>
      <c r="I321" s="7"/>
      <c r="J321" s="7"/>
      <c r="K321" s="13" t="str">
        <f>IF(discount&gt;50%, product, "")</f>
        <v>PRUSHTI COVER AND BAGS, Protective Case for Airtel Xstream settop Box Remote Remote Control Pouch Cover Holder PU Leather Cover Holder(only Cover for Selling Purpose)</v>
      </c>
      <c r="L321" s="7"/>
      <c r="M321" s="7"/>
      <c r="N321" s="7"/>
      <c r="O321" s="14"/>
      <c r="P321" s="14"/>
    </row>
    <row r="322">
      <c r="A322" s="7" t="s">
        <v>358</v>
      </c>
      <c r="B322" s="7" t="s">
        <v>31</v>
      </c>
      <c r="C322" s="8">
        <v>299.0</v>
      </c>
      <c r="D322" s="8">
        <v>599.0</v>
      </c>
      <c r="E322" s="9">
        <v>0.5</v>
      </c>
      <c r="F322" s="10">
        <v>4.0</v>
      </c>
      <c r="G322" s="10">
        <v>171.0</v>
      </c>
      <c r="I322" s="7"/>
      <c r="J322" s="7"/>
      <c r="K322" s="13" t="str">
        <f>IF(discount&gt;50%, product, "")</f>
        <v/>
      </c>
      <c r="L322" s="7"/>
      <c r="M322" s="7"/>
      <c r="N322" s="7"/>
      <c r="O322" s="14"/>
      <c r="P322" s="14"/>
    </row>
    <row r="323">
      <c r="A323" s="7" t="s">
        <v>359</v>
      </c>
      <c r="B323" s="7" t="s">
        <v>37</v>
      </c>
      <c r="C323" s="8">
        <v>14999.0</v>
      </c>
      <c r="D323" s="8">
        <v>14999.0</v>
      </c>
      <c r="E323" s="9">
        <v>0.0</v>
      </c>
      <c r="F323" s="10">
        <v>4.3</v>
      </c>
      <c r="G323" s="11">
        <v>27508.0</v>
      </c>
      <c r="I323" s="7"/>
      <c r="J323" s="7"/>
      <c r="K323" s="13" t="str">
        <f>IF(discount&gt;50%, product, "")</f>
        <v/>
      </c>
      <c r="L323" s="7"/>
      <c r="M323" s="7"/>
      <c r="N323" s="7"/>
      <c r="O323" s="14"/>
      <c r="P323" s="14"/>
    </row>
    <row r="324">
      <c r="A324" s="7" t="s">
        <v>360</v>
      </c>
      <c r="B324" s="7" t="s">
        <v>15</v>
      </c>
      <c r="C324" s="8">
        <v>299.0</v>
      </c>
      <c r="D324" s="8">
        <v>699.0</v>
      </c>
      <c r="E324" s="9">
        <v>0.57</v>
      </c>
      <c r="F324" s="10">
        <v>3.9</v>
      </c>
      <c r="G324" s="11">
        <v>1454.0</v>
      </c>
      <c r="I324" s="7"/>
      <c r="J324" s="7"/>
      <c r="K324" s="13" t="str">
        <f>IF(discount&gt;50%, product, "")</f>
        <v>Storite USB 2.0 A to Mini 5 pin B Cable for External HDDS/Camera/Card Readers (150cm - 1.5M)</v>
      </c>
      <c r="L324" s="7"/>
      <c r="M324" s="7"/>
      <c r="N324" s="7"/>
      <c r="O324" s="14"/>
      <c r="P324" s="14"/>
    </row>
    <row r="325">
      <c r="A325" s="7" t="s">
        <v>361</v>
      </c>
      <c r="B325" s="7" t="s">
        <v>37</v>
      </c>
      <c r="C325" s="8">
        <v>24990.0</v>
      </c>
      <c r="D325" s="8">
        <v>51990.0</v>
      </c>
      <c r="E325" s="9">
        <v>0.52</v>
      </c>
      <c r="F325" s="10">
        <v>4.2</v>
      </c>
      <c r="G325" s="11">
        <v>2951.0</v>
      </c>
      <c r="I325" s="7"/>
      <c r="J325" s="7"/>
      <c r="K325" s="13" t="str">
        <f>IF(discount&gt;50%, product, "")</f>
        <v>TCL 108 cm (43 inches) 4K Ultra HD Certified Android Smart LED TV 43P615 (Black)</v>
      </c>
      <c r="L325" s="7"/>
      <c r="M325" s="7"/>
      <c r="N325" s="7"/>
      <c r="O325" s="14"/>
      <c r="P325" s="14"/>
    </row>
    <row r="326">
      <c r="A326" s="7" t="s">
        <v>362</v>
      </c>
      <c r="B326" s="7" t="s">
        <v>15</v>
      </c>
      <c r="C326" s="8">
        <v>249.0</v>
      </c>
      <c r="D326" s="8">
        <v>999.0</v>
      </c>
      <c r="E326" s="9">
        <v>0.75</v>
      </c>
      <c r="F326" s="10">
        <v>5.0</v>
      </c>
      <c r="G326" s="7"/>
      <c r="I326" s="7"/>
      <c r="J326" s="7"/>
      <c r="K326" s="13" t="str">
        <f>IF(discount&gt;50%, product, "")</f>
        <v>REDTECH USB-C to Lightning Cable 3.3FT, [Apple MFi Certified] Lightning to Type C Fast Charging Cord Compatible with iPhone 14/13/13 pro/Max/12/11/X/XS/XR/8, Supports Power Delivery - White</v>
      </c>
      <c r="L326" s="7"/>
      <c r="M326" s="7"/>
      <c r="N326" s="7"/>
      <c r="O326" s="14"/>
      <c r="P326" s="14"/>
    </row>
    <row r="327">
      <c r="A327" s="7" t="s">
        <v>363</v>
      </c>
      <c r="B327" s="7" t="s">
        <v>37</v>
      </c>
      <c r="C327" s="8">
        <v>61999.0</v>
      </c>
      <c r="D327" s="8">
        <v>69999.0</v>
      </c>
      <c r="E327" s="9">
        <v>0.11</v>
      </c>
      <c r="F327" s="10">
        <v>4.1</v>
      </c>
      <c r="G327" s="11">
        <v>6753.0</v>
      </c>
      <c r="I327" s="7"/>
      <c r="J327" s="7"/>
      <c r="K327" s="13" t="str">
        <f>IF(discount&gt;50%, product, "")</f>
        <v/>
      </c>
      <c r="L327" s="7"/>
      <c r="M327" s="7"/>
      <c r="N327" s="7"/>
      <c r="O327" s="14"/>
      <c r="P327" s="14"/>
    </row>
    <row r="328">
      <c r="A328" s="7" t="s">
        <v>364</v>
      </c>
      <c r="B328" s="7" t="s">
        <v>37</v>
      </c>
      <c r="C328" s="8">
        <v>24499.0</v>
      </c>
      <c r="D328" s="8">
        <v>50000.0</v>
      </c>
      <c r="E328" s="9">
        <v>0.51</v>
      </c>
      <c r="F328" s="10">
        <v>3.9</v>
      </c>
      <c r="G328" s="11">
        <v>3518.0</v>
      </c>
      <c r="I328" s="7"/>
      <c r="J328" s="7"/>
      <c r="K328" s="13" t="str">
        <f>IF(discount&gt;50%, product, "")</f>
        <v>AmazonBasics 108 cm (43 inches) 4K Ultra HD Smart LED Fire TV AB43U20PS (Black)</v>
      </c>
      <c r="L328" s="7"/>
      <c r="M328" s="7"/>
      <c r="N328" s="7"/>
      <c r="O328" s="14"/>
      <c r="P328" s="14"/>
    </row>
    <row r="329">
      <c r="A329" s="7" t="s">
        <v>365</v>
      </c>
      <c r="B329" s="7" t="s">
        <v>37</v>
      </c>
      <c r="C329" s="8">
        <v>10499.0</v>
      </c>
      <c r="D329" s="8">
        <v>19499.0</v>
      </c>
      <c r="E329" s="9">
        <v>0.46</v>
      </c>
      <c r="F329" s="10">
        <v>4.2</v>
      </c>
      <c r="G329" s="11">
        <v>1510.0</v>
      </c>
      <c r="I329" s="7"/>
      <c r="J329" s="7"/>
      <c r="K329" s="13" t="str">
        <f>IF(discount&gt;50%, product, "")</f>
        <v/>
      </c>
      <c r="L329" s="7"/>
      <c r="M329" s="7"/>
      <c r="N329" s="7"/>
      <c r="O329" s="14"/>
      <c r="P329" s="14"/>
    </row>
    <row r="330">
      <c r="A330" s="7" t="s">
        <v>366</v>
      </c>
      <c r="B330" s="7" t="s">
        <v>15</v>
      </c>
      <c r="C330" s="8">
        <v>349.0</v>
      </c>
      <c r="D330" s="8">
        <v>999.0</v>
      </c>
      <c r="E330" s="9">
        <v>0.65</v>
      </c>
      <c r="F330" s="10">
        <v>4.3</v>
      </c>
      <c r="G330" s="10">
        <v>838.0</v>
      </c>
      <c r="I330" s="7"/>
      <c r="J330" s="7"/>
      <c r="K330" s="13" t="str">
        <f>IF(discount&gt;50%, product, "")</f>
        <v>Synqe Type C to Type C Short Fast Charging 60W Cable Compatible with Samsung Galaxy Z Fold3 5G, Z Flip3 5G, S22 5G, S22 Ultra, S21, S20, S20FE, A52, A73, A53 (0.25M, Black)</v>
      </c>
      <c r="L330" s="7"/>
      <c r="M330" s="7"/>
      <c r="N330" s="7"/>
      <c r="O330" s="14"/>
      <c r="P330" s="14"/>
    </row>
    <row r="331">
      <c r="A331" s="7" t="s">
        <v>367</v>
      </c>
      <c r="B331" s="7" t="s">
        <v>71</v>
      </c>
      <c r="C331" s="8">
        <v>197.0</v>
      </c>
      <c r="D331" s="8">
        <v>499.0</v>
      </c>
      <c r="E331" s="9">
        <v>0.61</v>
      </c>
      <c r="F331" s="10">
        <v>3.8</v>
      </c>
      <c r="G331" s="10">
        <v>136.0</v>
      </c>
      <c r="I331" s="7"/>
      <c r="J331" s="7"/>
      <c r="K331" s="13" t="str">
        <f>IF(discount&gt;50%, product, "")</f>
        <v>Airtel DigitalTV HD Setup Box Remote</v>
      </c>
      <c r="L331" s="7"/>
      <c r="M331" s="7"/>
      <c r="N331" s="7"/>
      <c r="O331" s="14"/>
      <c r="P331" s="14"/>
    </row>
    <row r="332">
      <c r="A332" s="7" t="s">
        <v>368</v>
      </c>
      <c r="B332" s="7" t="s">
        <v>257</v>
      </c>
      <c r="C332" s="8">
        <v>1299.0</v>
      </c>
      <c r="D332" s="8">
        <v>2499.0</v>
      </c>
      <c r="E332" s="9">
        <v>0.48</v>
      </c>
      <c r="F332" s="10">
        <v>4.3</v>
      </c>
      <c r="G332" s="10">
        <v>301.0</v>
      </c>
      <c r="I332" s="7"/>
      <c r="J332" s="7"/>
      <c r="K332" s="13" t="str">
        <f>IF(discount&gt;50%, product, "")</f>
        <v/>
      </c>
      <c r="L332" s="7"/>
      <c r="M332" s="7"/>
      <c r="N332" s="7"/>
      <c r="O332" s="14"/>
      <c r="P332" s="14"/>
    </row>
    <row r="333">
      <c r="A333" s="7" t="s">
        <v>369</v>
      </c>
      <c r="B333" s="7" t="s">
        <v>15</v>
      </c>
      <c r="C333" s="8">
        <v>1519.0</v>
      </c>
      <c r="D333" s="8">
        <v>1899.0</v>
      </c>
      <c r="E333" s="9">
        <v>0.2</v>
      </c>
      <c r="F333" s="10">
        <v>4.4</v>
      </c>
      <c r="G333" s="11">
        <v>19763.0</v>
      </c>
      <c r="I333" s="7"/>
      <c r="J333" s="7"/>
      <c r="K333" s="13" t="str">
        <f>IF(discount&gt;50%, product, "")</f>
        <v/>
      </c>
      <c r="L333" s="7"/>
      <c r="M333" s="7"/>
      <c r="N333" s="7"/>
      <c r="O333" s="14"/>
      <c r="P333" s="14"/>
    </row>
    <row r="334">
      <c r="A334" s="7" t="s">
        <v>370</v>
      </c>
      <c r="B334" s="7" t="s">
        <v>37</v>
      </c>
      <c r="C334" s="8">
        <v>46999.0</v>
      </c>
      <c r="D334" s="8">
        <v>69999.0</v>
      </c>
      <c r="E334" s="9">
        <v>0.33</v>
      </c>
      <c r="F334" s="10">
        <v>4.3</v>
      </c>
      <c r="G334" s="11">
        <v>21252.0</v>
      </c>
      <c r="I334" s="7"/>
      <c r="J334" s="7"/>
      <c r="K334" s="13" t="str">
        <f>IF(discount&gt;50%, product, "")</f>
        <v/>
      </c>
      <c r="L334" s="7"/>
      <c r="M334" s="7"/>
      <c r="N334" s="7"/>
      <c r="O334" s="14"/>
      <c r="P334" s="14"/>
    </row>
    <row r="335">
      <c r="A335" s="7" t="s">
        <v>371</v>
      </c>
      <c r="B335" s="7" t="s">
        <v>15</v>
      </c>
      <c r="C335" s="8">
        <v>299.0</v>
      </c>
      <c r="D335" s="8">
        <v>799.0</v>
      </c>
      <c r="E335" s="9">
        <v>0.63</v>
      </c>
      <c r="F335" s="10">
        <v>4.3</v>
      </c>
      <c r="G335" s="11">
        <v>1902.0</v>
      </c>
      <c r="I335" s="7"/>
      <c r="J335" s="7"/>
      <c r="K335" s="13" t="str">
        <f>IF(discount&gt;50%, product, "")</f>
        <v>Storite USB Extension Cable USB 3.0 Male to Female Extension Cable High Speed 5GBps Extension Cable Data Transfer for Keyboard, Mouse, Flash Drive, Hard Drive, Printer and More- 1.5M - Blue</v>
      </c>
      <c r="L335" s="7"/>
      <c r="M335" s="7"/>
      <c r="N335" s="7"/>
      <c r="O335" s="14"/>
      <c r="P335" s="14"/>
    </row>
    <row r="336">
      <c r="A336" s="7" t="s">
        <v>372</v>
      </c>
      <c r="B336" s="7" t="s">
        <v>373</v>
      </c>
      <c r="C336" s="8">
        <v>1799.0</v>
      </c>
      <c r="D336" s="8">
        <v>19999.0</v>
      </c>
      <c r="E336" s="9">
        <v>0.91</v>
      </c>
      <c r="F336" s="10">
        <v>4.2</v>
      </c>
      <c r="G336" s="11">
        <v>13937.0</v>
      </c>
      <c r="I336" s="7"/>
      <c r="J336" s="7"/>
      <c r="K336" s="13" t="str">
        <f>IF(discount&gt;50%, product, "")</f>
        <v>Fire-Boltt Ninja Call Pro Plus 1.83" Smart Watch with Bluetooth Calling, AI Voice Assistance, 100 Sports Modes IP67 Rating, 240*280 Pixel High Resolution</v>
      </c>
      <c r="L336" s="7"/>
      <c r="M336" s="7"/>
      <c r="N336" s="7"/>
      <c r="O336" s="14"/>
      <c r="P336" s="14"/>
    </row>
    <row r="337">
      <c r="A337" s="7" t="s">
        <v>374</v>
      </c>
      <c r="B337" s="7" t="s">
        <v>373</v>
      </c>
      <c r="C337" s="8">
        <v>1998.0</v>
      </c>
      <c r="D337" s="8">
        <v>9999.0</v>
      </c>
      <c r="E337" s="9">
        <v>0.8</v>
      </c>
      <c r="F337" s="10">
        <v>4.3</v>
      </c>
      <c r="G337" s="11">
        <v>27696.0</v>
      </c>
      <c r="I337" s="7"/>
      <c r="J337" s="7"/>
      <c r="K337" s="13" t="str">
        <f>IF(discount&gt;50%, product, "")</f>
        <v>Fire-Boltt Phoenix Smart Watch with Bluetooth Calling 1.3",120+ Sports Modes, 240*240 PX High Res with SpO2, Heart Rate Monitoring &amp; IP67 Rating</v>
      </c>
      <c r="L337" s="7"/>
      <c r="M337" s="7"/>
      <c r="N337" s="7"/>
      <c r="O337" s="14"/>
      <c r="P337" s="14"/>
    </row>
    <row r="338">
      <c r="A338" s="7" t="s">
        <v>375</v>
      </c>
      <c r="B338" s="7" t="s">
        <v>373</v>
      </c>
      <c r="C338" s="8">
        <v>1999.0</v>
      </c>
      <c r="D338" s="8">
        <v>7990.0</v>
      </c>
      <c r="E338" s="9">
        <v>0.75</v>
      </c>
      <c r="F338" s="10">
        <v>3.8</v>
      </c>
      <c r="G338" s="11">
        <v>17831.0</v>
      </c>
      <c r="I338" s="7"/>
      <c r="J338" s="7"/>
      <c r="K338" s="13" t="str">
        <f>IF(discount&gt;50%, product, "")</f>
        <v>boAt Wave Call Smart Watch, Smart Talk with Advanced Dedicated Bluetooth Calling Chip, 1.69” HD Display with 550 NITS &amp; 70% Color Gamut, 150+ Watch Faces, Multi-Sport Modes,HR,SpO2, IP68(Active Black)</v>
      </c>
      <c r="L338" s="7"/>
      <c r="M338" s="7"/>
      <c r="N338" s="7"/>
      <c r="O338" s="14"/>
      <c r="P338" s="14"/>
    </row>
    <row r="339">
      <c r="A339" s="7" t="s">
        <v>376</v>
      </c>
      <c r="B339" s="7" t="s">
        <v>377</v>
      </c>
      <c r="C339" s="8">
        <v>2049.0</v>
      </c>
      <c r="D339" s="8">
        <v>2199.0</v>
      </c>
      <c r="E339" s="9">
        <v>0.07</v>
      </c>
      <c r="F339" s="10">
        <v>4.3</v>
      </c>
      <c r="G339" s="7" t="s">
        <v>378</v>
      </c>
      <c r="I339" s="7"/>
      <c r="J339" s="7"/>
      <c r="K339" s="13" t="str">
        <f>IF(discount&gt;50%, product, "")</f>
        <v/>
      </c>
      <c r="L339" s="7"/>
      <c r="M339" s="7"/>
      <c r="N339" s="7"/>
      <c r="O339" s="14"/>
      <c r="P339" s="14"/>
    </row>
    <row r="340">
      <c r="A340" s="7" t="s">
        <v>379</v>
      </c>
      <c r="B340" s="7" t="s">
        <v>380</v>
      </c>
      <c r="C340" s="8">
        <v>6499.0</v>
      </c>
      <c r="D340" s="8">
        <v>8999.0</v>
      </c>
      <c r="E340" s="9">
        <v>0.28</v>
      </c>
      <c r="F340" s="10">
        <v>4.0</v>
      </c>
      <c r="G340" s="11">
        <v>7807.0</v>
      </c>
      <c r="I340" s="7"/>
      <c r="J340" s="7"/>
      <c r="K340" s="13" t="str">
        <f>IF(discount&gt;50%, product, "")</f>
        <v/>
      </c>
      <c r="L340" s="7"/>
      <c r="M340" s="7"/>
      <c r="N340" s="7"/>
      <c r="O340" s="14"/>
      <c r="P340" s="14"/>
    </row>
    <row r="341">
      <c r="A341" s="7" t="s">
        <v>381</v>
      </c>
      <c r="B341" s="7" t="s">
        <v>380</v>
      </c>
      <c r="C341" s="8">
        <v>28999.0</v>
      </c>
      <c r="D341" s="8">
        <v>28999.0</v>
      </c>
      <c r="E341" s="9">
        <v>0.0</v>
      </c>
      <c r="F341" s="10">
        <v>4.3</v>
      </c>
      <c r="G341" s="11">
        <v>17415.0</v>
      </c>
      <c r="I341" s="7"/>
      <c r="J341" s="7"/>
      <c r="K341" s="13" t="str">
        <f>IF(discount&gt;50%, product, "")</f>
        <v/>
      </c>
      <c r="L341" s="7"/>
      <c r="M341" s="7"/>
      <c r="N341" s="7"/>
      <c r="O341" s="14"/>
      <c r="P341" s="14"/>
    </row>
    <row r="342">
      <c r="A342" s="7" t="s">
        <v>382</v>
      </c>
      <c r="B342" s="7" t="s">
        <v>380</v>
      </c>
      <c r="C342" s="8">
        <v>28999.0</v>
      </c>
      <c r="D342" s="8">
        <v>28999.0</v>
      </c>
      <c r="E342" s="9">
        <v>0.0</v>
      </c>
      <c r="F342" s="10">
        <v>4.3</v>
      </c>
      <c r="G342" s="11">
        <v>17415.0</v>
      </c>
      <c r="I342" s="7"/>
      <c r="J342" s="7"/>
      <c r="K342" s="13" t="str">
        <f>IF(discount&gt;50%, product, "")</f>
        <v/>
      </c>
      <c r="L342" s="7"/>
      <c r="M342" s="7"/>
      <c r="N342" s="7"/>
      <c r="O342" s="14"/>
      <c r="P342" s="14"/>
    </row>
    <row r="343">
      <c r="A343" s="7" t="s">
        <v>383</v>
      </c>
      <c r="B343" s="7" t="s">
        <v>380</v>
      </c>
      <c r="C343" s="8">
        <v>6499.0</v>
      </c>
      <c r="D343" s="8">
        <v>8999.0</v>
      </c>
      <c r="E343" s="9">
        <v>0.28</v>
      </c>
      <c r="F343" s="10">
        <v>4.0</v>
      </c>
      <c r="G343" s="11">
        <v>7807.0</v>
      </c>
      <c r="I343" s="7"/>
      <c r="J343" s="7"/>
      <c r="K343" s="13" t="str">
        <f>IF(discount&gt;50%, product, "")</f>
        <v/>
      </c>
      <c r="L343" s="7"/>
      <c r="M343" s="7"/>
      <c r="N343" s="7"/>
      <c r="O343" s="14"/>
      <c r="P343" s="14"/>
    </row>
    <row r="344">
      <c r="A344" s="7" t="s">
        <v>384</v>
      </c>
      <c r="B344" s="7" t="s">
        <v>380</v>
      </c>
      <c r="C344" s="8">
        <v>6499.0</v>
      </c>
      <c r="D344" s="8">
        <v>8999.0</v>
      </c>
      <c r="E344" s="9">
        <v>0.28</v>
      </c>
      <c r="F344" s="10">
        <v>4.0</v>
      </c>
      <c r="G344" s="11">
        <v>7807.0</v>
      </c>
      <c r="I344" s="7"/>
      <c r="J344" s="7"/>
      <c r="K344" s="13" t="str">
        <f>IF(discount&gt;50%, product, "")</f>
        <v/>
      </c>
      <c r="L344" s="7"/>
      <c r="M344" s="7"/>
      <c r="N344" s="7"/>
      <c r="O344" s="14"/>
      <c r="P344" s="14"/>
    </row>
    <row r="345">
      <c r="A345" s="7" t="s">
        <v>385</v>
      </c>
      <c r="B345" s="7" t="s">
        <v>386</v>
      </c>
      <c r="C345" s="8">
        <v>569.0</v>
      </c>
      <c r="D345" s="8">
        <v>1000.0</v>
      </c>
      <c r="E345" s="9">
        <v>0.43</v>
      </c>
      <c r="F345" s="10">
        <v>4.4</v>
      </c>
      <c r="G345" s="11">
        <v>67259.0</v>
      </c>
      <c r="I345" s="7"/>
      <c r="J345" s="7"/>
      <c r="K345" s="13" t="str">
        <f>IF(discount&gt;50%, product, "")</f>
        <v/>
      </c>
      <c r="L345" s="7"/>
      <c r="M345" s="7"/>
      <c r="N345" s="7"/>
      <c r="O345" s="14"/>
      <c r="P345" s="14"/>
    </row>
    <row r="346">
      <c r="A346" s="7" t="s">
        <v>387</v>
      </c>
      <c r="B346" s="7" t="s">
        <v>373</v>
      </c>
      <c r="C346" s="8">
        <v>1898.0</v>
      </c>
      <c r="D346" s="8">
        <v>4999.0</v>
      </c>
      <c r="E346" s="9">
        <v>0.62</v>
      </c>
      <c r="F346" s="10">
        <v>4.1</v>
      </c>
      <c r="G346" s="11">
        <v>10689.0</v>
      </c>
      <c r="I346" s="7"/>
      <c r="J346" s="7"/>
      <c r="K346" s="13" t="str">
        <f>IF(discount&gt;50%, product, "")</f>
        <v>Noise Pulse Go Buzz Smart Watch Bluetooth Calling with 1.69" Display, 550 NITS, 150+ Cloud Watch Face, SPo2, Heart Rate Tracking, 100 Sports Mode with Auto Detection, Longer Battery (Jet Black)</v>
      </c>
      <c r="L346" s="7"/>
      <c r="M346" s="7"/>
      <c r="N346" s="7"/>
      <c r="O346" s="14"/>
      <c r="P346" s="14"/>
    </row>
    <row r="347">
      <c r="A347" s="7" t="s">
        <v>388</v>
      </c>
      <c r="B347" s="7" t="s">
        <v>389</v>
      </c>
      <c r="C347" s="8">
        <v>1299.0</v>
      </c>
      <c r="D347" s="8">
        <v>1599.0</v>
      </c>
      <c r="E347" s="9">
        <v>0.19</v>
      </c>
      <c r="F347" s="10">
        <v>4.0</v>
      </c>
      <c r="G347" s="7" t="s">
        <v>390</v>
      </c>
      <c r="I347" s="7"/>
      <c r="J347" s="7"/>
      <c r="K347" s="13" t="str">
        <f>IF(discount&gt;50%, product, "")</f>
        <v/>
      </c>
      <c r="L347" s="7"/>
      <c r="M347" s="7"/>
      <c r="N347" s="7"/>
      <c r="O347" s="14"/>
      <c r="P347" s="14"/>
    </row>
    <row r="348">
      <c r="A348" s="7" t="s">
        <v>391</v>
      </c>
      <c r="B348" s="7" t="s">
        <v>373</v>
      </c>
      <c r="C348" s="8">
        <v>1499.0</v>
      </c>
      <c r="D348" s="8">
        <v>6990.0</v>
      </c>
      <c r="E348" s="9">
        <v>0.79</v>
      </c>
      <c r="F348" s="10">
        <v>3.9</v>
      </c>
      <c r="G348" s="11">
        <v>21796.0</v>
      </c>
      <c r="I348" s="7"/>
      <c r="J348" s="7"/>
      <c r="K348" s="13" t="str">
        <f>IF(discount&gt;50%, product, "")</f>
        <v>boAt Wave Lite Smartwatch with 1.69" HD Display, Sleek Metal Body, HR &amp; SpO2 Level Monitor, 140+ Watch Faces, Activity Tracker, Multiple Sports Modes, IP68 &amp; 7 Days Battery Life(Active Black)</v>
      </c>
      <c r="L348" s="7"/>
      <c r="M348" s="7"/>
      <c r="N348" s="7"/>
      <c r="O348" s="14"/>
      <c r="P348" s="14"/>
    </row>
    <row r="349">
      <c r="A349" s="7" t="s">
        <v>392</v>
      </c>
      <c r="B349" s="7" t="s">
        <v>393</v>
      </c>
      <c r="C349" s="8">
        <v>599.0</v>
      </c>
      <c r="D349" s="8">
        <v>999.0</v>
      </c>
      <c r="E349" s="9">
        <v>0.4</v>
      </c>
      <c r="F349" s="10">
        <v>4.1</v>
      </c>
      <c r="G349" s="7" t="s">
        <v>394</v>
      </c>
      <c r="I349" s="7"/>
      <c r="J349" s="7"/>
      <c r="K349" s="13" t="str">
        <f>IF(discount&gt;50%, product, "")</f>
        <v/>
      </c>
      <c r="L349" s="7"/>
      <c r="M349" s="7"/>
      <c r="N349" s="7"/>
      <c r="O349" s="14"/>
      <c r="P349" s="14"/>
    </row>
    <row r="350">
      <c r="A350" s="7" t="s">
        <v>395</v>
      </c>
      <c r="B350" s="7" t="s">
        <v>380</v>
      </c>
      <c r="C350" s="8">
        <v>9499.0</v>
      </c>
      <c r="D350" s="8">
        <v>11999.0</v>
      </c>
      <c r="E350" s="9">
        <v>0.21</v>
      </c>
      <c r="F350" s="10">
        <v>4.2</v>
      </c>
      <c r="G350" s="10">
        <v>284.0</v>
      </c>
      <c r="I350" s="7"/>
      <c r="J350" s="7"/>
      <c r="K350" s="13" t="str">
        <f>IF(discount&gt;50%, product, "")</f>
        <v/>
      </c>
      <c r="L350" s="7"/>
      <c r="M350" s="7"/>
      <c r="N350" s="7"/>
      <c r="O350" s="14"/>
      <c r="P350" s="14"/>
    </row>
    <row r="351">
      <c r="A351" s="7" t="s">
        <v>396</v>
      </c>
      <c r="B351" s="7" t="s">
        <v>393</v>
      </c>
      <c r="C351" s="8">
        <v>599.0</v>
      </c>
      <c r="D351" s="8">
        <v>2499.0</v>
      </c>
      <c r="E351" s="9">
        <v>0.76</v>
      </c>
      <c r="F351" s="10">
        <v>3.9</v>
      </c>
      <c r="G351" s="11">
        <v>58162.0</v>
      </c>
      <c r="I351" s="7"/>
      <c r="J351" s="7"/>
      <c r="K351" s="13" t="str">
        <f>IF(discount&gt;50%, product, "")</f>
        <v>PTron Tangentbeat in-Ear Bluetooth 5.0 Wireless Headphones with Mic, Enhanced Bass, 10mm Drivers, Clear Calls, Snug-Fit, Fast Charging, Magnetic Buds, Voice Assistant &amp; IPX4 Wireless Neckband (Black)</v>
      </c>
      <c r="L351" s="7"/>
      <c r="M351" s="7"/>
      <c r="N351" s="7"/>
      <c r="O351" s="14"/>
      <c r="P351" s="14"/>
    </row>
    <row r="352">
      <c r="A352" s="7" t="s">
        <v>397</v>
      </c>
      <c r="B352" s="7" t="s">
        <v>380</v>
      </c>
      <c r="C352" s="8">
        <v>8999.0</v>
      </c>
      <c r="D352" s="8">
        <v>11999.0</v>
      </c>
      <c r="E352" s="9">
        <v>0.25</v>
      </c>
      <c r="F352" s="10">
        <v>4.0</v>
      </c>
      <c r="G352" s="11">
        <v>12796.0</v>
      </c>
      <c r="I352" s="7"/>
      <c r="J352" s="7"/>
      <c r="K352" s="13" t="str">
        <f>IF(discount&gt;50%, product, "")</f>
        <v/>
      </c>
      <c r="L352" s="7"/>
      <c r="M352" s="7"/>
      <c r="N352" s="7"/>
      <c r="O352" s="14"/>
      <c r="P352" s="14"/>
    </row>
    <row r="353">
      <c r="A353" s="7" t="s">
        <v>398</v>
      </c>
      <c r="B353" s="7" t="s">
        <v>399</v>
      </c>
      <c r="C353" s="8">
        <v>349.0</v>
      </c>
      <c r="D353" s="8">
        <v>1299.0</v>
      </c>
      <c r="E353" s="9">
        <v>0.73</v>
      </c>
      <c r="F353" s="10">
        <v>4.0</v>
      </c>
      <c r="G353" s="11">
        <v>14282.0</v>
      </c>
      <c r="I353" s="7"/>
      <c r="J353" s="7"/>
      <c r="K353" s="13" t="str">
        <f>IF(discount&gt;50%, product, "")</f>
        <v>pTron Bullet Pro 36W PD Quick Charger, 3 Port Fast Car Charger Adapter - Compatible with All Smartphones &amp; Tablets (Black)</v>
      </c>
      <c r="L353" s="7"/>
      <c r="M353" s="7"/>
      <c r="N353" s="7"/>
      <c r="O353" s="14"/>
      <c r="P353" s="14"/>
    </row>
    <row r="354">
      <c r="A354" s="7" t="s">
        <v>400</v>
      </c>
      <c r="B354" s="7" t="s">
        <v>393</v>
      </c>
      <c r="C354" s="8">
        <v>349.0</v>
      </c>
      <c r="D354" s="8">
        <v>999.0</v>
      </c>
      <c r="E354" s="9">
        <v>0.65</v>
      </c>
      <c r="F354" s="10">
        <v>4.1</v>
      </c>
      <c r="G354" s="7" t="s">
        <v>401</v>
      </c>
      <c r="I354" s="7"/>
      <c r="J354" s="7"/>
      <c r="K354" s="13" t="str">
        <f>IF(discount&gt;50%, product, "")</f>
        <v>boAt Bassheads 100 in Ear Wired Earphones with Mic(Taffy Pink)</v>
      </c>
      <c r="L354" s="7"/>
      <c r="M354" s="7"/>
      <c r="N354" s="7"/>
      <c r="O354" s="14"/>
      <c r="P354" s="14"/>
    </row>
    <row r="355">
      <c r="A355" s="7" t="s">
        <v>402</v>
      </c>
      <c r="B355" s="7" t="s">
        <v>386</v>
      </c>
      <c r="C355" s="8">
        <v>959.0</v>
      </c>
      <c r="D355" s="8">
        <v>1800.0</v>
      </c>
      <c r="E355" s="9">
        <v>0.47</v>
      </c>
      <c r="F355" s="10">
        <v>4.4</v>
      </c>
      <c r="G355" s="11">
        <v>67259.0</v>
      </c>
      <c r="I355" s="7"/>
      <c r="J355" s="7"/>
      <c r="K355" s="13" t="str">
        <f>IF(discount&gt;50%, product, "")</f>
        <v/>
      </c>
      <c r="L355" s="7"/>
      <c r="M355" s="7"/>
      <c r="N355" s="7"/>
      <c r="O355" s="14"/>
      <c r="P355" s="14"/>
    </row>
    <row r="356">
      <c r="A356" s="7" t="s">
        <v>403</v>
      </c>
      <c r="B356" s="7" t="s">
        <v>380</v>
      </c>
      <c r="C356" s="8">
        <v>9499.0</v>
      </c>
      <c r="D356" s="8">
        <v>11999.0</v>
      </c>
      <c r="E356" s="9">
        <v>0.21</v>
      </c>
      <c r="F356" s="10">
        <v>4.2</v>
      </c>
      <c r="G356" s="10">
        <v>284.0</v>
      </c>
      <c r="I356" s="7"/>
      <c r="J356" s="7"/>
      <c r="K356" s="13" t="str">
        <f>IF(discount&gt;50%, product, "")</f>
        <v/>
      </c>
      <c r="L356" s="7"/>
      <c r="M356" s="7"/>
      <c r="N356" s="7"/>
      <c r="O356" s="14"/>
      <c r="P356" s="14"/>
    </row>
    <row r="357">
      <c r="A357" s="7" t="s">
        <v>404</v>
      </c>
      <c r="B357" s="7" t="s">
        <v>377</v>
      </c>
      <c r="C357" s="8">
        <v>1499.0</v>
      </c>
      <c r="D357" s="8">
        <v>2499.0</v>
      </c>
      <c r="E357" s="9">
        <v>0.4</v>
      </c>
      <c r="F357" s="10">
        <v>4.3</v>
      </c>
      <c r="G357" s="11">
        <v>15970.0</v>
      </c>
      <c r="I357" s="7"/>
      <c r="J357" s="7"/>
      <c r="K357" s="13" t="str">
        <f>IF(discount&gt;50%, product, "")</f>
        <v/>
      </c>
      <c r="L357" s="7"/>
      <c r="M357" s="7"/>
      <c r="N357" s="7"/>
      <c r="O357" s="14"/>
      <c r="P357" s="14"/>
    </row>
    <row r="358">
      <c r="A358" s="7" t="s">
        <v>405</v>
      </c>
      <c r="B358" s="7" t="s">
        <v>377</v>
      </c>
      <c r="C358" s="8">
        <v>1149.0</v>
      </c>
      <c r="D358" s="8">
        <v>2199.0</v>
      </c>
      <c r="E358" s="9">
        <v>0.48</v>
      </c>
      <c r="F358" s="10">
        <v>4.3</v>
      </c>
      <c r="G358" s="7" t="s">
        <v>378</v>
      </c>
      <c r="I358" s="7"/>
      <c r="J358" s="7"/>
      <c r="K358" s="13" t="str">
        <f>IF(discount&gt;50%, product, "")</f>
        <v/>
      </c>
      <c r="L358" s="7"/>
      <c r="M358" s="7"/>
      <c r="N358" s="7"/>
      <c r="O358" s="14"/>
      <c r="P358" s="14"/>
    </row>
    <row r="359">
      <c r="A359" s="7" t="s">
        <v>406</v>
      </c>
      <c r="B359" s="7" t="s">
        <v>407</v>
      </c>
      <c r="C359" s="8">
        <v>349.0</v>
      </c>
      <c r="D359" s="8">
        <v>999.0</v>
      </c>
      <c r="E359" s="9">
        <v>0.65</v>
      </c>
      <c r="F359" s="10">
        <v>3.9</v>
      </c>
      <c r="G359" s="11">
        <v>46399.0</v>
      </c>
      <c r="I359" s="7"/>
      <c r="J359" s="7"/>
      <c r="K359" s="13" t="str">
        <f>IF(discount&gt;50%, product, "")</f>
        <v>ELV Car Mount Adjustable Car Phone Holder Universal Long Arm, Windshield for Smartphones - Black</v>
      </c>
      <c r="L359" s="7"/>
      <c r="M359" s="7"/>
      <c r="N359" s="7"/>
      <c r="O359" s="14"/>
      <c r="P359" s="14"/>
    </row>
    <row r="360">
      <c r="A360" s="7" t="s">
        <v>408</v>
      </c>
      <c r="B360" s="7" t="s">
        <v>409</v>
      </c>
      <c r="C360" s="8">
        <v>1219.0</v>
      </c>
      <c r="D360" s="8">
        <v>1699.0</v>
      </c>
      <c r="E360" s="9">
        <v>0.28</v>
      </c>
      <c r="F360" s="10">
        <v>4.4</v>
      </c>
      <c r="G360" s="11">
        <v>8891.0</v>
      </c>
      <c r="I360" s="7"/>
      <c r="J360" s="7"/>
      <c r="K360" s="13" t="str">
        <f>IF(discount&gt;50%, product, "")</f>
        <v/>
      </c>
      <c r="L360" s="7"/>
      <c r="M360" s="7"/>
      <c r="N360" s="7"/>
      <c r="O360" s="14"/>
      <c r="P360" s="14"/>
    </row>
    <row r="361">
      <c r="A361" s="7" t="s">
        <v>410</v>
      </c>
      <c r="B361" s="7" t="s">
        <v>373</v>
      </c>
      <c r="C361" s="8">
        <v>1599.0</v>
      </c>
      <c r="D361" s="8">
        <v>3999.0</v>
      </c>
      <c r="E361" s="9">
        <v>0.6</v>
      </c>
      <c r="F361" s="10">
        <v>4.0</v>
      </c>
      <c r="G361" s="11">
        <v>30254.0</v>
      </c>
      <c r="I361" s="7"/>
      <c r="J361" s="7"/>
      <c r="K361" s="13" t="str">
        <f>IF(discount&gt;50%, product, "")</f>
        <v>Noise ColorFit Pulse Grand Smart Watch with 1.69"(4.29cm) HD Display, 60 Sports Modes, 150 Watch Faces, Fast Charge, Spo2, Stress, Sleep, Heart Rate Monitoring &amp; IP68 Waterproof (Jet Black)</v>
      </c>
      <c r="L361" s="7"/>
      <c r="M361" s="7"/>
      <c r="N361" s="7"/>
      <c r="O361" s="14"/>
      <c r="P361" s="14"/>
    </row>
    <row r="362">
      <c r="A362" s="7" t="s">
        <v>411</v>
      </c>
      <c r="B362" s="7" t="s">
        <v>373</v>
      </c>
      <c r="C362" s="8">
        <v>1499.0</v>
      </c>
      <c r="D362" s="8">
        <v>7999.0</v>
      </c>
      <c r="E362" s="9">
        <v>0.81</v>
      </c>
      <c r="F362" s="10">
        <v>4.2</v>
      </c>
      <c r="G362" s="11">
        <v>22636.0</v>
      </c>
      <c r="I362" s="7"/>
      <c r="J362" s="7"/>
      <c r="K362" s="13" t="str">
        <f>IF(discount&gt;50%, product, "")</f>
        <v>Fire-Boltt Ninja 3 Smartwatch Full Touch 1.69 &amp; 60 Sports Modes with IP68, Sp02 Tracking, Over 100 Cloud based watch faces - Black</v>
      </c>
      <c r="L362" s="7"/>
      <c r="M362" s="7"/>
      <c r="N362" s="7"/>
      <c r="O362" s="14"/>
      <c r="P362" s="14"/>
    </row>
    <row r="363">
      <c r="A363" s="7" t="s">
        <v>412</v>
      </c>
      <c r="B363" s="7" t="s">
        <v>380</v>
      </c>
      <c r="C363" s="8">
        <v>18499.0</v>
      </c>
      <c r="D363" s="8">
        <v>25999.0</v>
      </c>
      <c r="E363" s="9">
        <v>0.29</v>
      </c>
      <c r="F363" s="10">
        <v>4.1</v>
      </c>
      <c r="G363" s="11">
        <v>22318.0</v>
      </c>
      <c r="I363" s="7"/>
      <c r="J363" s="7"/>
      <c r="K363" s="13" t="str">
        <f>IF(discount&gt;50%, product, "")</f>
        <v/>
      </c>
      <c r="L363" s="7"/>
      <c r="M363" s="7"/>
      <c r="N363" s="7"/>
      <c r="O363" s="14"/>
      <c r="P363" s="14"/>
    </row>
    <row r="364">
      <c r="A364" s="7" t="s">
        <v>413</v>
      </c>
      <c r="B364" s="7" t="s">
        <v>386</v>
      </c>
      <c r="C364" s="8">
        <v>369.0</v>
      </c>
      <c r="D364" s="8">
        <v>700.0</v>
      </c>
      <c r="E364" s="9">
        <v>0.47</v>
      </c>
      <c r="F364" s="10">
        <v>4.4</v>
      </c>
      <c r="G364" s="11">
        <v>67259.0</v>
      </c>
      <c r="I364" s="7"/>
      <c r="J364" s="7"/>
      <c r="K364" s="13" t="str">
        <f>IF(discount&gt;50%, product, "")</f>
        <v/>
      </c>
      <c r="L364" s="7"/>
      <c r="M364" s="7"/>
      <c r="N364" s="7"/>
      <c r="O364" s="14"/>
      <c r="P364" s="14"/>
    </row>
    <row r="365">
      <c r="A365" s="7" t="s">
        <v>414</v>
      </c>
      <c r="B365" s="7" t="s">
        <v>380</v>
      </c>
      <c r="C365" s="8">
        <v>12999.0</v>
      </c>
      <c r="D365" s="8">
        <v>17999.0</v>
      </c>
      <c r="E365" s="9">
        <v>0.28</v>
      </c>
      <c r="F365" s="10">
        <v>4.1</v>
      </c>
      <c r="G365" s="11">
        <v>18998.0</v>
      </c>
      <c r="I365" s="7"/>
      <c r="J365" s="7"/>
      <c r="K365" s="13" t="str">
        <f>IF(discount&gt;50%, product, "")</f>
        <v/>
      </c>
      <c r="L365" s="7"/>
      <c r="M365" s="7"/>
      <c r="N365" s="7"/>
      <c r="O365" s="14"/>
      <c r="P365" s="14"/>
    </row>
    <row r="366">
      <c r="A366" s="7" t="s">
        <v>372</v>
      </c>
      <c r="B366" s="7" t="s">
        <v>373</v>
      </c>
      <c r="C366" s="8">
        <v>1799.0</v>
      </c>
      <c r="D366" s="8">
        <v>19999.0</v>
      </c>
      <c r="E366" s="9">
        <v>0.91</v>
      </c>
      <c r="F366" s="10">
        <v>4.2</v>
      </c>
      <c r="G366" s="11">
        <v>13937.0</v>
      </c>
      <c r="I366" s="7"/>
      <c r="J366" s="7"/>
      <c r="K366" s="13" t="str">
        <f>IF(discount&gt;50%, product, "")</f>
        <v>Fire-Boltt Ninja Call Pro Plus 1.83" Smart Watch with Bluetooth Calling, AI Voice Assistance, 100 Sports Modes IP67 Rating, 240*280 Pixel High Resolution</v>
      </c>
      <c r="L366" s="7"/>
      <c r="M366" s="7"/>
      <c r="N366" s="7"/>
      <c r="O366" s="14"/>
      <c r="P366" s="14"/>
    </row>
    <row r="367">
      <c r="A367" s="7" t="s">
        <v>415</v>
      </c>
      <c r="B367" s="7" t="s">
        <v>373</v>
      </c>
      <c r="C367" s="8">
        <v>2199.0</v>
      </c>
      <c r="D367" s="8">
        <v>9999.0</v>
      </c>
      <c r="E367" s="9">
        <v>0.78</v>
      </c>
      <c r="F367" s="10">
        <v>4.2</v>
      </c>
      <c r="G367" s="11">
        <v>29471.0</v>
      </c>
      <c r="I367" s="7"/>
      <c r="J367" s="7"/>
      <c r="K367" s="13" t="str">
        <f>IF(discount&gt;50%, product, "")</f>
        <v>Fire-Boltt India's No 1 Smartwatch Brand Talk 2 Bluetooth Calling Smartwatch with Dual Button, Hands On Voice Assistance, 60 Sports Modes, in Built Mic &amp; Speaker with IP68 Rating</v>
      </c>
      <c r="L367" s="7"/>
      <c r="M367" s="7"/>
      <c r="N367" s="7"/>
      <c r="O367" s="14"/>
      <c r="P367" s="14"/>
    </row>
    <row r="368">
      <c r="A368" s="7" t="s">
        <v>416</v>
      </c>
      <c r="B368" s="7" t="s">
        <v>380</v>
      </c>
      <c r="C368" s="8">
        <v>16999.0</v>
      </c>
      <c r="D368" s="8">
        <v>24999.0</v>
      </c>
      <c r="E368" s="9">
        <v>0.32</v>
      </c>
      <c r="F368" s="10">
        <v>4.1</v>
      </c>
      <c r="G368" s="11">
        <v>22318.0</v>
      </c>
      <c r="I368" s="7"/>
      <c r="J368" s="7"/>
      <c r="K368" s="13" t="str">
        <f>IF(discount&gt;50%, product, "")</f>
        <v/>
      </c>
      <c r="L368" s="7"/>
      <c r="M368" s="7"/>
      <c r="N368" s="7"/>
      <c r="O368" s="14"/>
      <c r="P368" s="14"/>
    </row>
    <row r="369">
      <c r="A369" s="7" t="s">
        <v>417</v>
      </c>
      <c r="B369" s="7" t="s">
        <v>380</v>
      </c>
      <c r="C369" s="8">
        <v>16499.0</v>
      </c>
      <c r="D369" s="8">
        <v>20999.0</v>
      </c>
      <c r="E369" s="9">
        <v>0.21</v>
      </c>
      <c r="F369" s="10">
        <v>4.0</v>
      </c>
      <c r="G369" s="11">
        <v>21350.0</v>
      </c>
      <c r="I369" s="7"/>
      <c r="J369" s="7"/>
      <c r="K369" s="13" t="str">
        <f>IF(discount&gt;50%, product, "")</f>
        <v/>
      </c>
      <c r="L369" s="7"/>
      <c r="M369" s="7"/>
      <c r="N369" s="7"/>
      <c r="O369" s="14"/>
      <c r="P369" s="14"/>
    </row>
    <row r="370">
      <c r="A370" s="7" t="s">
        <v>372</v>
      </c>
      <c r="B370" s="7" t="s">
        <v>373</v>
      </c>
      <c r="C370" s="8">
        <v>1799.0</v>
      </c>
      <c r="D370" s="8">
        <v>19999.0</v>
      </c>
      <c r="E370" s="9">
        <v>0.91</v>
      </c>
      <c r="F370" s="10">
        <v>4.2</v>
      </c>
      <c r="G370" s="11">
        <v>13937.0</v>
      </c>
      <c r="I370" s="7"/>
      <c r="J370" s="7"/>
      <c r="K370" s="13" t="str">
        <f>IF(discount&gt;50%, product, "")</f>
        <v>Fire-Boltt Ninja Call Pro Plus 1.83" Smart Watch with Bluetooth Calling, AI Voice Assistance, 100 Sports Modes IP67 Rating, 240*280 Pixel High Resolution</v>
      </c>
      <c r="L370" s="7"/>
      <c r="M370" s="7"/>
      <c r="N370" s="7"/>
      <c r="O370" s="14"/>
      <c r="P370" s="14"/>
    </row>
    <row r="371">
      <c r="A371" s="7" t="s">
        <v>14</v>
      </c>
      <c r="B371" s="7" t="s">
        <v>15</v>
      </c>
      <c r="C371" s="8">
        <v>399.0</v>
      </c>
      <c r="D371" s="8">
        <v>1099.0</v>
      </c>
      <c r="E371" s="9">
        <v>0.64</v>
      </c>
      <c r="F371" s="10">
        <v>4.2</v>
      </c>
      <c r="G371" s="11">
        <v>24270.0</v>
      </c>
      <c r="I371" s="7"/>
      <c r="J371" s="7"/>
      <c r="K371" s="13" t="str">
        <f>IF(discount&gt;50%, product, "")</f>
        <v>Wayona Nylon Braided USB to Lightning Fast Charging and Data Sync Cable Compatible for iPhone 13, 12,11, X, 8, 7, 6, 5, iPad Air, Pro, Mini (3 FT Pack of 1, Grey)</v>
      </c>
      <c r="L371" s="7"/>
      <c r="M371" s="7"/>
      <c r="N371" s="7"/>
      <c r="O371" s="14"/>
      <c r="P371" s="14"/>
    </row>
    <row r="372">
      <c r="A372" s="7" t="s">
        <v>418</v>
      </c>
      <c r="B372" s="7" t="s">
        <v>380</v>
      </c>
      <c r="C372" s="8">
        <v>8499.0</v>
      </c>
      <c r="D372" s="8">
        <v>10999.0</v>
      </c>
      <c r="E372" s="9">
        <v>0.23</v>
      </c>
      <c r="F372" s="10">
        <v>4.1</v>
      </c>
      <c r="G372" s="7" t="s">
        <v>419</v>
      </c>
      <c r="I372" s="7"/>
      <c r="J372" s="7"/>
      <c r="K372" s="13" t="str">
        <f>IF(discount&gt;50%, product, "")</f>
        <v/>
      </c>
      <c r="L372" s="7"/>
      <c r="M372" s="7"/>
      <c r="N372" s="7"/>
      <c r="O372" s="14"/>
      <c r="P372" s="14"/>
    </row>
    <row r="373">
      <c r="A373" s="7" t="s">
        <v>420</v>
      </c>
      <c r="B373" s="7" t="s">
        <v>380</v>
      </c>
      <c r="C373" s="8">
        <v>6499.0</v>
      </c>
      <c r="D373" s="8">
        <v>8499.0</v>
      </c>
      <c r="E373" s="9">
        <v>0.24</v>
      </c>
      <c r="F373" s="10">
        <v>4.1</v>
      </c>
      <c r="G373" s="7" t="s">
        <v>419</v>
      </c>
      <c r="I373" s="7"/>
      <c r="J373" s="7"/>
      <c r="K373" s="13" t="str">
        <f>IF(discount&gt;50%, product, "")</f>
        <v/>
      </c>
      <c r="L373" s="7"/>
      <c r="M373" s="7"/>
      <c r="N373" s="7"/>
      <c r="O373" s="14"/>
      <c r="P373" s="14"/>
    </row>
    <row r="374">
      <c r="A374" s="7" t="s">
        <v>372</v>
      </c>
      <c r="B374" s="7" t="s">
        <v>373</v>
      </c>
      <c r="C374" s="8">
        <v>1799.0</v>
      </c>
      <c r="D374" s="8">
        <v>19999.0</v>
      </c>
      <c r="E374" s="9">
        <v>0.91</v>
      </c>
      <c r="F374" s="10">
        <v>4.2</v>
      </c>
      <c r="G374" s="11">
        <v>13937.0</v>
      </c>
      <c r="I374" s="7"/>
      <c r="J374" s="7"/>
      <c r="K374" s="13" t="str">
        <f>IF(discount&gt;50%, product, "")</f>
        <v>Fire-Boltt Ninja Call Pro Plus 1.83" Smart Watch with Bluetooth Calling, AI Voice Assistance, 100 Sports Modes IP67 Rating, 240*280 Pixel High Resolution</v>
      </c>
      <c r="L374" s="7"/>
      <c r="M374" s="7"/>
      <c r="N374" s="7"/>
      <c r="O374" s="14"/>
      <c r="P374" s="14"/>
    </row>
    <row r="375">
      <c r="A375" s="7" t="s">
        <v>421</v>
      </c>
      <c r="B375" s="7" t="s">
        <v>380</v>
      </c>
      <c r="C375" s="8">
        <v>8999.0</v>
      </c>
      <c r="D375" s="8">
        <v>11999.0</v>
      </c>
      <c r="E375" s="9">
        <v>0.25</v>
      </c>
      <c r="F375" s="10">
        <v>4.0</v>
      </c>
      <c r="G375" s="11">
        <v>12796.0</v>
      </c>
      <c r="I375" s="7"/>
      <c r="J375" s="7"/>
      <c r="K375" s="13" t="str">
        <f>IF(discount&gt;50%, product, "")</f>
        <v/>
      </c>
      <c r="L375" s="7"/>
      <c r="M375" s="7"/>
      <c r="N375" s="7"/>
      <c r="O375" s="14"/>
      <c r="P375" s="14"/>
    </row>
    <row r="376">
      <c r="A376" s="7" t="s">
        <v>422</v>
      </c>
      <c r="B376" s="7" t="s">
        <v>423</v>
      </c>
      <c r="C376" s="8">
        <v>139.0</v>
      </c>
      <c r="D376" s="8">
        <v>495.0</v>
      </c>
      <c r="E376" s="9">
        <v>0.72</v>
      </c>
      <c r="F376" s="10">
        <v>4.3</v>
      </c>
      <c r="G376" s="11">
        <v>14185.0</v>
      </c>
      <c r="I376" s="7"/>
      <c r="J376" s="7"/>
      <c r="K376" s="13" t="str">
        <f>IF(discount&gt;50%, product, "")</f>
        <v>AGARO Blaze USB 3.0 to USB Type C OTG Adapter</v>
      </c>
      <c r="L376" s="7"/>
      <c r="M376" s="7"/>
      <c r="N376" s="7"/>
      <c r="O376" s="14"/>
      <c r="P376" s="14"/>
    </row>
    <row r="377">
      <c r="A377" s="7" t="s">
        <v>424</v>
      </c>
      <c r="B377" s="7" t="s">
        <v>373</v>
      </c>
      <c r="C377" s="8">
        <v>3999.0</v>
      </c>
      <c r="D377" s="8">
        <v>16999.0</v>
      </c>
      <c r="E377" s="9">
        <v>0.76</v>
      </c>
      <c r="F377" s="10">
        <v>4.3</v>
      </c>
      <c r="G377" s="11">
        <v>17159.0</v>
      </c>
      <c r="I377" s="7"/>
      <c r="J377" s="7"/>
      <c r="K377" s="13" t="str">
        <f>IF(discount&gt;50%, product, "")</f>
        <v>Fire-Boltt Visionary 1.78" AMOLED Bluetooth Calling Smartwatch with 368*448 Pixel Resolution 100+ Sports Mode, TWS Connection, Voice Assistance, SPO2 &amp; Heart Rate Monitoring</v>
      </c>
      <c r="L377" s="7"/>
      <c r="M377" s="7"/>
      <c r="N377" s="7"/>
      <c r="O377" s="14"/>
      <c r="P377" s="14"/>
    </row>
    <row r="378">
      <c r="A378" s="7" t="s">
        <v>425</v>
      </c>
      <c r="B378" s="7" t="s">
        <v>373</v>
      </c>
      <c r="C378" s="8">
        <v>2998.0</v>
      </c>
      <c r="D378" s="8">
        <v>5999.0</v>
      </c>
      <c r="E378" s="9">
        <v>0.5</v>
      </c>
      <c r="F378" s="10">
        <v>4.1</v>
      </c>
      <c r="G378" s="11">
        <v>5179.0</v>
      </c>
      <c r="I378" s="7"/>
      <c r="J378" s="7"/>
      <c r="K378" s="13" t="str">
        <f>IF(discount&gt;50%, product, "")</f>
        <v/>
      </c>
      <c r="L378" s="7"/>
      <c r="M378" s="7"/>
      <c r="N378" s="7"/>
      <c r="O378" s="14"/>
      <c r="P378" s="14"/>
    </row>
    <row r="379">
      <c r="A379" s="7" t="s">
        <v>17</v>
      </c>
      <c r="B379" s="7" t="s">
        <v>15</v>
      </c>
      <c r="C379" s="8">
        <v>199.0</v>
      </c>
      <c r="D379" s="8">
        <v>349.0</v>
      </c>
      <c r="E379" s="9">
        <v>0.43</v>
      </c>
      <c r="F379" s="10">
        <v>4.0</v>
      </c>
      <c r="G379" s="11">
        <v>43993.0</v>
      </c>
      <c r="I379" s="7"/>
      <c r="J379" s="7"/>
      <c r="K379" s="13" t="str">
        <f>IF(discount&gt;50%, product, "")</f>
        <v/>
      </c>
      <c r="L379" s="7"/>
      <c r="M379" s="7"/>
      <c r="N379" s="7"/>
      <c r="O379" s="14"/>
      <c r="P379" s="14"/>
    </row>
    <row r="380">
      <c r="A380" s="7" t="s">
        <v>426</v>
      </c>
      <c r="B380" s="7" t="s">
        <v>380</v>
      </c>
      <c r="C380" s="8">
        <v>15499.0</v>
      </c>
      <c r="D380" s="8">
        <v>18999.0</v>
      </c>
      <c r="E380" s="9">
        <v>0.18</v>
      </c>
      <c r="F380" s="10">
        <v>4.1</v>
      </c>
      <c r="G380" s="11">
        <v>19252.0</v>
      </c>
      <c r="I380" s="7"/>
      <c r="J380" s="7"/>
      <c r="K380" s="13" t="str">
        <f>IF(discount&gt;50%, product, "")</f>
        <v/>
      </c>
      <c r="L380" s="7"/>
      <c r="M380" s="7"/>
      <c r="N380" s="7"/>
      <c r="O380" s="14"/>
      <c r="P380" s="14"/>
    </row>
    <row r="381">
      <c r="A381" s="7" t="s">
        <v>18</v>
      </c>
      <c r="B381" s="7" t="s">
        <v>15</v>
      </c>
      <c r="C381" s="8">
        <v>199.0</v>
      </c>
      <c r="D381" s="8">
        <v>999.0</v>
      </c>
      <c r="E381" s="9">
        <v>0.8</v>
      </c>
      <c r="F381" s="10">
        <v>3.9</v>
      </c>
      <c r="G381" s="11">
        <v>7928.0</v>
      </c>
      <c r="I381" s="7"/>
      <c r="J381" s="7"/>
      <c r="K381" s="13" t="str">
        <f>IF(discount&gt;50%, product, "")</f>
        <v>Sounce Fast Phone Charging Cable &amp; Data Sync USB Cable Compatible for iPhone 13, 12,11, X, 8, 7, 6, 5, iPad Air, Pro, Mini &amp; iOS Devices</v>
      </c>
      <c r="L381" s="7"/>
      <c r="M381" s="7"/>
      <c r="N381" s="7"/>
      <c r="O381" s="14"/>
      <c r="P381" s="14"/>
    </row>
    <row r="382">
      <c r="A382" s="7" t="s">
        <v>372</v>
      </c>
      <c r="B382" s="7" t="s">
        <v>373</v>
      </c>
      <c r="C382" s="8">
        <v>1799.0</v>
      </c>
      <c r="D382" s="8">
        <v>19999.0</v>
      </c>
      <c r="E382" s="9">
        <v>0.91</v>
      </c>
      <c r="F382" s="10">
        <v>4.2</v>
      </c>
      <c r="G382" s="11">
        <v>13937.0</v>
      </c>
      <c r="I382" s="7"/>
      <c r="J382" s="7"/>
      <c r="K382" s="13" t="str">
        <f>IF(discount&gt;50%, product, "")</f>
        <v>Fire-Boltt Ninja Call Pro Plus 1.83" Smart Watch with Bluetooth Calling, AI Voice Assistance, 100 Sports Modes IP67 Rating, 240*280 Pixel High Resolution</v>
      </c>
      <c r="L382" s="7"/>
      <c r="M382" s="7"/>
      <c r="N382" s="7"/>
      <c r="O382" s="14"/>
      <c r="P382" s="14"/>
    </row>
    <row r="383">
      <c r="A383" s="7" t="s">
        <v>427</v>
      </c>
      <c r="B383" s="7" t="s">
        <v>380</v>
      </c>
      <c r="C383" s="8">
        <v>8999.0</v>
      </c>
      <c r="D383" s="8">
        <v>11999.0</v>
      </c>
      <c r="E383" s="9">
        <v>0.25</v>
      </c>
      <c r="F383" s="10">
        <v>4.0</v>
      </c>
      <c r="G383" s="11">
        <v>12796.0</v>
      </c>
      <c r="I383" s="7"/>
      <c r="J383" s="7"/>
      <c r="K383" s="13" t="str">
        <f>IF(discount&gt;50%, product, "")</f>
        <v/>
      </c>
      <c r="L383" s="7"/>
      <c r="M383" s="7"/>
      <c r="N383" s="7"/>
      <c r="O383" s="14"/>
      <c r="P383" s="14"/>
    </row>
    <row r="384">
      <c r="A384" s="7" t="s">
        <v>428</v>
      </c>
      <c r="B384" s="7" t="s">
        <v>399</v>
      </c>
      <c r="C384" s="8">
        <v>873.0</v>
      </c>
      <c r="D384" s="8">
        <v>1699.0</v>
      </c>
      <c r="E384" s="9">
        <v>0.49</v>
      </c>
      <c r="F384" s="10">
        <v>4.4</v>
      </c>
      <c r="G384" s="11">
        <v>1680.0</v>
      </c>
      <c r="I384" s="7"/>
      <c r="J384" s="7"/>
      <c r="K384" s="13" t="str">
        <f>IF(discount&gt;50%, product, "")</f>
        <v/>
      </c>
      <c r="L384" s="7"/>
      <c r="M384" s="7"/>
      <c r="N384" s="7"/>
      <c r="O384" s="14"/>
      <c r="P384" s="14"/>
    </row>
    <row r="385">
      <c r="A385" s="7" t="s">
        <v>429</v>
      </c>
      <c r="B385" s="7" t="s">
        <v>380</v>
      </c>
      <c r="C385" s="8">
        <v>12999.0</v>
      </c>
      <c r="D385" s="8">
        <v>15999.0</v>
      </c>
      <c r="E385" s="9">
        <v>0.19</v>
      </c>
      <c r="F385" s="10">
        <v>4.2</v>
      </c>
      <c r="G385" s="11">
        <v>13246.0</v>
      </c>
      <c r="I385" s="7"/>
      <c r="J385" s="7"/>
      <c r="K385" s="13" t="str">
        <f>IF(discount&gt;50%, product, "")</f>
        <v/>
      </c>
      <c r="L385" s="7"/>
      <c r="M385" s="7"/>
      <c r="N385" s="7"/>
      <c r="O385" s="14"/>
      <c r="P385" s="14"/>
    </row>
    <row r="386">
      <c r="A386" s="7" t="s">
        <v>430</v>
      </c>
      <c r="B386" s="7" t="s">
        <v>431</v>
      </c>
      <c r="C386" s="8">
        <v>539.0</v>
      </c>
      <c r="D386" s="8">
        <v>1599.0</v>
      </c>
      <c r="E386" s="9">
        <v>0.66</v>
      </c>
      <c r="F386" s="10">
        <v>3.8</v>
      </c>
      <c r="G386" s="11">
        <v>14648.0</v>
      </c>
      <c r="I386" s="7"/>
      <c r="J386" s="7"/>
      <c r="K386" s="13" t="str">
        <f>IF(discount&gt;50%, product, "")</f>
        <v>WeCool Bluetooth Extendable Selfie Sticks with Wireless Remote and Tripod Stand, 3-in-1 Multifunctional Selfie Stick with Tripod Stand Compatible with iPhone/OnePlus/Samsung/Oppo/Vivo and All Phones</v>
      </c>
      <c r="L386" s="7"/>
      <c r="M386" s="7"/>
      <c r="N386" s="7"/>
      <c r="O386" s="14"/>
      <c r="P386" s="14"/>
    </row>
    <row r="387">
      <c r="A387" s="7" t="s">
        <v>374</v>
      </c>
      <c r="B387" s="7" t="s">
        <v>373</v>
      </c>
      <c r="C387" s="8">
        <v>1999.0</v>
      </c>
      <c r="D387" s="8">
        <v>9999.0</v>
      </c>
      <c r="E387" s="9">
        <v>0.8</v>
      </c>
      <c r="F387" s="10">
        <v>4.3</v>
      </c>
      <c r="G387" s="11">
        <v>27696.0</v>
      </c>
      <c r="I387" s="7"/>
      <c r="J387" s="7"/>
      <c r="K387" s="13" t="str">
        <f>IF(discount&gt;50%, product, "")</f>
        <v>Fire-Boltt Phoenix Smart Watch with Bluetooth Calling 1.3",120+ Sports Modes, 240*240 PX High Res with SpO2, Heart Rate Monitoring &amp; IP67 Rating</v>
      </c>
      <c r="L387" s="7"/>
      <c r="M387" s="7"/>
      <c r="N387" s="7"/>
      <c r="O387" s="14"/>
      <c r="P387" s="14"/>
    </row>
    <row r="388">
      <c r="A388" s="7" t="s">
        <v>432</v>
      </c>
      <c r="B388" s="7" t="s">
        <v>380</v>
      </c>
      <c r="C388" s="8">
        <v>15490.0</v>
      </c>
      <c r="D388" s="8">
        <v>20990.0</v>
      </c>
      <c r="E388" s="9">
        <v>0.26</v>
      </c>
      <c r="F388" s="10">
        <v>4.2</v>
      </c>
      <c r="G388" s="11">
        <v>32916.0</v>
      </c>
      <c r="I388" s="7"/>
      <c r="J388" s="7"/>
      <c r="K388" s="13" t="str">
        <f>IF(discount&gt;50%, product, "")</f>
        <v/>
      </c>
      <c r="L388" s="7"/>
      <c r="M388" s="7"/>
      <c r="N388" s="7"/>
      <c r="O388" s="14"/>
      <c r="P388" s="14"/>
    </row>
    <row r="389">
      <c r="A389" s="7" t="s">
        <v>433</v>
      </c>
      <c r="B389" s="7" t="s">
        <v>380</v>
      </c>
      <c r="C389" s="8">
        <v>19999.0</v>
      </c>
      <c r="D389" s="8">
        <v>24999.0</v>
      </c>
      <c r="E389" s="9">
        <v>0.2</v>
      </c>
      <c r="F389" s="10">
        <v>3.9</v>
      </c>
      <c r="G389" s="11">
        <v>25824.0</v>
      </c>
      <c r="I389" s="7"/>
      <c r="J389" s="7"/>
      <c r="K389" s="13" t="str">
        <f>IF(discount&gt;50%, product, "")</f>
        <v/>
      </c>
      <c r="L389" s="7"/>
      <c r="M389" s="7"/>
      <c r="N389" s="7"/>
      <c r="O389" s="14"/>
      <c r="P389" s="14"/>
    </row>
    <row r="390">
      <c r="A390" s="7" t="s">
        <v>434</v>
      </c>
      <c r="B390" s="7" t="s">
        <v>409</v>
      </c>
      <c r="C390" s="8">
        <v>1075.0</v>
      </c>
      <c r="D390" s="8">
        <v>1699.0</v>
      </c>
      <c r="E390" s="9">
        <v>0.37</v>
      </c>
      <c r="F390" s="10">
        <v>4.4</v>
      </c>
      <c r="G390" s="11">
        <v>7462.0</v>
      </c>
      <c r="I390" s="7"/>
      <c r="J390" s="7"/>
      <c r="K390" s="13" t="str">
        <f>IF(discount&gt;50%, product, "")</f>
        <v/>
      </c>
      <c r="L390" s="7"/>
      <c r="M390" s="7"/>
      <c r="N390" s="7"/>
      <c r="O390" s="14"/>
      <c r="P390" s="14"/>
    </row>
    <row r="391">
      <c r="A391" s="7" t="s">
        <v>435</v>
      </c>
      <c r="B391" s="7" t="s">
        <v>393</v>
      </c>
      <c r="C391" s="8">
        <v>399.0</v>
      </c>
      <c r="D391" s="8">
        <v>699.0</v>
      </c>
      <c r="E391" s="9">
        <v>0.43</v>
      </c>
      <c r="F391" s="10">
        <v>4.0</v>
      </c>
      <c r="G391" s="11">
        <v>37817.0</v>
      </c>
      <c r="I391" s="7"/>
      <c r="J391" s="7"/>
      <c r="K391" s="13" t="str">
        <f>IF(discount&gt;50%, product, "")</f>
        <v/>
      </c>
      <c r="L391" s="7"/>
      <c r="M391" s="7"/>
      <c r="N391" s="7"/>
      <c r="O391" s="14"/>
      <c r="P391" s="14"/>
    </row>
    <row r="392">
      <c r="A392" s="7" t="s">
        <v>436</v>
      </c>
      <c r="B392" s="7" t="s">
        <v>373</v>
      </c>
      <c r="C392" s="8">
        <v>1999.0</v>
      </c>
      <c r="D392" s="8">
        <v>3990.0</v>
      </c>
      <c r="E392" s="9">
        <v>0.5</v>
      </c>
      <c r="F392" s="10">
        <v>4.0</v>
      </c>
      <c r="G392" s="11">
        <v>30254.0</v>
      </c>
      <c r="I392" s="7"/>
      <c r="J392" s="7"/>
      <c r="K392" s="13" t="str">
        <f>IF(discount&gt;50%, product, "")</f>
        <v/>
      </c>
      <c r="L392" s="7"/>
      <c r="M392" s="7"/>
      <c r="N392" s="7"/>
      <c r="O392" s="14"/>
      <c r="P392" s="14"/>
    </row>
    <row r="393">
      <c r="A393" s="7" t="s">
        <v>437</v>
      </c>
      <c r="B393" s="7" t="s">
        <v>373</v>
      </c>
      <c r="C393" s="8">
        <v>1999.0</v>
      </c>
      <c r="D393" s="8">
        <v>7990.0</v>
      </c>
      <c r="E393" s="9">
        <v>0.75</v>
      </c>
      <c r="F393" s="10">
        <v>3.8</v>
      </c>
      <c r="G393" s="11">
        <v>17831.0</v>
      </c>
      <c r="I393" s="7"/>
      <c r="J393" s="7"/>
      <c r="K393" s="13" t="str">
        <f>IF(discount&gt;50%, product, "")</f>
        <v>boAt Wave Call Smart Watch, Smart Talk with Advanced Dedicated Bluetooth Calling Chip, 1.69” HD Display with 550 NITS &amp; 70% Color Gamut, 150+ Watch Faces, Multi-Sport Modes, HR, SpO2, IP68(Mauve)</v>
      </c>
      <c r="L393" s="7"/>
      <c r="M393" s="7"/>
      <c r="N393" s="7"/>
      <c r="O393" s="14"/>
      <c r="P393" s="14"/>
    </row>
    <row r="394">
      <c r="A394" s="7" t="s">
        <v>19</v>
      </c>
      <c r="B394" s="7" t="s">
        <v>15</v>
      </c>
      <c r="C394" s="8">
        <v>329.0</v>
      </c>
      <c r="D394" s="8">
        <v>699.0</v>
      </c>
      <c r="E394" s="9">
        <v>0.53</v>
      </c>
      <c r="F394" s="10">
        <v>4.2</v>
      </c>
      <c r="G394" s="11">
        <v>94364.0</v>
      </c>
      <c r="I394" s="7"/>
      <c r="J394" s="7"/>
      <c r="K394" s="13" t="str">
        <f>IF(discount&gt;50%, product, "")</f>
        <v>boAt Deuce USB 300 2 in 1 Type-C &amp; Micro USB Stress Resistant, Tangle-Free, Sturdy Cable with 3A Fast Charging &amp; 480mbps Data Transmission, 10000+ Bends Lifespan and Extended 1.5m Length(Martian Red)</v>
      </c>
      <c r="L394" s="7"/>
      <c r="M394" s="7"/>
      <c r="N394" s="7"/>
      <c r="O394" s="14"/>
      <c r="P394" s="14"/>
    </row>
    <row r="395">
      <c r="A395" s="7" t="s">
        <v>20</v>
      </c>
      <c r="B395" s="7" t="s">
        <v>15</v>
      </c>
      <c r="C395" s="8">
        <v>154.0</v>
      </c>
      <c r="D395" s="8">
        <v>399.0</v>
      </c>
      <c r="E395" s="9">
        <v>0.61</v>
      </c>
      <c r="F395" s="10">
        <v>4.2</v>
      </c>
      <c r="G395" s="11">
        <v>16905.0</v>
      </c>
      <c r="I395" s="7"/>
      <c r="J395" s="7"/>
      <c r="K395" s="13" t="str">
        <f>IF(discount&gt;50%, product, "")</f>
        <v>Portronics Konnect L 1.2M Fast Charging 3A 8 Pin USB Cable with Charge &amp; Sync Function for iPhone, iPad (Grey)</v>
      </c>
      <c r="L395" s="7"/>
      <c r="M395" s="7"/>
      <c r="N395" s="7"/>
      <c r="O395" s="14"/>
      <c r="P395" s="14"/>
    </row>
    <row r="396">
      <c r="A396" s="7" t="s">
        <v>438</v>
      </c>
      <c r="B396" s="7" t="s">
        <v>380</v>
      </c>
      <c r="C396" s="8">
        <v>28999.0</v>
      </c>
      <c r="D396" s="8">
        <v>34999.0</v>
      </c>
      <c r="E396" s="9">
        <v>0.17</v>
      </c>
      <c r="F396" s="10">
        <v>4.4</v>
      </c>
      <c r="G396" s="11">
        <v>20311.0</v>
      </c>
      <c r="I396" s="7"/>
      <c r="J396" s="7"/>
      <c r="K396" s="13" t="str">
        <f>IF(discount&gt;50%, product, "")</f>
        <v/>
      </c>
      <c r="L396" s="7"/>
      <c r="M396" s="7"/>
      <c r="N396" s="7"/>
      <c r="O396" s="14"/>
      <c r="P396" s="14"/>
    </row>
    <row r="397">
      <c r="A397" s="7" t="s">
        <v>439</v>
      </c>
      <c r="B397" s="7" t="s">
        <v>373</v>
      </c>
      <c r="C397" s="8">
        <v>2299.0</v>
      </c>
      <c r="D397" s="8">
        <v>7990.0</v>
      </c>
      <c r="E397" s="9">
        <v>0.71</v>
      </c>
      <c r="F397" s="10">
        <v>4.2</v>
      </c>
      <c r="G397" s="11">
        <v>69622.0</v>
      </c>
      <c r="I397" s="7"/>
      <c r="J397" s="7"/>
      <c r="K397" s="13" t="str">
        <f>IF(discount&gt;50%, product, "")</f>
        <v>boAt Xtend Smartwatch with Alexa Built-in, 1.69” HD Display, Multiple Watch Faces, Stress Monitor, Heart &amp; SpO2 Monitoring, 14 Sports Modes, Sleep Monitor, 5 ATM &amp; 7 Days Battery(Charcoal Black)</v>
      </c>
      <c r="L397" s="7"/>
      <c r="M397" s="7"/>
      <c r="N397" s="7"/>
      <c r="O397" s="14"/>
      <c r="P397" s="14"/>
    </row>
    <row r="398">
      <c r="A398" s="7" t="s">
        <v>440</v>
      </c>
      <c r="B398" s="7" t="s">
        <v>441</v>
      </c>
      <c r="C398" s="8">
        <v>399.0</v>
      </c>
      <c r="D398" s="8">
        <v>1999.0</v>
      </c>
      <c r="E398" s="9">
        <v>0.8</v>
      </c>
      <c r="F398" s="10">
        <v>4.0</v>
      </c>
      <c r="G398" s="11">
        <v>3382.0</v>
      </c>
      <c r="I398" s="7"/>
      <c r="J398" s="7"/>
      <c r="K398" s="13" t="str">
        <f>IF(discount&gt;50%, product, "")</f>
        <v>Tygot Bluetooth Extendable Selfie Sticks with Wireless Remote and Tripod Stand, 3-in-1 Multifunctional Selfie Stick with Tripod Stand Compatible with iPhone/OnePlus/Samsung/Oppo/Vivo and All Phones</v>
      </c>
      <c r="L398" s="7"/>
      <c r="M398" s="7"/>
      <c r="N398" s="7"/>
      <c r="O398" s="14"/>
      <c r="P398" s="14"/>
    </row>
    <row r="399">
      <c r="A399" s="7" t="s">
        <v>442</v>
      </c>
      <c r="B399" s="7" t="s">
        <v>386</v>
      </c>
      <c r="C399" s="8">
        <v>1149.0</v>
      </c>
      <c r="D399" s="8">
        <v>3999.0</v>
      </c>
      <c r="E399" s="9">
        <v>0.71</v>
      </c>
      <c r="F399" s="10">
        <v>4.3</v>
      </c>
      <c r="G399" s="7" t="s">
        <v>443</v>
      </c>
      <c r="I399" s="7"/>
      <c r="J399" s="7"/>
      <c r="K399" s="13" t="str">
        <f>IF(discount&gt;50%, product, "")</f>
        <v>Samsung EVO Plus 128GB microSDXC UHS-I U3 130MB/s Full HD &amp; 4K UHD Memory Card with Adapter (MB-MC128KA), Blue</v>
      </c>
      <c r="L399" s="7"/>
      <c r="M399" s="7"/>
      <c r="N399" s="7"/>
      <c r="O399" s="14"/>
      <c r="P399" s="14"/>
    </row>
    <row r="400">
      <c r="A400" s="7" t="s">
        <v>444</v>
      </c>
      <c r="B400" s="7" t="s">
        <v>409</v>
      </c>
      <c r="C400" s="8">
        <v>529.0</v>
      </c>
      <c r="D400" s="8">
        <v>1499.0</v>
      </c>
      <c r="E400" s="9">
        <v>0.65</v>
      </c>
      <c r="F400" s="10">
        <v>4.1</v>
      </c>
      <c r="G400" s="11">
        <v>8599.0</v>
      </c>
      <c r="I400" s="7"/>
      <c r="J400" s="7"/>
      <c r="K400" s="13" t="str">
        <f>IF(discount&gt;50%, product, "")</f>
        <v>Portronics Adapto 20 Type C 20W Fast PD/Type C Adapter Charger with Fast Charging for iPhone 12/12 Pro/12 Mini/12 Pro Max/11/XS/XR/X/8/Plus, iPad Pro/Air/Mini, Galaxy 10/9/8 (Adapter Only) White</v>
      </c>
      <c r="L400" s="7"/>
      <c r="M400" s="7"/>
      <c r="N400" s="7"/>
      <c r="O400" s="14"/>
      <c r="P400" s="14"/>
    </row>
    <row r="401">
      <c r="A401" s="7" t="s">
        <v>445</v>
      </c>
      <c r="B401" s="7" t="s">
        <v>380</v>
      </c>
      <c r="C401" s="8">
        <v>13999.0</v>
      </c>
      <c r="D401" s="8">
        <v>19499.0</v>
      </c>
      <c r="E401" s="9">
        <v>0.28</v>
      </c>
      <c r="F401" s="10">
        <v>4.1</v>
      </c>
      <c r="G401" s="11">
        <v>18998.0</v>
      </c>
      <c r="I401" s="7"/>
      <c r="J401" s="7"/>
      <c r="K401" s="13" t="str">
        <f>IF(discount&gt;50%, product, "")</f>
        <v/>
      </c>
      <c r="L401" s="7"/>
      <c r="M401" s="7"/>
      <c r="N401" s="7"/>
      <c r="O401" s="14"/>
      <c r="P401" s="14"/>
    </row>
    <row r="402">
      <c r="A402" s="7" t="s">
        <v>446</v>
      </c>
      <c r="B402" s="7" t="s">
        <v>393</v>
      </c>
      <c r="C402" s="8">
        <v>379.0</v>
      </c>
      <c r="D402" s="8">
        <v>999.0</v>
      </c>
      <c r="E402" s="9">
        <v>0.62</v>
      </c>
      <c r="F402" s="10">
        <v>4.1</v>
      </c>
      <c r="G402" s="7" t="s">
        <v>401</v>
      </c>
      <c r="I402" s="7"/>
      <c r="J402" s="7"/>
      <c r="K402" s="13" t="str">
        <f>IF(discount&gt;50%, product, "")</f>
        <v>boAt Bassheads 100 in Ear Wired Earphones with Mic(Furious Red)</v>
      </c>
      <c r="L402" s="7"/>
      <c r="M402" s="7"/>
      <c r="N402" s="7"/>
      <c r="O402" s="14"/>
      <c r="P402" s="14"/>
    </row>
    <row r="403">
      <c r="A403" s="7" t="s">
        <v>447</v>
      </c>
      <c r="B403" s="7" t="s">
        <v>380</v>
      </c>
      <c r="C403" s="8">
        <v>13999.0</v>
      </c>
      <c r="D403" s="8">
        <v>19999.0</v>
      </c>
      <c r="E403" s="9">
        <v>0.3</v>
      </c>
      <c r="F403" s="10">
        <v>4.1</v>
      </c>
      <c r="G403" s="11">
        <v>19252.0</v>
      </c>
      <c r="I403" s="7"/>
      <c r="J403" s="7"/>
      <c r="K403" s="13" t="str">
        <f>IF(discount&gt;50%, product, "")</f>
        <v/>
      </c>
      <c r="L403" s="7"/>
      <c r="M403" s="7"/>
      <c r="N403" s="7"/>
      <c r="O403" s="14"/>
      <c r="P403" s="14"/>
    </row>
    <row r="404">
      <c r="A404" s="7" t="s">
        <v>448</v>
      </c>
      <c r="B404" s="7" t="s">
        <v>373</v>
      </c>
      <c r="C404" s="8">
        <v>3999.0</v>
      </c>
      <c r="D404" s="8">
        <v>9999.0</v>
      </c>
      <c r="E404" s="9">
        <v>0.6</v>
      </c>
      <c r="F404" s="10">
        <v>4.4</v>
      </c>
      <c r="G404" s="10">
        <v>73.0</v>
      </c>
      <c r="I404" s="7"/>
      <c r="J404" s="7"/>
      <c r="K404" s="13" t="str">
        <f>IF(discount&gt;50%, product, "")</f>
        <v>Fire-Boltt Gladiator 1.96" Biggest Display Smart Watch with Bluetooth Calling, Voice Assistant &amp;123 Sports Modes, 8 Unique UI Interactions, SpO2, 24/7 Heart Rate Tracking</v>
      </c>
      <c r="L404" s="7"/>
      <c r="M404" s="7"/>
      <c r="N404" s="7"/>
      <c r="O404" s="14"/>
      <c r="P404" s="14"/>
    </row>
    <row r="405">
      <c r="A405" s="7" t="s">
        <v>21</v>
      </c>
      <c r="B405" s="7" t="s">
        <v>15</v>
      </c>
      <c r="C405" s="8">
        <v>149.0</v>
      </c>
      <c r="D405" s="8">
        <v>1000.0</v>
      </c>
      <c r="E405" s="9">
        <v>0.85</v>
      </c>
      <c r="F405" s="10">
        <v>3.9</v>
      </c>
      <c r="G405" s="11">
        <v>24870.0</v>
      </c>
      <c r="I405" s="7"/>
      <c r="J405" s="7"/>
      <c r="K405" s="13" t="str">
        <f>IF(discount&gt;50%, product, "")</f>
        <v>pTron Solero TB301 3A Type-C Data and Fast Charging Cable, Made in India, 480Mbps Data Sync, Strong and Durable 1.5-Meter Nylon Braided USB Cable for Type-C Devices for Charging Adapter (Black)</v>
      </c>
      <c r="L405" s="7"/>
      <c r="M405" s="7"/>
      <c r="N405" s="7"/>
      <c r="O405" s="14"/>
      <c r="P405" s="14"/>
    </row>
    <row r="406">
      <c r="A406" s="7" t="s">
        <v>449</v>
      </c>
      <c r="B406" s="7" t="s">
        <v>450</v>
      </c>
      <c r="C406" s="8">
        <v>99.0</v>
      </c>
      <c r="D406" s="8">
        <v>499.0</v>
      </c>
      <c r="E406" s="9">
        <v>0.8</v>
      </c>
      <c r="F406" s="10">
        <v>4.3</v>
      </c>
      <c r="G406" s="11">
        <v>42641.0</v>
      </c>
      <c r="I406" s="7"/>
      <c r="J406" s="7"/>
      <c r="K406" s="13" t="str">
        <f>IF(discount&gt;50%, product, "")</f>
        <v>STRIFF PS2_01 Multi Angle Mobile/Tablet Tabletop Stand. Phone Holder for iPhone, Android, Samsung, OnePlus, Xiaomi. Portable, Foldable Cell Phone Stand. Perfect for Bed, Office, Home &amp; Desktop (Black)</v>
      </c>
      <c r="L406" s="7"/>
      <c r="M406" s="7"/>
      <c r="N406" s="7"/>
      <c r="O406" s="14"/>
      <c r="P406" s="14"/>
    </row>
    <row r="407">
      <c r="A407" s="7" t="s">
        <v>451</v>
      </c>
      <c r="B407" s="7" t="s">
        <v>393</v>
      </c>
      <c r="C407" s="8">
        <v>4790.0</v>
      </c>
      <c r="D407" s="8">
        <v>15990.0</v>
      </c>
      <c r="E407" s="9">
        <v>0.7</v>
      </c>
      <c r="F407" s="10">
        <v>4.0</v>
      </c>
      <c r="G407" s="11">
        <v>4390.0</v>
      </c>
      <c r="I407" s="7"/>
      <c r="J407" s="7"/>
      <c r="K407" s="13" t="str">
        <f>IF(discount&gt;50%, product, "")</f>
        <v>Samsung Galaxy Buds Live Bluetooth Truly Wireless in Ear Earbuds with Mic, Upto 21 Hours Playtime, Mystic Black</v>
      </c>
      <c r="L407" s="7"/>
      <c r="M407" s="7"/>
      <c r="N407" s="7"/>
      <c r="O407" s="14"/>
      <c r="P407" s="14"/>
    </row>
    <row r="408">
      <c r="A408" s="7" t="s">
        <v>452</v>
      </c>
      <c r="B408" s="7" t="s">
        <v>380</v>
      </c>
      <c r="C408" s="8">
        <v>33999.0</v>
      </c>
      <c r="D408" s="8">
        <v>33999.0</v>
      </c>
      <c r="E408" s="9">
        <v>0.0</v>
      </c>
      <c r="F408" s="10">
        <v>4.3</v>
      </c>
      <c r="G408" s="11">
        <v>17415.0</v>
      </c>
      <c r="I408" s="7"/>
      <c r="J408" s="7"/>
      <c r="K408" s="13" t="str">
        <f>IF(discount&gt;50%, product, "")</f>
        <v/>
      </c>
      <c r="L408" s="7"/>
      <c r="M408" s="7"/>
      <c r="N408" s="7"/>
      <c r="O408" s="14"/>
      <c r="P408" s="14"/>
    </row>
    <row r="409">
      <c r="A409" s="7" t="s">
        <v>453</v>
      </c>
      <c r="B409" s="7" t="s">
        <v>454</v>
      </c>
      <c r="C409" s="8">
        <v>99.0</v>
      </c>
      <c r="D409" s="8">
        <v>999.0</v>
      </c>
      <c r="E409" s="9">
        <v>0.9</v>
      </c>
      <c r="F409" s="10">
        <v>4.0</v>
      </c>
      <c r="G409" s="11">
        <v>1396.0</v>
      </c>
      <c r="I409" s="7"/>
      <c r="J409" s="7"/>
      <c r="K409" s="13" t="str">
        <f>IF(discount&gt;50%, product, "")</f>
        <v>Sounce Spiral Charger Cable Protector Data Cable Saver Charging Cord Protective Cable Cover Headphone MacBook Laptop Earphone Cell Phone Set of 3 (Cable Protector (12 Units))</v>
      </c>
      <c r="L409" s="7"/>
      <c r="M409" s="7"/>
      <c r="N409" s="7"/>
      <c r="O409" s="14"/>
      <c r="P409" s="14"/>
    </row>
    <row r="410">
      <c r="A410" s="7" t="s">
        <v>455</v>
      </c>
      <c r="B410" s="7" t="s">
        <v>393</v>
      </c>
      <c r="C410" s="8">
        <v>299.0</v>
      </c>
      <c r="D410" s="8">
        <v>1900.0</v>
      </c>
      <c r="E410" s="9">
        <v>0.84</v>
      </c>
      <c r="F410" s="10">
        <v>3.6</v>
      </c>
      <c r="G410" s="11">
        <v>18202.0</v>
      </c>
      <c r="I410" s="7"/>
      <c r="J410" s="7"/>
      <c r="K410" s="13" t="str">
        <f>IF(discount&gt;50%, product, "")</f>
        <v>PTron Boom Ultima 4D Dual Driver, in-Ear Gaming Wired Headphones with in-line Mic, Volume Control &amp; Passive Noise Cancelling Boom 3 Earphones - (Dark Blue)</v>
      </c>
      <c r="L410" s="7"/>
      <c r="M410" s="7"/>
      <c r="N410" s="7"/>
      <c r="O410" s="14"/>
      <c r="P410" s="14"/>
    </row>
    <row r="411">
      <c r="A411" s="7" t="s">
        <v>456</v>
      </c>
      <c r="B411" s="7" t="s">
        <v>380</v>
      </c>
      <c r="C411" s="8">
        <v>10999.0</v>
      </c>
      <c r="D411" s="8">
        <v>14999.0</v>
      </c>
      <c r="E411" s="9">
        <v>0.27</v>
      </c>
      <c r="F411" s="10">
        <v>4.1</v>
      </c>
      <c r="G411" s="11">
        <v>18998.0</v>
      </c>
      <c r="I411" s="7"/>
      <c r="J411" s="7"/>
      <c r="K411" s="13" t="str">
        <f>IF(discount&gt;50%, product, "")</f>
        <v/>
      </c>
      <c r="L411" s="7"/>
      <c r="M411" s="7"/>
      <c r="N411" s="7"/>
      <c r="O411" s="14"/>
      <c r="P411" s="14"/>
    </row>
    <row r="412">
      <c r="A412" s="7" t="s">
        <v>457</v>
      </c>
      <c r="B412" s="7" t="s">
        <v>380</v>
      </c>
      <c r="C412" s="8">
        <v>34999.0</v>
      </c>
      <c r="D412" s="8">
        <v>38999.0</v>
      </c>
      <c r="E412" s="9">
        <v>0.1</v>
      </c>
      <c r="F412" s="10">
        <v>4.2</v>
      </c>
      <c r="G412" s="11">
        <v>11029.0</v>
      </c>
      <c r="I412" s="7"/>
      <c r="J412" s="7"/>
      <c r="K412" s="13" t="str">
        <f>IF(discount&gt;50%, product, "")</f>
        <v/>
      </c>
      <c r="L412" s="7"/>
      <c r="M412" s="7"/>
      <c r="N412" s="7"/>
      <c r="O412" s="14"/>
      <c r="P412" s="14"/>
    </row>
    <row r="413">
      <c r="A413" s="7" t="s">
        <v>416</v>
      </c>
      <c r="B413" s="7" t="s">
        <v>380</v>
      </c>
      <c r="C413" s="8">
        <v>16999.0</v>
      </c>
      <c r="D413" s="8">
        <v>24999.0</v>
      </c>
      <c r="E413" s="9">
        <v>0.32</v>
      </c>
      <c r="F413" s="10">
        <v>4.1</v>
      </c>
      <c r="G413" s="11">
        <v>22318.0</v>
      </c>
      <c r="I413" s="7"/>
      <c r="J413" s="7"/>
      <c r="K413" s="13" t="str">
        <f>IF(discount&gt;50%, product, "")</f>
        <v/>
      </c>
      <c r="L413" s="7"/>
      <c r="M413" s="7"/>
      <c r="N413" s="7"/>
      <c r="O413" s="14"/>
      <c r="P413" s="14"/>
    </row>
    <row r="414">
      <c r="A414" s="7" t="s">
        <v>458</v>
      </c>
      <c r="B414" s="7" t="s">
        <v>450</v>
      </c>
      <c r="C414" s="8">
        <v>199.0</v>
      </c>
      <c r="D414" s="8">
        <v>499.0</v>
      </c>
      <c r="E414" s="9">
        <v>0.6</v>
      </c>
      <c r="F414" s="10">
        <v>4.1</v>
      </c>
      <c r="G414" s="11">
        <v>1786.0</v>
      </c>
      <c r="I414" s="7"/>
      <c r="J414" s="7"/>
      <c r="K414" s="13" t="str">
        <f>IF(discount&gt;50%, product, "")</f>
        <v>Ambrane Mobile Holding Stand, 180° Perfect View, Height Adjustment, Wide Compatibility, Multipurpose, Anti-Skid Design (Twistand, Black)</v>
      </c>
      <c r="L414" s="7"/>
      <c r="M414" s="7"/>
      <c r="N414" s="7"/>
      <c r="O414" s="14"/>
      <c r="P414" s="14"/>
    </row>
    <row r="415">
      <c r="A415" s="7" t="s">
        <v>459</v>
      </c>
      <c r="B415" s="7" t="s">
        <v>377</v>
      </c>
      <c r="C415" s="8">
        <v>999.0</v>
      </c>
      <c r="D415" s="8">
        <v>1599.0</v>
      </c>
      <c r="E415" s="9">
        <v>0.38</v>
      </c>
      <c r="F415" s="10">
        <v>4.0</v>
      </c>
      <c r="G415" s="11">
        <v>7222.0</v>
      </c>
      <c r="I415" s="7"/>
      <c r="J415" s="7"/>
      <c r="K415" s="13" t="str">
        <f>IF(discount&gt;50%, product, "")</f>
        <v/>
      </c>
      <c r="L415" s="7"/>
      <c r="M415" s="7"/>
      <c r="N415" s="7"/>
      <c r="O415" s="14"/>
      <c r="P415" s="14"/>
    </row>
    <row r="416">
      <c r="A416" s="7" t="s">
        <v>460</v>
      </c>
      <c r="B416" s="7" t="s">
        <v>389</v>
      </c>
      <c r="C416" s="8">
        <v>1299.0</v>
      </c>
      <c r="D416" s="8">
        <v>1599.0</v>
      </c>
      <c r="E416" s="9">
        <v>0.19</v>
      </c>
      <c r="F416" s="10">
        <v>4.0</v>
      </c>
      <c r="G416" s="7" t="s">
        <v>390</v>
      </c>
      <c r="I416" s="7"/>
      <c r="J416" s="7"/>
      <c r="K416" s="13" t="str">
        <f>IF(discount&gt;50%, product, "")</f>
        <v/>
      </c>
      <c r="L416" s="7"/>
      <c r="M416" s="7"/>
      <c r="N416" s="7"/>
      <c r="O416" s="14"/>
      <c r="P416" s="14"/>
    </row>
    <row r="417">
      <c r="A417" s="7" t="s">
        <v>461</v>
      </c>
      <c r="B417" s="7" t="s">
        <v>393</v>
      </c>
      <c r="C417" s="8">
        <v>599.0</v>
      </c>
      <c r="D417" s="8">
        <v>1800.0</v>
      </c>
      <c r="E417" s="9">
        <v>0.67</v>
      </c>
      <c r="F417" s="10">
        <v>3.5</v>
      </c>
      <c r="G417" s="11">
        <v>83996.0</v>
      </c>
      <c r="I417" s="7"/>
      <c r="J417" s="7"/>
      <c r="K417" s="13" t="str">
        <f>IF(discount&gt;50%, product, "")</f>
        <v>PTron Tangent Lite Bluetooth 5.0 Earphones with Mic, Hi-Fi Stereo Sound Neckband, 8Hrs Playtime, Lightweight Snug-fit in-Ear Headphones, IPX4 Water Resistant, Fast Charge &amp; Voice Assistant (Black)</v>
      </c>
      <c r="L417" s="7"/>
      <c r="M417" s="7"/>
      <c r="N417" s="7"/>
      <c r="O417" s="14"/>
      <c r="P417" s="14"/>
    </row>
    <row r="418">
      <c r="A418" s="7" t="s">
        <v>462</v>
      </c>
      <c r="B418" s="7" t="s">
        <v>386</v>
      </c>
      <c r="C418" s="8">
        <v>599.0</v>
      </c>
      <c r="D418" s="8">
        <v>1899.0</v>
      </c>
      <c r="E418" s="9">
        <v>0.68</v>
      </c>
      <c r="F418" s="10">
        <v>4.3</v>
      </c>
      <c r="G418" s="7" t="s">
        <v>443</v>
      </c>
      <c r="I418" s="7"/>
      <c r="J418" s="7"/>
      <c r="K418" s="13" t="str">
        <f>IF(discount&gt;50%, product, "")</f>
        <v>Samsung EVO Plus 64GB microSDXC UHS-I U1 130MB/s Full HD &amp; 4K UHD Memory Card with Adapter (MB-MC64KA), Blue</v>
      </c>
      <c r="L418" s="7"/>
      <c r="M418" s="7"/>
      <c r="N418" s="7"/>
      <c r="O418" s="14"/>
      <c r="P418" s="14"/>
    </row>
    <row r="419">
      <c r="A419" s="7" t="s">
        <v>463</v>
      </c>
      <c r="B419" s="7" t="s">
        <v>377</v>
      </c>
      <c r="C419" s="8">
        <v>1799.0</v>
      </c>
      <c r="D419" s="8">
        <v>2499.0</v>
      </c>
      <c r="E419" s="9">
        <v>0.28</v>
      </c>
      <c r="F419" s="10">
        <v>4.1</v>
      </c>
      <c r="G419" s="11">
        <v>18678.0</v>
      </c>
      <c r="I419" s="7"/>
      <c r="J419" s="7"/>
      <c r="K419" s="13" t="str">
        <f>IF(discount&gt;50%, product, "")</f>
        <v/>
      </c>
      <c r="L419" s="7"/>
      <c r="M419" s="7"/>
      <c r="N419" s="7"/>
      <c r="O419" s="14"/>
      <c r="P419" s="14"/>
    </row>
    <row r="420">
      <c r="A420" s="7" t="s">
        <v>22</v>
      </c>
      <c r="B420" s="7" t="s">
        <v>15</v>
      </c>
      <c r="C420" s="8">
        <v>176.63</v>
      </c>
      <c r="D420" s="8">
        <v>499.0</v>
      </c>
      <c r="E420" s="9">
        <v>0.65</v>
      </c>
      <c r="F420" s="10">
        <v>4.1</v>
      </c>
      <c r="G420" s="11">
        <v>15189.0</v>
      </c>
      <c r="I420" s="7"/>
      <c r="J420" s="7"/>
      <c r="K420" s="13" t="str">
        <f>IF(discount&gt;50%, product, "")</f>
        <v>boAt Micro USB 55 Tangle-free, Sturdy Micro USB Cable with 3A Fast Charging &amp; 480mbps Data Transmission (Black)</v>
      </c>
      <c r="L420" s="7"/>
      <c r="M420" s="7"/>
      <c r="N420" s="7"/>
      <c r="O420" s="14"/>
      <c r="P420" s="14"/>
    </row>
    <row r="421">
      <c r="A421" s="7" t="s">
        <v>464</v>
      </c>
      <c r="B421" s="7" t="s">
        <v>380</v>
      </c>
      <c r="C421" s="8">
        <v>10999.0</v>
      </c>
      <c r="D421" s="8">
        <v>14999.0</v>
      </c>
      <c r="E421" s="9">
        <v>0.27</v>
      </c>
      <c r="F421" s="10">
        <v>4.1</v>
      </c>
      <c r="G421" s="11">
        <v>18998.0</v>
      </c>
      <c r="I421" s="7"/>
      <c r="J421" s="7"/>
      <c r="K421" s="13" t="str">
        <f>IF(discount&gt;50%, product, "")</f>
        <v/>
      </c>
      <c r="L421" s="7"/>
      <c r="M421" s="7"/>
      <c r="N421" s="7"/>
      <c r="O421" s="14"/>
      <c r="P421" s="14"/>
    </row>
    <row r="422">
      <c r="A422" s="7" t="s">
        <v>465</v>
      </c>
      <c r="B422" s="7" t="s">
        <v>373</v>
      </c>
      <c r="C422" s="8">
        <v>2999.0</v>
      </c>
      <c r="D422" s="8">
        <v>7990.0</v>
      </c>
      <c r="E422" s="9">
        <v>0.62</v>
      </c>
      <c r="F422" s="10">
        <v>4.1</v>
      </c>
      <c r="G422" s="11">
        <v>48449.0</v>
      </c>
      <c r="I422" s="7"/>
      <c r="J422" s="7"/>
      <c r="K422" s="13" t="str">
        <f>IF(discount&gt;50%, product, "")</f>
        <v>boAt Xtend Smartwatch with Alexa Built-in, 1.69” HD Display, Multiple Watch Faces, Stress Monitor, Heart &amp; SpO2 Monitoring, 14 Sports Modes, Sleep Monitor, 5 ATM &amp; 7 Days Battery(Pitch Black)</v>
      </c>
      <c r="L422" s="7"/>
      <c r="M422" s="7"/>
      <c r="N422" s="7"/>
      <c r="O422" s="14"/>
      <c r="P422" s="14"/>
    </row>
    <row r="423">
      <c r="A423" s="7" t="s">
        <v>466</v>
      </c>
      <c r="B423" s="7" t="s">
        <v>373</v>
      </c>
      <c r="C423" s="8">
        <v>1999.0</v>
      </c>
      <c r="D423" s="8">
        <v>7990.0</v>
      </c>
      <c r="E423" s="9">
        <v>0.75</v>
      </c>
      <c r="F423" s="10">
        <v>3.8</v>
      </c>
      <c r="G423" s="11">
        <v>17831.0</v>
      </c>
      <c r="I423" s="7"/>
      <c r="J423" s="7"/>
      <c r="K423" s="13" t="str">
        <f>IF(discount&gt;50%, product, "")</f>
        <v>boAt Wave Call Smart Watch, Smart Talk with Advanced Dedicated Bluetooth Calling Chip, 1.69” HD Display with 550 NITS &amp; 70% Color Gamut, 150+ Watch Faces, Multi-Sport Modes, HR, SpO2, IP68(Deep Blue)</v>
      </c>
      <c r="L423" s="7"/>
      <c r="M423" s="7"/>
      <c r="N423" s="7"/>
      <c r="O423" s="14"/>
      <c r="P423" s="14"/>
    </row>
    <row r="424">
      <c r="A424" s="7" t="s">
        <v>23</v>
      </c>
      <c r="B424" s="7" t="s">
        <v>15</v>
      </c>
      <c r="C424" s="8">
        <v>229.0</v>
      </c>
      <c r="D424" s="8">
        <v>299.0</v>
      </c>
      <c r="E424" s="9">
        <v>0.23</v>
      </c>
      <c r="F424" s="10">
        <v>4.3</v>
      </c>
      <c r="G424" s="11">
        <v>30411.0</v>
      </c>
      <c r="I424" s="7"/>
      <c r="J424" s="7"/>
      <c r="K424" s="13" t="str">
        <f>IF(discount&gt;50%, product, "")</f>
        <v/>
      </c>
      <c r="L424" s="7"/>
      <c r="M424" s="7"/>
      <c r="N424" s="7"/>
      <c r="O424" s="14"/>
      <c r="P424" s="14"/>
    </row>
    <row r="425">
      <c r="A425" s="7" t="s">
        <v>27</v>
      </c>
      <c r="B425" s="7" t="s">
        <v>15</v>
      </c>
      <c r="C425" s="8">
        <v>199.0</v>
      </c>
      <c r="D425" s="8">
        <v>299.0</v>
      </c>
      <c r="E425" s="9">
        <v>0.33</v>
      </c>
      <c r="F425" s="10">
        <v>4.0</v>
      </c>
      <c r="G425" s="11">
        <v>43994.0</v>
      </c>
      <c r="I425" s="7"/>
      <c r="J425" s="7"/>
      <c r="K425" s="13" t="str">
        <f>IF(discount&gt;50%, product, "")</f>
        <v/>
      </c>
      <c r="L425" s="7"/>
      <c r="M425" s="7"/>
      <c r="N425" s="7"/>
      <c r="O425" s="14"/>
      <c r="P425" s="14"/>
    </row>
    <row r="426">
      <c r="A426" s="7" t="s">
        <v>467</v>
      </c>
      <c r="B426" s="7" t="s">
        <v>409</v>
      </c>
      <c r="C426" s="8">
        <v>649.0</v>
      </c>
      <c r="D426" s="8">
        <v>999.0</v>
      </c>
      <c r="E426" s="9">
        <v>0.35</v>
      </c>
      <c r="F426" s="10">
        <v>4.2</v>
      </c>
      <c r="G426" s="11">
        <v>1315.0</v>
      </c>
      <c r="I426" s="7"/>
      <c r="J426" s="7"/>
      <c r="K426" s="13" t="str">
        <f>IF(discount&gt;50%, product, "")</f>
        <v/>
      </c>
      <c r="L426" s="7"/>
      <c r="M426" s="7"/>
      <c r="N426" s="7"/>
      <c r="O426" s="14"/>
      <c r="P426" s="14"/>
    </row>
    <row r="427">
      <c r="A427" s="7" t="s">
        <v>445</v>
      </c>
      <c r="B427" s="7" t="s">
        <v>380</v>
      </c>
      <c r="C427" s="8">
        <v>13999.0</v>
      </c>
      <c r="D427" s="8">
        <v>19499.0</v>
      </c>
      <c r="E427" s="9">
        <v>0.28</v>
      </c>
      <c r="F427" s="10">
        <v>4.1</v>
      </c>
      <c r="G427" s="11">
        <v>18998.0</v>
      </c>
      <c r="I427" s="7"/>
      <c r="J427" s="7"/>
      <c r="K427" s="13" t="str">
        <f>IF(discount&gt;50%, product, "")</f>
        <v/>
      </c>
      <c r="L427" s="7"/>
      <c r="M427" s="7"/>
      <c r="N427" s="7"/>
      <c r="O427" s="14"/>
      <c r="P427" s="14"/>
    </row>
    <row r="428">
      <c r="A428" s="7" t="s">
        <v>468</v>
      </c>
      <c r="B428" s="7" t="s">
        <v>469</v>
      </c>
      <c r="C428" s="8">
        <v>119.0</v>
      </c>
      <c r="D428" s="8">
        <v>299.0</v>
      </c>
      <c r="E428" s="9">
        <v>0.6</v>
      </c>
      <c r="F428" s="10">
        <v>4.1</v>
      </c>
      <c r="G428" s="11">
        <v>5999.0</v>
      </c>
      <c r="I428" s="7"/>
      <c r="J428" s="7"/>
      <c r="K428" s="13" t="str">
        <f>IF(discount&gt;50%, product, "")</f>
        <v>Gizga Essentials Spiral Cable Protector Cord Saver for Mac Charger, iPhone Charger, Wire Protector, Lightweight Durable Flexible Wire Winder for Charging Cables, Data Cables, Earphones, Pack of 10</v>
      </c>
      <c r="L428" s="7"/>
      <c r="M428" s="7"/>
      <c r="N428" s="7"/>
      <c r="O428" s="14"/>
      <c r="P428" s="14"/>
    </row>
    <row r="429">
      <c r="A429" s="7" t="s">
        <v>470</v>
      </c>
      <c r="B429" s="7" t="s">
        <v>380</v>
      </c>
      <c r="C429" s="8">
        <v>12999.0</v>
      </c>
      <c r="D429" s="8">
        <v>17999.0</v>
      </c>
      <c r="E429" s="9">
        <v>0.28</v>
      </c>
      <c r="F429" s="10">
        <v>4.1</v>
      </c>
      <c r="G429" s="11">
        <v>50772.0</v>
      </c>
      <c r="I429" s="7"/>
      <c r="J429" s="7"/>
      <c r="K429" s="13" t="str">
        <f>IF(discount&gt;50%, product, "")</f>
        <v/>
      </c>
      <c r="L429" s="7"/>
      <c r="M429" s="7"/>
      <c r="N429" s="7"/>
      <c r="O429" s="14"/>
      <c r="P429" s="14"/>
    </row>
    <row r="430">
      <c r="A430" s="7" t="s">
        <v>28</v>
      </c>
      <c r="B430" s="7" t="s">
        <v>15</v>
      </c>
      <c r="C430" s="8">
        <v>154.0</v>
      </c>
      <c r="D430" s="8">
        <v>339.0</v>
      </c>
      <c r="E430" s="9">
        <v>0.55</v>
      </c>
      <c r="F430" s="10">
        <v>4.3</v>
      </c>
      <c r="G430" s="11">
        <v>13391.0</v>
      </c>
      <c r="I430" s="7"/>
      <c r="J430" s="7"/>
      <c r="K430" s="13" t="str">
        <f>IF(discount&gt;50%, product, "")</f>
        <v>Portronics Konnect L POR-1081 Fast Charging 3A Type-C Cable 1.2Meter with Charge &amp; Sync Function for All Type-C Devices (Grey)</v>
      </c>
      <c r="L430" s="7"/>
      <c r="M430" s="7"/>
      <c r="N430" s="7"/>
      <c r="O430" s="14"/>
      <c r="P430" s="14"/>
    </row>
    <row r="431">
      <c r="A431" s="7" t="s">
        <v>471</v>
      </c>
      <c r="B431" s="7" t="s">
        <v>380</v>
      </c>
      <c r="C431" s="8">
        <v>20999.0</v>
      </c>
      <c r="D431" s="8">
        <v>26999.0</v>
      </c>
      <c r="E431" s="9">
        <v>0.22</v>
      </c>
      <c r="F431" s="10">
        <v>3.9</v>
      </c>
      <c r="G431" s="11">
        <v>25824.0</v>
      </c>
      <c r="I431" s="7"/>
      <c r="J431" s="7"/>
      <c r="K431" s="13" t="str">
        <f>IF(discount&gt;50%, product, "")</f>
        <v/>
      </c>
      <c r="L431" s="7"/>
      <c r="M431" s="7"/>
      <c r="N431" s="7"/>
      <c r="O431" s="14"/>
      <c r="P431" s="14"/>
    </row>
    <row r="432">
      <c r="A432" s="7" t="s">
        <v>472</v>
      </c>
      <c r="B432" s="7" t="s">
        <v>409</v>
      </c>
      <c r="C432" s="8">
        <v>249.0</v>
      </c>
      <c r="D432" s="8">
        <v>649.0</v>
      </c>
      <c r="E432" s="9">
        <v>0.62</v>
      </c>
      <c r="F432" s="10">
        <v>4.0</v>
      </c>
      <c r="G432" s="11">
        <v>14404.0</v>
      </c>
      <c r="I432" s="7"/>
      <c r="J432" s="7"/>
      <c r="K432" s="13" t="str">
        <f>IF(discount&gt;50%, product, "")</f>
        <v>USB Charger, Oraimo Elite Dual Port 5V/2.4A Wall Charger, USB Wall Charger Adapter for iPhone 11/Xs/XS Max/XR/X/8/7/6/Plus, iPad Pro/Air 2/Mini 3/Mini 4, Samsung S4/S5, and More</v>
      </c>
      <c r="L432" s="7"/>
      <c r="M432" s="7"/>
      <c r="N432" s="7"/>
      <c r="O432" s="14"/>
      <c r="P432" s="14"/>
    </row>
    <row r="433">
      <c r="A433" s="7" t="s">
        <v>473</v>
      </c>
      <c r="B433" s="7" t="s">
        <v>409</v>
      </c>
      <c r="C433" s="8">
        <v>99.0</v>
      </c>
      <c r="D433" s="8">
        <v>171.0</v>
      </c>
      <c r="E433" s="9">
        <v>0.42</v>
      </c>
      <c r="F433" s="10">
        <v>4.5</v>
      </c>
      <c r="G433" s="11">
        <v>11339.0</v>
      </c>
      <c r="I433" s="7"/>
      <c r="J433" s="7"/>
      <c r="K433" s="13" t="str">
        <f>IF(discount&gt;50%, product, "")</f>
        <v/>
      </c>
      <c r="L433" s="7"/>
      <c r="M433" s="7"/>
      <c r="N433" s="7"/>
      <c r="O433" s="14"/>
      <c r="P433" s="14"/>
    </row>
    <row r="434">
      <c r="A434" s="7" t="s">
        <v>474</v>
      </c>
      <c r="B434" s="7" t="s">
        <v>407</v>
      </c>
      <c r="C434" s="8">
        <v>489.0</v>
      </c>
      <c r="D434" s="8">
        <v>1999.0</v>
      </c>
      <c r="E434" s="9">
        <v>0.76</v>
      </c>
      <c r="F434" s="10">
        <v>4.0</v>
      </c>
      <c r="G434" s="11">
        <v>3626.0</v>
      </c>
      <c r="I434" s="7"/>
      <c r="J434" s="7"/>
      <c r="K434" s="13" t="str">
        <f>IF(discount&gt;50%, product, "")</f>
        <v>WeCool C1 Car Mobile Holder with One Click Technology,360° Rotational, Strong Suction Cup,Compatible with 4 to 6 Inch Devices, Wildshield and Dashboard Mobile Holder for Car, and Use</v>
      </c>
      <c r="L434" s="7"/>
      <c r="M434" s="7"/>
      <c r="N434" s="7"/>
      <c r="O434" s="14"/>
      <c r="P434" s="14"/>
    </row>
    <row r="435">
      <c r="A435" s="7" t="s">
        <v>475</v>
      </c>
      <c r="B435" s="7" t="s">
        <v>386</v>
      </c>
      <c r="C435" s="8">
        <v>369.0</v>
      </c>
      <c r="D435" s="8">
        <v>1600.0</v>
      </c>
      <c r="E435" s="9">
        <v>0.77</v>
      </c>
      <c r="F435" s="10">
        <v>4.0</v>
      </c>
      <c r="G435" s="11">
        <v>32625.0</v>
      </c>
      <c r="I435" s="7"/>
      <c r="J435" s="7"/>
      <c r="K435" s="13" t="str">
        <f>IF(discount&gt;50%, product, "")</f>
        <v>HP 32GB Class 10 MicroSD Memory Card (U1 TF Card 32GB)</v>
      </c>
      <c r="L435" s="7"/>
      <c r="M435" s="7"/>
      <c r="N435" s="7"/>
      <c r="O435" s="14"/>
      <c r="P435" s="14"/>
    </row>
    <row r="436">
      <c r="A436" s="7" t="s">
        <v>476</v>
      </c>
      <c r="B436" s="7" t="s">
        <v>380</v>
      </c>
      <c r="C436" s="8">
        <v>15499.0</v>
      </c>
      <c r="D436" s="8">
        <v>20999.0</v>
      </c>
      <c r="E436" s="9">
        <v>0.26</v>
      </c>
      <c r="F436" s="10">
        <v>4.1</v>
      </c>
      <c r="G436" s="11">
        <v>19252.0</v>
      </c>
      <c r="I436" s="7"/>
      <c r="J436" s="7"/>
      <c r="K436" s="13" t="str">
        <f>IF(discount&gt;50%, product, "")</f>
        <v/>
      </c>
      <c r="L436" s="7"/>
      <c r="M436" s="7"/>
      <c r="N436" s="7"/>
      <c r="O436" s="14"/>
      <c r="P436" s="14"/>
    </row>
    <row r="437">
      <c r="A437" s="7" t="s">
        <v>477</v>
      </c>
      <c r="B437" s="7" t="s">
        <v>380</v>
      </c>
      <c r="C437" s="8">
        <v>15499.0</v>
      </c>
      <c r="D437" s="8">
        <v>18999.0</v>
      </c>
      <c r="E437" s="9">
        <v>0.18</v>
      </c>
      <c r="F437" s="10">
        <v>4.1</v>
      </c>
      <c r="G437" s="11">
        <v>19252.0</v>
      </c>
      <c r="I437" s="7"/>
      <c r="J437" s="7"/>
      <c r="K437" s="13" t="str">
        <f>IF(discount&gt;50%, product, "")</f>
        <v/>
      </c>
      <c r="L437" s="7"/>
      <c r="M437" s="7"/>
      <c r="N437" s="7"/>
      <c r="O437" s="14"/>
      <c r="P437" s="14"/>
    </row>
    <row r="438">
      <c r="A438" s="7" t="s">
        <v>478</v>
      </c>
      <c r="B438" s="7" t="s">
        <v>380</v>
      </c>
      <c r="C438" s="8">
        <v>22999.0</v>
      </c>
      <c r="D438" s="8">
        <v>28999.0</v>
      </c>
      <c r="E438" s="9">
        <v>0.21</v>
      </c>
      <c r="F438" s="10">
        <v>3.9</v>
      </c>
      <c r="G438" s="11">
        <v>25824.0</v>
      </c>
      <c r="I438" s="7"/>
      <c r="J438" s="7"/>
      <c r="K438" s="13" t="str">
        <f>IF(discount&gt;50%, product, "")</f>
        <v/>
      </c>
      <c r="L438" s="7"/>
      <c r="M438" s="7"/>
      <c r="N438" s="7"/>
      <c r="O438" s="14"/>
      <c r="P438" s="14"/>
    </row>
    <row r="439">
      <c r="A439" s="7" t="s">
        <v>479</v>
      </c>
      <c r="B439" s="7" t="s">
        <v>393</v>
      </c>
      <c r="C439" s="8">
        <v>599.0</v>
      </c>
      <c r="D439" s="8">
        <v>1490.0</v>
      </c>
      <c r="E439" s="9">
        <v>0.6</v>
      </c>
      <c r="F439" s="10">
        <v>4.1</v>
      </c>
      <c r="G439" s="7" t="s">
        <v>480</v>
      </c>
      <c r="I439" s="7"/>
      <c r="J439" s="7"/>
      <c r="K439" s="13" t="str">
        <f>IF(discount&gt;50%, product, "")</f>
        <v>boAt Bassheads 242 in Ear Wired Earphones with Mic(Active Black)</v>
      </c>
      <c r="L439" s="7"/>
      <c r="M439" s="7"/>
      <c r="N439" s="7"/>
      <c r="O439" s="14"/>
      <c r="P439" s="14"/>
    </row>
    <row r="440">
      <c r="A440" s="7" t="s">
        <v>481</v>
      </c>
      <c r="B440" s="7" t="s">
        <v>450</v>
      </c>
      <c r="C440" s="8">
        <v>134.0</v>
      </c>
      <c r="D440" s="8">
        <v>699.0</v>
      </c>
      <c r="E440" s="9">
        <v>0.81</v>
      </c>
      <c r="F440" s="10">
        <v>4.1</v>
      </c>
      <c r="G440" s="11">
        <v>16685.0</v>
      </c>
      <c r="I440" s="7"/>
      <c r="J440" s="7"/>
      <c r="K440" s="13" t="str">
        <f>IF(discount&gt;50%, product, "")</f>
        <v>Portronics MODESK POR-122 Universal Mobile Tabletop Holder (Black)</v>
      </c>
      <c r="L440" s="7"/>
      <c r="M440" s="7"/>
      <c r="N440" s="7"/>
      <c r="O440" s="14"/>
      <c r="P440" s="14"/>
    </row>
    <row r="441">
      <c r="A441" s="7" t="s">
        <v>482</v>
      </c>
      <c r="B441" s="7" t="s">
        <v>380</v>
      </c>
      <c r="C441" s="8">
        <v>7499.0</v>
      </c>
      <c r="D441" s="8">
        <v>7999.0</v>
      </c>
      <c r="E441" s="9">
        <v>0.06</v>
      </c>
      <c r="F441" s="10">
        <v>4.0</v>
      </c>
      <c r="G441" s="11">
        <v>30907.0</v>
      </c>
      <c r="I441" s="7"/>
      <c r="J441" s="7"/>
      <c r="K441" s="13" t="str">
        <f>IF(discount&gt;50%, product, "")</f>
        <v/>
      </c>
      <c r="L441" s="7"/>
      <c r="M441" s="7"/>
      <c r="N441" s="7"/>
      <c r="O441" s="14"/>
      <c r="P441" s="14"/>
    </row>
    <row r="442">
      <c r="A442" s="7" t="s">
        <v>483</v>
      </c>
      <c r="B442" s="7" t="s">
        <v>377</v>
      </c>
      <c r="C442" s="8">
        <v>1149.0</v>
      </c>
      <c r="D442" s="8">
        <v>2199.0</v>
      </c>
      <c r="E442" s="9">
        <v>0.48</v>
      </c>
      <c r="F442" s="10">
        <v>4.3</v>
      </c>
      <c r="G442" s="7" t="s">
        <v>378</v>
      </c>
      <c r="I442" s="7"/>
      <c r="J442" s="7"/>
      <c r="K442" s="13" t="str">
        <f>IF(discount&gt;50%, product, "")</f>
        <v/>
      </c>
      <c r="L442" s="7"/>
      <c r="M442" s="7"/>
      <c r="N442" s="7"/>
      <c r="O442" s="14"/>
      <c r="P442" s="14"/>
    </row>
    <row r="443">
      <c r="A443" s="7" t="s">
        <v>484</v>
      </c>
      <c r="B443" s="7" t="s">
        <v>389</v>
      </c>
      <c r="C443" s="8">
        <v>1324.0</v>
      </c>
      <c r="D443" s="8">
        <v>1699.0</v>
      </c>
      <c r="E443" s="9">
        <v>0.22</v>
      </c>
      <c r="F443" s="10">
        <v>4.0</v>
      </c>
      <c r="G443" s="7" t="s">
        <v>390</v>
      </c>
      <c r="I443" s="7"/>
      <c r="J443" s="7"/>
      <c r="K443" s="13" t="str">
        <f>IF(discount&gt;50%, product, "")</f>
        <v/>
      </c>
      <c r="L443" s="7"/>
      <c r="M443" s="7"/>
      <c r="N443" s="7"/>
      <c r="O443" s="14"/>
      <c r="P443" s="14"/>
    </row>
    <row r="444">
      <c r="A444" s="7" t="s">
        <v>485</v>
      </c>
      <c r="B444" s="7" t="s">
        <v>380</v>
      </c>
      <c r="C444" s="8">
        <v>13999.0</v>
      </c>
      <c r="D444" s="8">
        <v>19999.0</v>
      </c>
      <c r="E444" s="9">
        <v>0.3</v>
      </c>
      <c r="F444" s="10">
        <v>4.1</v>
      </c>
      <c r="G444" s="11">
        <v>19252.0</v>
      </c>
      <c r="I444" s="7"/>
      <c r="J444" s="7"/>
      <c r="K444" s="13" t="str">
        <f>IF(discount&gt;50%, product, "")</f>
        <v/>
      </c>
      <c r="L444" s="7"/>
      <c r="M444" s="7"/>
      <c r="N444" s="7"/>
      <c r="O444" s="14"/>
      <c r="P444" s="14"/>
    </row>
    <row r="445">
      <c r="A445" s="7" t="s">
        <v>29</v>
      </c>
      <c r="B445" s="7" t="s">
        <v>15</v>
      </c>
      <c r="C445" s="8">
        <v>299.0</v>
      </c>
      <c r="D445" s="8">
        <v>799.0</v>
      </c>
      <c r="E445" s="9">
        <v>0.63</v>
      </c>
      <c r="F445" s="10">
        <v>4.2</v>
      </c>
      <c r="G445" s="11">
        <v>94364.0</v>
      </c>
      <c r="I445" s="7"/>
      <c r="J445" s="7"/>
      <c r="K445" s="13" t="str">
        <f>IF(discount&gt;50%, product, "")</f>
        <v>boAt Rugged v3 Extra Tough Unbreakable Braided Micro USB Cable 1.5 Meter (Black)</v>
      </c>
      <c r="L445" s="7"/>
      <c r="M445" s="7"/>
      <c r="N445" s="7"/>
      <c r="O445" s="14"/>
      <c r="P445" s="14"/>
    </row>
    <row r="446">
      <c r="A446" s="7" t="s">
        <v>486</v>
      </c>
      <c r="B446" s="7" t="s">
        <v>377</v>
      </c>
      <c r="C446" s="8">
        <v>999.0</v>
      </c>
      <c r="D446" s="8">
        <v>1599.0</v>
      </c>
      <c r="E446" s="9">
        <v>0.38</v>
      </c>
      <c r="F446" s="10">
        <v>4.0</v>
      </c>
      <c r="G446" s="11">
        <v>7222.0</v>
      </c>
      <c r="I446" s="7"/>
      <c r="J446" s="7"/>
      <c r="K446" s="13" t="str">
        <f>IF(discount&gt;50%, product, "")</f>
        <v/>
      </c>
      <c r="L446" s="7"/>
      <c r="M446" s="7"/>
      <c r="N446" s="7"/>
      <c r="O446" s="14"/>
      <c r="P446" s="14"/>
    </row>
    <row r="447">
      <c r="A447" s="7" t="s">
        <v>487</v>
      </c>
      <c r="B447" s="7" t="s">
        <v>380</v>
      </c>
      <c r="C447" s="8">
        <v>12999.0</v>
      </c>
      <c r="D447" s="8">
        <v>17999.0</v>
      </c>
      <c r="E447" s="9">
        <v>0.28</v>
      </c>
      <c r="F447" s="10">
        <v>4.1</v>
      </c>
      <c r="G447" s="11">
        <v>18998.0</v>
      </c>
      <c r="I447" s="7"/>
      <c r="J447" s="7"/>
      <c r="K447" s="13" t="str">
        <f>IF(discount&gt;50%, product, "")</f>
        <v/>
      </c>
      <c r="L447" s="7"/>
      <c r="M447" s="7"/>
      <c r="N447" s="7"/>
      <c r="O447" s="14"/>
      <c r="P447" s="14"/>
    </row>
    <row r="448">
      <c r="A448" s="7" t="s">
        <v>488</v>
      </c>
      <c r="B448" s="7" t="s">
        <v>380</v>
      </c>
      <c r="C448" s="8">
        <v>15490.0</v>
      </c>
      <c r="D448" s="8">
        <v>20990.0</v>
      </c>
      <c r="E448" s="9">
        <v>0.26</v>
      </c>
      <c r="F448" s="10">
        <v>4.2</v>
      </c>
      <c r="G448" s="11">
        <v>32916.0</v>
      </c>
      <c r="I448" s="7"/>
      <c r="J448" s="7"/>
      <c r="K448" s="13" t="str">
        <f>IF(discount&gt;50%, product, "")</f>
        <v/>
      </c>
      <c r="L448" s="7"/>
      <c r="M448" s="7"/>
      <c r="N448" s="7"/>
      <c r="O448" s="14"/>
      <c r="P448" s="14"/>
    </row>
    <row r="449">
      <c r="A449" s="7" t="s">
        <v>489</v>
      </c>
      <c r="B449" s="7" t="s">
        <v>490</v>
      </c>
      <c r="C449" s="8">
        <v>999.0</v>
      </c>
      <c r="D449" s="8">
        <v>2899.0</v>
      </c>
      <c r="E449" s="9">
        <v>0.66</v>
      </c>
      <c r="F449" s="10">
        <v>4.6</v>
      </c>
      <c r="G449" s="11">
        <v>26603.0</v>
      </c>
      <c r="I449" s="7"/>
      <c r="J449" s="7"/>
      <c r="K449" s="13" t="str">
        <f>IF(discount&gt;50%, product, "")</f>
        <v>Spigen EZ Fit Tempered Glass Screen Protector Guard for iPhone 14/13/13 Pro - 2 Pack</v>
      </c>
      <c r="L449" s="7"/>
      <c r="M449" s="7"/>
      <c r="N449" s="7"/>
      <c r="O449" s="14"/>
      <c r="P449" s="14"/>
    </row>
    <row r="450">
      <c r="A450" s="7" t="s">
        <v>491</v>
      </c>
      <c r="B450" s="7" t="s">
        <v>373</v>
      </c>
      <c r="C450" s="8">
        <v>1599.0</v>
      </c>
      <c r="D450" s="8">
        <v>4999.0</v>
      </c>
      <c r="E450" s="9">
        <v>0.68</v>
      </c>
      <c r="F450" s="10">
        <v>4.0</v>
      </c>
      <c r="G450" s="11">
        <v>67950.0</v>
      </c>
      <c r="I450" s="7"/>
      <c r="J450" s="7"/>
      <c r="K450" s="13" t="str">
        <f>IF(discount&gt;50%, product, "")</f>
        <v>Noise ColorFit Pulse Smartwatch with 3.56 cm (1.4") Full Touch HD Display, SpO2, Heart Rate, Sleep Monitors &amp; 10-Day Battery - Jet Black</v>
      </c>
      <c r="L450" s="7"/>
      <c r="M450" s="7"/>
      <c r="N450" s="7"/>
      <c r="O450" s="14"/>
      <c r="P450" s="14"/>
    </row>
    <row r="451">
      <c r="A451" s="7" t="s">
        <v>492</v>
      </c>
      <c r="B451" s="7" t="s">
        <v>389</v>
      </c>
      <c r="C451" s="8">
        <v>1324.0</v>
      </c>
      <c r="D451" s="8">
        <v>1699.0</v>
      </c>
      <c r="E451" s="9">
        <v>0.22</v>
      </c>
      <c r="F451" s="10">
        <v>4.0</v>
      </c>
      <c r="G451" s="7" t="s">
        <v>390</v>
      </c>
      <c r="I451" s="7"/>
      <c r="J451" s="7"/>
      <c r="K451" s="13" t="str">
        <f>IF(discount&gt;50%, product, "")</f>
        <v/>
      </c>
      <c r="L451" s="7"/>
      <c r="M451" s="7"/>
      <c r="N451" s="7"/>
      <c r="O451" s="14"/>
      <c r="P451" s="14"/>
    </row>
    <row r="452">
      <c r="A452" s="7" t="s">
        <v>493</v>
      </c>
      <c r="B452" s="7" t="s">
        <v>380</v>
      </c>
      <c r="C452" s="8">
        <v>20999.0</v>
      </c>
      <c r="D452" s="8">
        <v>29990.0</v>
      </c>
      <c r="E452" s="9">
        <v>0.3</v>
      </c>
      <c r="F452" s="10">
        <v>4.3</v>
      </c>
      <c r="G452" s="11">
        <v>9499.0</v>
      </c>
      <c r="I452" s="7"/>
      <c r="J452" s="7"/>
      <c r="K452" s="13" t="str">
        <f>IF(discount&gt;50%, product, "")</f>
        <v/>
      </c>
      <c r="L452" s="7"/>
      <c r="M452" s="7"/>
      <c r="N452" s="7"/>
      <c r="O452" s="14"/>
      <c r="P452" s="14"/>
    </row>
    <row r="453">
      <c r="A453" s="7" t="s">
        <v>494</v>
      </c>
      <c r="B453" s="7" t="s">
        <v>409</v>
      </c>
      <c r="C453" s="8">
        <v>999.0</v>
      </c>
      <c r="D453" s="8">
        <v>1999.0</v>
      </c>
      <c r="E453" s="9">
        <v>0.5</v>
      </c>
      <c r="F453" s="10">
        <v>4.3</v>
      </c>
      <c r="G453" s="11">
        <v>1777.0</v>
      </c>
      <c r="I453" s="7"/>
      <c r="J453" s="7"/>
      <c r="K453" s="13" t="str">
        <f>IF(discount&gt;50%, product, "")</f>
        <v/>
      </c>
      <c r="L453" s="7"/>
      <c r="M453" s="7"/>
      <c r="N453" s="7"/>
      <c r="O453" s="14"/>
      <c r="P453" s="14"/>
    </row>
    <row r="454">
      <c r="A454" s="7" t="s">
        <v>495</v>
      </c>
      <c r="B454" s="7" t="s">
        <v>380</v>
      </c>
      <c r="C454" s="8">
        <v>12490.0</v>
      </c>
      <c r="D454" s="8">
        <v>15990.0</v>
      </c>
      <c r="E454" s="9">
        <v>0.22</v>
      </c>
      <c r="F454" s="10">
        <v>4.2</v>
      </c>
      <c r="G454" s="11">
        <v>58506.0</v>
      </c>
      <c r="I454" s="7"/>
      <c r="J454" s="7"/>
      <c r="K454" s="13" t="str">
        <f>IF(discount&gt;50%, product, "")</f>
        <v/>
      </c>
      <c r="L454" s="7"/>
      <c r="M454" s="7"/>
      <c r="N454" s="7"/>
      <c r="O454" s="14"/>
      <c r="P454" s="14"/>
    </row>
    <row r="455">
      <c r="A455" s="7" t="s">
        <v>496</v>
      </c>
      <c r="B455" s="7" t="s">
        <v>380</v>
      </c>
      <c r="C455" s="8">
        <v>17999.0</v>
      </c>
      <c r="D455" s="8">
        <v>21990.0</v>
      </c>
      <c r="E455" s="9">
        <v>0.18</v>
      </c>
      <c r="F455" s="10">
        <v>4.0</v>
      </c>
      <c r="G455" s="11">
        <v>21350.0</v>
      </c>
      <c r="I455" s="7"/>
      <c r="J455" s="7"/>
      <c r="K455" s="13" t="str">
        <f>IF(discount&gt;50%, product, "")</f>
        <v/>
      </c>
      <c r="L455" s="7"/>
      <c r="M455" s="7"/>
      <c r="N455" s="7"/>
      <c r="O455" s="14"/>
      <c r="P455" s="14"/>
    </row>
    <row r="456">
      <c r="A456" s="7" t="s">
        <v>33</v>
      </c>
      <c r="B456" s="7" t="s">
        <v>15</v>
      </c>
      <c r="C456" s="8">
        <v>350.0</v>
      </c>
      <c r="D456" s="8">
        <v>899.0</v>
      </c>
      <c r="E456" s="9">
        <v>0.61</v>
      </c>
      <c r="F456" s="10">
        <v>4.2</v>
      </c>
      <c r="G456" s="11">
        <v>2263.0</v>
      </c>
      <c r="I456" s="7"/>
      <c r="J456" s="7"/>
      <c r="K456" s="13" t="str">
        <f>IF(discount&gt;50%, product, "")</f>
        <v>Portronics Konnect CL 20W POR-1067 Type-C to 8 Pin USB 1.2M Cable with Power Delivery &amp; 3A Quick Charge Support, Nylon Braided for All Type-C and 8 Pin Devices, Green</v>
      </c>
      <c r="L456" s="7"/>
      <c r="M456" s="7"/>
      <c r="N456" s="7"/>
      <c r="O456" s="14"/>
      <c r="P456" s="14"/>
    </row>
    <row r="457">
      <c r="A457" s="7" t="s">
        <v>497</v>
      </c>
      <c r="B457" s="7" t="s">
        <v>389</v>
      </c>
      <c r="C457" s="8">
        <v>1399.0</v>
      </c>
      <c r="D457" s="8">
        <v>1630.0</v>
      </c>
      <c r="E457" s="9">
        <v>0.14</v>
      </c>
      <c r="F457" s="10">
        <v>4.0</v>
      </c>
      <c r="G457" s="11">
        <v>9378.0</v>
      </c>
      <c r="I457" s="7"/>
      <c r="J457" s="7"/>
      <c r="K457" s="13" t="str">
        <f>IF(discount&gt;50%, product, "")</f>
        <v/>
      </c>
      <c r="L457" s="7"/>
      <c r="M457" s="7"/>
      <c r="N457" s="7"/>
      <c r="O457" s="14"/>
      <c r="P457" s="14"/>
    </row>
    <row r="458">
      <c r="A458" s="7" t="s">
        <v>34</v>
      </c>
      <c r="B458" s="7" t="s">
        <v>15</v>
      </c>
      <c r="C458" s="8">
        <v>159.0</v>
      </c>
      <c r="D458" s="8">
        <v>399.0</v>
      </c>
      <c r="E458" s="9">
        <v>0.6</v>
      </c>
      <c r="F458" s="10">
        <v>4.1</v>
      </c>
      <c r="G458" s="11">
        <v>4768.0</v>
      </c>
      <c r="I458" s="7"/>
      <c r="J458" s="7"/>
      <c r="K458" s="13" t="str">
        <f>IF(discount&gt;50%, product, "")</f>
        <v>Portronics Konnect L 1.2M POR-1401 Fast Charging 3A 8 Pin USB Cable with Charge &amp; Sync Function (White)</v>
      </c>
      <c r="L458" s="7"/>
      <c r="M458" s="7"/>
      <c r="N458" s="7"/>
      <c r="O458" s="14"/>
      <c r="P458" s="14"/>
    </row>
    <row r="459">
      <c r="A459" s="7" t="s">
        <v>498</v>
      </c>
      <c r="B459" s="7" t="s">
        <v>373</v>
      </c>
      <c r="C459" s="8">
        <v>1499.0</v>
      </c>
      <c r="D459" s="8">
        <v>6990.0</v>
      </c>
      <c r="E459" s="9">
        <v>0.79</v>
      </c>
      <c r="F459" s="10">
        <v>3.9</v>
      </c>
      <c r="G459" s="11">
        <v>21796.0</v>
      </c>
      <c r="I459" s="7"/>
      <c r="J459" s="7"/>
      <c r="K459" s="13" t="str">
        <f>IF(discount&gt;50%, product, "")</f>
        <v>boAt Wave Lite Smartwatch with 1.69" HD Display, Heart Rate &amp; SpO2 Level Monitor, Multiple Watch Faces, Activity Tracker, Multiple Sports Modes &amp; IP68 (Deep Blue)</v>
      </c>
      <c r="L459" s="7"/>
      <c r="M459" s="7"/>
      <c r="N459" s="7"/>
      <c r="O459" s="14"/>
      <c r="P459" s="14"/>
    </row>
    <row r="460">
      <c r="A460" s="7" t="s">
        <v>499</v>
      </c>
      <c r="B460" s="7" t="s">
        <v>373</v>
      </c>
      <c r="C460" s="8">
        <v>1999.0</v>
      </c>
      <c r="D460" s="8">
        <v>7990.0</v>
      </c>
      <c r="E460" s="9">
        <v>0.75</v>
      </c>
      <c r="F460" s="10">
        <v>3.8</v>
      </c>
      <c r="G460" s="11">
        <v>17833.0</v>
      </c>
      <c r="I460" s="7"/>
      <c r="J460" s="7"/>
      <c r="K460" s="13" t="str">
        <f>IF(discount&gt;50%, product, "")</f>
        <v>boAt Wave Call Smart Watch, Smart Talk with Advanced Dedicated Bluetooth Calling Chip, 1.69” HD Display with 550 NITS &amp; 70% Color Gamut, 150+ Watch Faces, Multi-Sport Modes,HR,SpO2(Caribbean Green)</v>
      </c>
      <c r="L460" s="7"/>
      <c r="M460" s="7"/>
      <c r="N460" s="7"/>
      <c r="O460" s="14"/>
      <c r="P460" s="14"/>
    </row>
    <row r="461">
      <c r="A461" s="7" t="s">
        <v>500</v>
      </c>
      <c r="B461" s="7" t="s">
        <v>490</v>
      </c>
      <c r="C461" s="8">
        <v>999.0</v>
      </c>
      <c r="D461" s="8">
        <v>2899.0</v>
      </c>
      <c r="E461" s="9">
        <v>0.66</v>
      </c>
      <c r="F461" s="10">
        <v>4.7</v>
      </c>
      <c r="G461" s="11">
        <v>7779.0</v>
      </c>
      <c r="I461" s="7"/>
      <c r="J461" s="7"/>
      <c r="K461" s="13" t="str">
        <f>IF(discount&gt;50%, product, "")</f>
        <v>Spigen EZ Fit Tempered Glass Screen Protector for iPhone 14 Pro Max - 2 Pack (Sensor Protection)</v>
      </c>
      <c r="L461" s="7"/>
      <c r="M461" s="7"/>
      <c r="N461" s="7"/>
      <c r="O461" s="14"/>
      <c r="P461" s="14"/>
    </row>
    <row r="462">
      <c r="A462" s="7" t="s">
        <v>501</v>
      </c>
      <c r="B462" s="7" t="s">
        <v>502</v>
      </c>
      <c r="C462" s="8">
        <v>2099.0</v>
      </c>
      <c r="D462" s="8">
        <v>5999.0</v>
      </c>
      <c r="E462" s="9">
        <v>0.65</v>
      </c>
      <c r="F462" s="10">
        <v>4.3</v>
      </c>
      <c r="G462" s="11">
        <v>17129.0</v>
      </c>
      <c r="I462" s="7"/>
      <c r="J462" s="7"/>
      <c r="K462" s="13" t="str">
        <f>IF(discount&gt;50%, product, "")</f>
        <v>KINGONE Upgraded Stylus Pen, iPad Pencil, Ultra High Precision &amp; Sensitivity, Palm Rejection, Prevents False ON/Off Touch, Power Display, Tilt Sensitivity, Magnetic Adsorption for iPad 2018 and Later</v>
      </c>
      <c r="L462" s="7"/>
      <c r="M462" s="7"/>
      <c r="N462" s="7"/>
      <c r="O462" s="14"/>
      <c r="P462" s="14"/>
    </row>
    <row r="463">
      <c r="A463" s="7" t="s">
        <v>503</v>
      </c>
      <c r="B463" s="7" t="s">
        <v>399</v>
      </c>
      <c r="C463" s="8">
        <v>337.0</v>
      </c>
      <c r="D463" s="8">
        <v>699.0</v>
      </c>
      <c r="E463" s="9">
        <v>0.52</v>
      </c>
      <c r="F463" s="10">
        <v>4.2</v>
      </c>
      <c r="G463" s="11">
        <v>4969.0</v>
      </c>
      <c r="I463" s="7"/>
      <c r="J463" s="7"/>
      <c r="K463" s="13" t="str">
        <f>IF(discount&gt;50%, product, "")</f>
        <v>Portronics CarPower Mini Car Charger with Dual Output, Fast Charging (Type C PD 18W + QC 3.0A) Compatible with All Smartphones(Black)</v>
      </c>
      <c r="L463" s="7"/>
      <c r="M463" s="7"/>
      <c r="N463" s="7"/>
      <c r="O463" s="14"/>
      <c r="P463" s="14"/>
    </row>
    <row r="464">
      <c r="A464" s="7" t="s">
        <v>504</v>
      </c>
      <c r="B464" s="7" t="s">
        <v>373</v>
      </c>
      <c r="C464" s="8">
        <v>2999.0</v>
      </c>
      <c r="D464" s="8">
        <v>7990.0</v>
      </c>
      <c r="E464" s="9">
        <v>0.62</v>
      </c>
      <c r="F464" s="10">
        <v>4.1</v>
      </c>
      <c r="G464" s="10">
        <v>154.0</v>
      </c>
      <c r="I464" s="7"/>
      <c r="J464" s="7"/>
      <c r="K464" s="13" t="str">
        <f>IF(discount&gt;50%, product, "")</f>
        <v>boAt Newly Launched Wave Electra with 1.81" HD Display, Smart Calling with Ultra-Seamless BT Calling Chip,20 Built-In Watch Faces,100 + Sports Modes,Menu Personalization,In-Built Games(Charcoal Black)</v>
      </c>
      <c r="L464" s="7"/>
      <c r="M464" s="7"/>
      <c r="N464" s="7"/>
      <c r="O464" s="14"/>
      <c r="P464" s="14"/>
    </row>
    <row r="465">
      <c r="A465" s="7" t="s">
        <v>505</v>
      </c>
      <c r="B465" s="7" t="s">
        <v>373</v>
      </c>
      <c r="C465" s="8">
        <v>1299.0</v>
      </c>
      <c r="D465" s="8">
        <v>5999.0</v>
      </c>
      <c r="E465" s="9">
        <v>0.78</v>
      </c>
      <c r="F465" s="10">
        <v>3.3</v>
      </c>
      <c r="G465" s="11">
        <v>4415.0</v>
      </c>
      <c r="I465" s="7"/>
      <c r="J465" s="7"/>
      <c r="K465" s="13" t="str">
        <f>IF(discount&gt;50%, product, "")</f>
        <v>PTron Newly Launched Force X10 Bluetooth Calling Smartwatch with 1.7" Full Touch Color Display, Real Heart Rate Monitor, SpO2, Watch Faces, 5 Days Runtime, Fitness Trackers &amp; IP68 Waterproof (Pink)</v>
      </c>
      <c r="L465" s="7"/>
      <c r="M465" s="7"/>
      <c r="N465" s="7"/>
      <c r="O465" s="14"/>
      <c r="P465" s="14"/>
    </row>
    <row r="466">
      <c r="A466" s="7" t="s">
        <v>35</v>
      </c>
      <c r="B466" s="7" t="s">
        <v>15</v>
      </c>
      <c r="C466" s="8">
        <v>349.0</v>
      </c>
      <c r="D466" s="8">
        <v>399.0</v>
      </c>
      <c r="E466" s="9">
        <v>0.13</v>
      </c>
      <c r="F466" s="10">
        <v>4.4</v>
      </c>
      <c r="G466" s="11">
        <v>18757.0</v>
      </c>
      <c r="I466" s="7"/>
      <c r="J466" s="7"/>
      <c r="K466" s="13" t="str">
        <f>IF(discount&gt;50%, product, "")</f>
        <v/>
      </c>
      <c r="L466" s="7"/>
      <c r="M466" s="7"/>
      <c r="N466" s="7"/>
      <c r="O466" s="14"/>
      <c r="P466" s="14"/>
    </row>
    <row r="467">
      <c r="A467" s="7" t="s">
        <v>506</v>
      </c>
      <c r="B467" s="7" t="s">
        <v>380</v>
      </c>
      <c r="C467" s="8">
        <v>16499.0</v>
      </c>
      <c r="D467" s="8">
        <v>20990.0</v>
      </c>
      <c r="E467" s="9">
        <v>0.21</v>
      </c>
      <c r="F467" s="10">
        <v>4.0</v>
      </c>
      <c r="G467" s="11">
        <v>21350.0</v>
      </c>
      <c r="I467" s="7"/>
      <c r="J467" s="7"/>
      <c r="K467" s="13" t="str">
        <f>IF(discount&gt;50%, product, "")</f>
        <v/>
      </c>
      <c r="L467" s="7"/>
      <c r="M467" s="7"/>
      <c r="N467" s="7"/>
      <c r="O467" s="14"/>
      <c r="P467" s="14"/>
    </row>
    <row r="468">
      <c r="A468" s="7" t="s">
        <v>507</v>
      </c>
      <c r="B468" s="7" t="s">
        <v>393</v>
      </c>
      <c r="C468" s="8">
        <v>499.0</v>
      </c>
      <c r="D468" s="8">
        <v>499.0</v>
      </c>
      <c r="E468" s="9">
        <v>0.0</v>
      </c>
      <c r="F468" s="10">
        <v>4.2</v>
      </c>
      <c r="G468" s="11">
        <v>31539.0</v>
      </c>
      <c r="I468" s="7"/>
      <c r="J468" s="7"/>
      <c r="K468" s="13" t="str">
        <f>IF(discount&gt;50%, product, "")</f>
        <v/>
      </c>
      <c r="L468" s="7"/>
      <c r="M468" s="7"/>
      <c r="N468" s="7"/>
      <c r="O468" s="14"/>
      <c r="P468" s="14"/>
    </row>
    <row r="469">
      <c r="A469" s="7" t="s">
        <v>41</v>
      </c>
      <c r="B469" s="7" t="s">
        <v>15</v>
      </c>
      <c r="C469" s="8">
        <v>970.0</v>
      </c>
      <c r="D469" s="8">
        <v>1799.0</v>
      </c>
      <c r="E469" s="9">
        <v>0.46</v>
      </c>
      <c r="F469" s="10">
        <v>4.5</v>
      </c>
      <c r="G469" s="10">
        <v>815.0</v>
      </c>
      <c r="I469" s="7"/>
      <c r="J469" s="7"/>
      <c r="K469" s="13" t="str">
        <f>IF(discount&gt;50%, product, "")</f>
        <v/>
      </c>
      <c r="L469" s="7"/>
      <c r="M469" s="7"/>
      <c r="N469" s="7"/>
      <c r="O469" s="14"/>
      <c r="P469" s="14"/>
    </row>
    <row r="470">
      <c r="A470" s="7" t="s">
        <v>508</v>
      </c>
      <c r="B470" s="7" t="s">
        <v>490</v>
      </c>
      <c r="C470" s="8">
        <v>999.0</v>
      </c>
      <c r="D470" s="8">
        <v>2899.0</v>
      </c>
      <c r="E470" s="9">
        <v>0.66</v>
      </c>
      <c r="F470" s="10">
        <v>4.6</v>
      </c>
      <c r="G470" s="11">
        <v>6129.0</v>
      </c>
      <c r="I470" s="7"/>
      <c r="J470" s="7"/>
      <c r="K470" s="13" t="str">
        <f>IF(discount&gt;50%, product, "")</f>
        <v>Spigen EZ Fit Tempered Glass Screen Protector for iPhone 14 Pro - 2 Pack (Sensor Protection)</v>
      </c>
      <c r="L470" s="7"/>
      <c r="M470" s="7"/>
      <c r="N470" s="7"/>
      <c r="O470" s="14"/>
      <c r="P470" s="14"/>
    </row>
    <row r="471">
      <c r="A471" s="7" t="s">
        <v>509</v>
      </c>
      <c r="B471" s="7" t="s">
        <v>380</v>
      </c>
      <c r="C471" s="8">
        <v>10499.0</v>
      </c>
      <c r="D471" s="8">
        <v>13499.0</v>
      </c>
      <c r="E471" s="9">
        <v>0.22</v>
      </c>
      <c r="F471" s="10">
        <v>4.2</v>
      </c>
      <c r="G471" s="10">
        <v>284.0</v>
      </c>
      <c r="I471" s="7"/>
      <c r="J471" s="7"/>
      <c r="K471" s="13" t="str">
        <f>IF(discount&gt;50%, product, "")</f>
        <v/>
      </c>
      <c r="L471" s="7"/>
      <c r="M471" s="7"/>
      <c r="N471" s="7"/>
      <c r="O471" s="14"/>
      <c r="P471" s="14"/>
    </row>
    <row r="472">
      <c r="A472" s="7" t="s">
        <v>38</v>
      </c>
      <c r="B472" s="7" t="s">
        <v>15</v>
      </c>
      <c r="C472" s="8">
        <v>249.0</v>
      </c>
      <c r="D472" s="8">
        <v>399.0</v>
      </c>
      <c r="E472" s="9">
        <v>0.38</v>
      </c>
      <c r="F472" s="10">
        <v>4.0</v>
      </c>
      <c r="G472" s="11">
        <v>43994.0</v>
      </c>
      <c r="I472" s="7"/>
      <c r="J472" s="7"/>
      <c r="K472" s="13" t="str">
        <f>IF(discount&gt;50%, product, "")</f>
        <v/>
      </c>
      <c r="L472" s="7"/>
      <c r="M472" s="7"/>
      <c r="N472" s="7"/>
      <c r="O472" s="14"/>
      <c r="P472" s="14"/>
    </row>
    <row r="473">
      <c r="A473" s="7" t="s">
        <v>510</v>
      </c>
      <c r="B473" s="7" t="s">
        <v>511</v>
      </c>
      <c r="C473" s="8">
        <v>251.0</v>
      </c>
      <c r="D473" s="8">
        <v>999.0</v>
      </c>
      <c r="E473" s="9">
        <v>0.75</v>
      </c>
      <c r="F473" s="10">
        <v>3.7</v>
      </c>
      <c r="G473" s="11">
        <v>3234.0</v>
      </c>
      <c r="I473" s="7"/>
      <c r="J473" s="7"/>
      <c r="K473" s="13" t="str">
        <f>IF(discount&gt;50%, product, "")</f>
        <v>SWAPKART Flexible Mobile Tabletop Stand, Metal Built, Heavy Duty Foldable Lazy Bracket Clip Mount Multi Angle Clamp for All Smartphones (Pack of 1), Multi Color</v>
      </c>
      <c r="L473" s="7"/>
      <c r="M473" s="7"/>
      <c r="N473" s="7"/>
      <c r="O473" s="14"/>
      <c r="P473" s="14"/>
    </row>
    <row r="474">
      <c r="A474" s="7" t="s">
        <v>39</v>
      </c>
      <c r="B474" s="7" t="s">
        <v>15</v>
      </c>
      <c r="C474" s="8">
        <v>199.0</v>
      </c>
      <c r="D474" s="8">
        <v>499.0</v>
      </c>
      <c r="E474" s="9">
        <v>0.6</v>
      </c>
      <c r="F474" s="10">
        <v>4.1</v>
      </c>
      <c r="G474" s="11">
        <v>13045.0</v>
      </c>
      <c r="I474" s="7"/>
      <c r="J474" s="7"/>
      <c r="K474" s="13" t="str">
        <f>IF(discount&gt;50%, product, "")</f>
        <v>boAt Type C A325 Tangle-free, Sturdy Type C Cable with 3A Rapid Charging &amp; 480mbps Data Transmission(Black)</v>
      </c>
      <c r="L474" s="7"/>
      <c r="M474" s="7"/>
      <c r="N474" s="7"/>
      <c r="O474" s="14"/>
      <c r="P474" s="14"/>
    </row>
    <row r="475">
      <c r="A475" s="7" t="s">
        <v>512</v>
      </c>
      <c r="B475" s="7" t="s">
        <v>380</v>
      </c>
      <c r="C475" s="8">
        <v>6499.0</v>
      </c>
      <c r="D475" s="8">
        <v>7999.0</v>
      </c>
      <c r="E475" s="9">
        <v>0.19</v>
      </c>
      <c r="F475" s="10">
        <v>4.1</v>
      </c>
      <c r="G475" s="7" t="s">
        <v>513</v>
      </c>
      <c r="I475" s="7"/>
      <c r="J475" s="7"/>
      <c r="K475" s="13" t="str">
        <f>IF(discount&gt;50%, product, "")</f>
        <v/>
      </c>
      <c r="L475" s="7"/>
      <c r="M475" s="7"/>
      <c r="N475" s="7"/>
      <c r="O475" s="14"/>
      <c r="P475" s="14"/>
    </row>
    <row r="476">
      <c r="A476" s="7" t="s">
        <v>514</v>
      </c>
      <c r="B476" s="7" t="s">
        <v>373</v>
      </c>
      <c r="C476" s="8">
        <v>2999.0</v>
      </c>
      <c r="D476" s="8">
        <v>9999.0</v>
      </c>
      <c r="E476" s="9">
        <v>0.7</v>
      </c>
      <c r="F476" s="10">
        <v>4.2</v>
      </c>
      <c r="G476" s="11">
        <v>20879.0</v>
      </c>
      <c r="I476" s="7"/>
      <c r="J476" s="7"/>
      <c r="K476" s="13" t="str">
        <f>IF(discount&gt;50%, product, "")</f>
        <v>Fire-Boltt Ring 3 Smart Watch 1.8 Biggest Display with Advanced Bluetooth Calling Chip, Voice Assistance,118 Sports Modes, in Built Calculator &amp; Games, SpO2, Heart Rate Monitoring</v>
      </c>
      <c r="L476" s="7"/>
      <c r="M476" s="7"/>
      <c r="N476" s="7"/>
      <c r="O476" s="14"/>
      <c r="P476" s="14"/>
    </row>
    <row r="477">
      <c r="A477" s="7" t="s">
        <v>515</v>
      </c>
      <c r="B477" s="7" t="s">
        <v>516</v>
      </c>
      <c r="C477" s="8">
        <v>279.0</v>
      </c>
      <c r="D477" s="8">
        <v>1499.0</v>
      </c>
      <c r="E477" s="9">
        <v>0.81</v>
      </c>
      <c r="F477" s="10">
        <v>4.2</v>
      </c>
      <c r="G477" s="11">
        <v>2646.0</v>
      </c>
      <c r="I477" s="7"/>
      <c r="J477" s="7"/>
      <c r="K477" s="13" t="str">
        <f>IF(discount&gt;50%, product, "")</f>
        <v>Amozo Ultra Hybrid Camera and Drop Protection Back Cover Case for iPhone 13 (TPU + Polycarbonate | Crystal Transparent)</v>
      </c>
      <c r="L477" s="7"/>
      <c r="M477" s="7"/>
      <c r="N477" s="7"/>
      <c r="O477" s="14"/>
      <c r="P477" s="14"/>
    </row>
    <row r="478">
      <c r="A478" s="7" t="s">
        <v>517</v>
      </c>
      <c r="B478" s="7" t="s">
        <v>450</v>
      </c>
      <c r="C478" s="8">
        <v>269.0</v>
      </c>
      <c r="D478" s="8">
        <v>1499.0</v>
      </c>
      <c r="E478" s="9">
        <v>0.82</v>
      </c>
      <c r="F478" s="10">
        <v>4.5</v>
      </c>
      <c r="G478" s="11">
        <v>28978.0</v>
      </c>
      <c r="I478" s="7"/>
      <c r="J478" s="7"/>
      <c r="K478" s="13" t="str">
        <f>IF(discount&gt;50%, product, "")</f>
        <v>ELV Aluminum Adjustable Mobile Phone Foldable Tabletop Stand Dock Mount for All Smartphones, Tabs, Kindle, iPad (Black)</v>
      </c>
      <c r="L478" s="7"/>
      <c r="M478" s="7"/>
      <c r="N478" s="7"/>
      <c r="O478" s="14"/>
      <c r="P478" s="14"/>
    </row>
    <row r="479">
      <c r="A479" s="7" t="s">
        <v>518</v>
      </c>
      <c r="B479" s="7" t="s">
        <v>380</v>
      </c>
      <c r="C479" s="8">
        <v>8999.0</v>
      </c>
      <c r="D479" s="8">
        <v>13499.0</v>
      </c>
      <c r="E479" s="9">
        <v>0.33</v>
      </c>
      <c r="F479" s="10">
        <v>3.8</v>
      </c>
      <c r="G479" s="11">
        <v>3145.0</v>
      </c>
      <c r="I479" s="7"/>
      <c r="J479" s="7"/>
      <c r="K479" s="13" t="str">
        <f>IF(discount&gt;50%, product, "")</f>
        <v/>
      </c>
      <c r="L479" s="7"/>
      <c r="M479" s="7"/>
      <c r="N479" s="7"/>
      <c r="O479" s="14"/>
      <c r="P479" s="14"/>
    </row>
    <row r="480">
      <c r="A480" s="7" t="s">
        <v>44</v>
      </c>
      <c r="B480" s="7" t="s">
        <v>15</v>
      </c>
      <c r="C480" s="8">
        <v>59.0</v>
      </c>
      <c r="D480" s="8">
        <v>199.0</v>
      </c>
      <c r="E480" s="9">
        <v>0.7</v>
      </c>
      <c r="F480" s="10">
        <v>4.0</v>
      </c>
      <c r="G480" s="11">
        <v>9377.0</v>
      </c>
      <c r="I480" s="7"/>
      <c r="J480" s="7"/>
      <c r="K480" s="13" t="str">
        <f>IF(discount&gt;50%, product, "")</f>
        <v>Flix Micro Usb Cable For Smartphone (Black)</v>
      </c>
      <c r="L480" s="7"/>
      <c r="M480" s="7"/>
      <c r="N480" s="7"/>
      <c r="O480" s="14"/>
      <c r="P480" s="14"/>
    </row>
    <row r="481">
      <c r="A481" s="7" t="s">
        <v>519</v>
      </c>
      <c r="B481" s="7" t="s">
        <v>393</v>
      </c>
      <c r="C481" s="8">
        <v>599.0</v>
      </c>
      <c r="D481" s="8">
        <v>1299.0</v>
      </c>
      <c r="E481" s="9">
        <v>0.54</v>
      </c>
      <c r="F481" s="10">
        <v>4.1</v>
      </c>
      <c r="G481" s="7" t="s">
        <v>520</v>
      </c>
      <c r="I481" s="7"/>
      <c r="J481" s="7"/>
      <c r="K481" s="13" t="str">
        <f>IF(discount&gt;50%, product, "")</f>
        <v>JBL C100SI Wired In Ear Headphones with Mic, JBL Pure Bass Sound, One Button Multi-function Remote, Premium Metallic Finish, Angled Buds for Comfort fit (Red)</v>
      </c>
      <c r="L481" s="7"/>
      <c r="M481" s="7"/>
      <c r="N481" s="7"/>
      <c r="O481" s="14"/>
      <c r="P481" s="14"/>
    </row>
    <row r="482">
      <c r="A482" s="7" t="s">
        <v>521</v>
      </c>
      <c r="B482" s="7" t="s">
        <v>502</v>
      </c>
      <c r="C482" s="8">
        <v>349.0</v>
      </c>
      <c r="D482" s="8">
        <v>999.0</v>
      </c>
      <c r="E482" s="9">
        <v>0.65</v>
      </c>
      <c r="F482" s="10">
        <v>3.8</v>
      </c>
      <c r="G482" s="11">
        <v>16557.0</v>
      </c>
      <c r="I482" s="7"/>
      <c r="J482" s="7"/>
      <c r="K482" s="13" t="str">
        <f>IF(discount&gt;50%, product, "")</f>
        <v>Tukzer Capacitive Stylus Pen for Touch Screens Devices, Fine Point, Lightweight Metal Body with Magnetism Cover Cap for Smartphones/Tablets/iPad/iPad Pro/iPhone (Grey)</v>
      </c>
      <c r="L482" s="7"/>
      <c r="M482" s="7"/>
      <c r="N482" s="7"/>
      <c r="O482" s="14"/>
      <c r="P482" s="14"/>
    </row>
    <row r="483">
      <c r="A483" s="7" t="s">
        <v>445</v>
      </c>
      <c r="B483" s="7" t="s">
        <v>380</v>
      </c>
      <c r="C483" s="8">
        <v>13999.0</v>
      </c>
      <c r="D483" s="8">
        <v>19499.0</v>
      </c>
      <c r="E483" s="9">
        <v>0.28</v>
      </c>
      <c r="F483" s="10">
        <v>4.1</v>
      </c>
      <c r="G483" s="11">
        <v>18998.0</v>
      </c>
      <c r="I483" s="7"/>
      <c r="J483" s="7"/>
      <c r="K483" s="13" t="str">
        <f>IF(discount&gt;50%, product, "")</f>
        <v/>
      </c>
      <c r="L483" s="7"/>
      <c r="M483" s="7"/>
      <c r="N483" s="7"/>
      <c r="O483" s="14"/>
      <c r="P483" s="14"/>
    </row>
    <row r="484">
      <c r="A484" s="7" t="s">
        <v>522</v>
      </c>
      <c r="B484" s="7" t="s">
        <v>502</v>
      </c>
      <c r="C484" s="8">
        <v>349.0</v>
      </c>
      <c r="D484" s="8">
        <v>999.0</v>
      </c>
      <c r="E484" s="9">
        <v>0.65</v>
      </c>
      <c r="F484" s="10">
        <v>3.8</v>
      </c>
      <c r="G484" s="11">
        <v>16557.0</v>
      </c>
      <c r="I484" s="7"/>
      <c r="J484" s="7"/>
      <c r="K484" s="13" t="str">
        <f>IF(discount&gt;50%, product, "")</f>
        <v>Tukzer Capacitive Stylus Pen for Touch Screens Devices, Fine Point, Lightweight Metal Body with Magnetism Cover Cap for Smartphones/Tablets/iPad/iPad Pro/iPhone (White)</v>
      </c>
      <c r="L484" s="7"/>
      <c r="M484" s="7"/>
      <c r="N484" s="7"/>
      <c r="O484" s="14"/>
      <c r="P484" s="14"/>
    </row>
    <row r="485">
      <c r="A485" s="7" t="s">
        <v>523</v>
      </c>
      <c r="B485" s="7" t="s">
        <v>409</v>
      </c>
      <c r="C485" s="8">
        <v>499.0</v>
      </c>
      <c r="D485" s="8">
        <v>599.0</v>
      </c>
      <c r="E485" s="9">
        <v>0.17</v>
      </c>
      <c r="F485" s="10">
        <v>4.2</v>
      </c>
      <c r="G485" s="11">
        <v>21916.0</v>
      </c>
      <c r="I485" s="7"/>
      <c r="J485" s="7"/>
      <c r="K485" s="13" t="str">
        <f>IF(discount&gt;50%, product, "")</f>
        <v/>
      </c>
      <c r="L485" s="7"/>
      <c r="M485" s="7"/>
      <c r="N485" s="7"/>
      <c r="O485" s="14"/>
      <c r="P485" s="14"/>
    </row>
    <row r="486">
      <c r="A486" s="7" t="s">
        <v>415</v>
      </c>
      <c r="B486" s="7" t="s">
        <v>373</v>
      </c>
      <c r="C486" s="8">
        <v>2199.0</v>
      </c>
      <c r="D486" s="8">
        <v>9999.0</v>
      </c>
      <c r="E486" s="9">
        <v>0.78</v>
      </c>
      <c r="F486" s="10">
        <v>4.2</v>
      </c>
      <c r="G486" s="11">
        <v>29472.0</v>
      </c>
      <c r="I486" s="7"/>
      <c r="J486" s="7"/>
      <c r="K486" s="13" t="str">
        <f>IF(discount&gt;50%, product, "")</f>
        <v>Fire-Boltt India's No 1 Smartwatch Brand Talk 2 Bluetooth Calling Smartwatch with Dual Button, Hands On Voice Assistance, 60 Sports Modes, in Built Mic &amp; Speaker with IP68 Rating</v>
      </c>
      <c r="L486" s="7"/>
      <c r="M486" s="7"/>
      <c r="N486" s="7"/>
      <c r="O486" s="14"/>
      <c r="P486" s="14"/>
    </row>
    <row r="487">
      <c r="A487" s="7" t="s">
        <v>524</v>
      </c>
      <c r="B487" s="7" t="s">
        <v>469</v>
      </c>
      <c r="C487" s="8">
        <v>95.0</v>
      </c>
      <c r="D487" s="8">
        <v>499.0</v>
      </c>
      <c r="E487" s="9">
        <v>0.81</v>
      </c>
      <c r="F487" s="10">
        <v>4.2</v>
      </c>
      <c r="G487" s="11">
        <v>1949.0</v>
      </c>
      <c r="I487" s="7"/>
      <c r="J487" s="7"/>
      <c r="K487" s="13" t="str">
        <f>IF(discount&gt;50%, product, "")</f>
        <v>STRIFF 12 Pieces Highly Flexible Silicone Micro USB Protector, Mouse Cable Protector, Suit for All Cell Phones, Computers and Chargers (White)</v>
      </c>
      <c r="L487" s="7"/>
      <c r="M487" s="7"/>
      <c r="N487" s="7"/>
      <c r="O487" s="14"/>
      <c r="P487" s="14"/>
    </row>
    <row r="488">
      <c r="A488" s="7" t="s">
        <v>525</v>
      </c>
      <c r="B488" s="7" t="s">
        <v>15</v>
      </c>
      <c r="C488" s="8">
        <v>139.0</v>
      </c>
      <c r="D488" s="8">
        <v>249.0</v>
      </c>
      <c r="E488" s="9">
        <v>0.44</v>
      </c>
      <c r="F488" s="10">
        <v>4.0</v>
      </c>
      <c r="G488" s="11">
        <v>9377.0</v>
      </c>
      <c r="I488" s="7"/>
      <c r="J488" s="7"/>
      <c r="K488" s="13" t="str">
        <f>IF(discount&gt;50%, product, "")</f>
        <v/>
      </c>
      <c r="L488" s="7"/>
      <c r="M488" s="7"/>
      <c r="N488" s="7"/>
      <c r="O488" s="14"/>
      <c r="P488" s="14"/>
    </row>
    <row r="489">
      <c r="A489" s="7" t="s">
        <v>526</v>
      </c>
      <c r="B489" s="7" t="s">
        <v>373</v>
      </c>
      <c r="C489" s="8">
        <v>4499.0</v>
      </c>
      <c r="D489" s="8">
        <v>7999.0</v>
      </c>
      <c r="E489" s="9">
        <v>0.44</v>
      </c>
      <c r="F489" s="10">
        <v>3.5</v>
      </c>
      <c r="G489" s="10">
        <v>37.0</v>
      </c>
      <c r="I489" s="7"/>
      <c r="J489" s="7"/>
      <c r="K489" s="13" t="str">
        <f>IF(discount&gt;50%, product, "")</f>
        <v/>
      </c>
      <c r="L489" s="7"/>
      <c r="M489" s="7"/>
      <c r="N489" s="7"/>
      <c r="O489" s="14"/>
      <c r="P489" s="14"/>
    </row>
    <row r="490">
      <c r="A490" s="7" t="s">
        <v>527</v>
      </c>
      <c r="B490" s="7" t="s">
        <v>450</v>
      </c>
      <c r="C490" s="8">
        <v>89.0</v>
      </c>
      <c r="D490" s="8">
        <v>599.0</v>
      </c>
      <c r="E490" s="9">
        <v>0.85</v>
      </c>
      <c r="F490" s="10">
        <v>4.3</v>
      </c>
      <c r="G490" s="11">
        <v>2351.0</v>
      </c>
      <c r="I490" s="7"/>
      <c r="J490" s="7"/>
      <c r="K490" s="13" t="str">
        <f>IF(discount&gt;50%, product, "")</f>
        <v>Elv Mobile Phone Mount Tabletop Holder for Phones and Tablets - Black</v>
      </c>
      <c r="L490" s="7"/>
      <c r="M490" s="7"/>
      <c r="N490" s="7"/>
      <c r="O490" s="14"/>
      <c r="P490" s="14"/>
    </row>
    <row r="491">
      <c r="A491" s="7" t="s">
        <v>528</v>
      </c>
      <c r="B491" s="7" t="s">
        <v>380</v>
      </c>
      <c r="C491" s="8">
        <v>15499.0</v>
      </c>
      <c r="D491" s="8">
        <v>20999.0</v>
      </c>
      <c r="E491" s="9">
        <v>0.26</v>
      </c>
      <c r="F491" s="10">
        <v>4.1</v>
      </c>
      <c r="G491" s="11">
        <v>19253.0</v>
      </c>
      <c r="I491" s="7"/>
      <c r="J491" s="7"/>
      <c r="K491" s="13" t="str">
        <f>IF(discount&gt;50%, product, "")</f>
        <v/>
      </c>
      <c r="L491" s="7"/>
      <c r="M491" s="7"/>
      <c r="N491" s="7"/>
      <c r="O491" s="14"/>
      <c r="P491" s="14"/>
    </row>
    <row r="492">
      <c r="A492" s="7" t="s">
        <v>529</v>
      </c>
      <c r="B492" s="7" t="s">
        <v>380</v>
      </c>
      <c r="C492" s="8">
        <v>13999.0</v>
      </c>
      <c r="D492" s="8">
        <v>15999.0</v>
      </c>
      <c r="E492" s="9">
        <v>0.13</v>
      </c>
      <c r="F492" s="10">
        <v>3.9</v>
      </c>
      <c r="G492" s="11">
        <v>2180.0</v>
      </c>
      <c r="I492" s="7"/>
      <c r="J492" s="7"/>
      <c r="K492" s="13" t="str">
        <f>IF(discount&gt;50%, product, "")</f>
        <v/>
      </c>
      <c r="L492" s="7"/>
      <c r="M492" s="7"/>
      <c r="N492" s="7"/>
      <c r="O492" s="14"/>
      <c r="P492" s="14"/>
    </row>
    <row r="493">
      <c r="A493" s="7" t="s">
        <v>530</v>
      </c>
      <c r="B493" s="7" t="s">
        <v>373</v>
      </c>
      <c r="C493" s="8">
        <v>1999.0</v>
      </c>
      <c r="D493" s="8">
        <v>4999.0</v>
      </c>
      <c r="E493" s="9">
        <v>0.6</v>
      </c>
      <c r="F493" s="10">
        <v>3.9</v>
      </c>
      <c r="G493" s="11">
        <v>7571.0</v>
      </c>
      <c r="I493" s="7"/>
      <c r="J493" s="7"/>
      <c r="K493" s="13" t="str">
        <f>IF(discount&gt;50%, product, "")</f>
        <v>Noise Pulse Buzz 1.69" Bluetooth Calling Smart Watch with Call Function, 150 Watch Faces, 60 Sports Modes, Spo2 &amp; Heart Rate Monitoring, Calling Smart Watch for Men &amp; Women - Rose Pink</v>
      </c>
      <c r="L493" s="7"/>
      <c r="M493" s="7"/>
      <c r="N493" s="7"/>
      <c r="O493" s="14"/>
      <c r="P493" s="14"/>
    </row>
    <row r="494">
      <c r="A494" s="7" t="s">
        <v>531</v>
      </c>
      <c r="B494" s="7" t="s">
        <v>373</v>
      </c>
      <c r="C494" s="8">
        <v>1399.0</v>
      </c>
      <c r="D494" s="8">
        <v>5999.0</v>
      </c>
      <c r="E494" s="9">
        <v>0.77</v>
      </c>
      <c r="F494" s="10">
        <v>3.3</v>
      </c>
      <c r="G494" s="11">
        <v>4415.0</v>
      </c>
      <c r="I494" s="7"/>
      <c r="J494" s="7"/>
      <c r="K494" s="13" t="str">
        <f>IF(discount&gt;50%, product, "")</f>
        <v>PTron Newly Launched Force X10 Bluetooth Calling Smartwatch with 1.7" Full Touch Display, Real Heart Rate Monitor, SpO2, Watch Faces, 5 Days Runtime, Health/Fitness Trackers &amp; IP68 Waterproof (Black)</v>
      </c>
      <c r="L494" s="7"/>
      <c r="M494" s="7"/>
      <c r="N494" s="7"/>
      <c r="O494" s="14"/>
      <c r="P494" s="14"/>
    </row>
    <row r="495">
      <c r="A495" s="7" t="s">
        <v>532</v>
      </c>
      <c r="B495" s="7" t="s">
        <v>407</v>
      </c>
      <c r="C495" s="8">
        <v>599.0</v>
      </c>
      <c r="D495" s="8">
        <v>999.0</v>
      </c>
      <c r="E495" s="9">
        <v>0.4</v>
      </c>
      <c r="F495" s="10">
        <v>4.0</v>
      </c>
      <c r="G495" s="11">
        <v>18654.0</v>
      </c>
      <c r="I495" s="7"/>
      <c r="J495" s="7"/>
      <c r="K495" s="13" t="str">
        <f>IF(discount&gt;50%, product, "")</f>
        <v/>
      </c>
      <c r="L495" s="7"/>
      <c r="M495" s="7"/>
      <c r="N495" s="7"/>
      <c r="O495" s="14"/>
      <c r="P495" s="14"/>
    </row>
    <row r="496">
      <c r="A496" s="7" t="s">
        <v>533</v>
      </c>
      <c r="B496" s="7" t="s">
        <v>409</v>
      </c>
      <c r="C496" s="8">
        <v>199.0</v>
      </c>
      <c r="D496" s="8">
        <v>1099.0</v>
      </c>
      <c r="E496" s="9">
        <v>0.82</v>
      </c>
      <c r="F496" s="10">
        <v>4.0</v>
      </c>
      <c r="G496" s="11">
        <v>3197.0</v>
      </c>
      <c r="I496" s="7"/>
      <c r="J496" s="7"/>
      <c r="K496" s="13" t="str">
        <f>IF(discount&gt;50%, product, "")</f>
        <v>pTron Volta Dual Port 12W Smart USB Charger Adapter, Multi-Layer Protection, Made in India, BIS Certified, Fast Charging Power Adaptor Without Cable for All iOS &amp; Android Devices (Black)</v>
      </c>
      <c r="L496" s="7"/>
      <c r="M496" s="7"/>
      <c r="N496" s="7"/>
      <c r="O496" s="14"/>
      <c r="P496" s="14"/>
    </row>
    <row r="497">
      <c r="A497" s="7" t="s">
        <v>534</v>
      </c>
      <c r="B497" s="7" t="s">
        <v>373</v>
      </c>
      <c r="C497" s="8">
        <v>1799.0</v>
      </c>
      <c r="D497" s="8">
        <v>6990.0</v>
      </c>
      <c r="E497" s="9">
        <v>0.74</v>
      </c>
      <c r="F497" s="10">
        <v>4.0</v>
      </c>
      <c r="G497" s="11">
        <v>26880.0</v>
      </c>
      <c r="I497" s="7"/>
      <c r="J497" s="7"/>
      <c r="K497" s="13" t="str">
        <f>IF(discount&gt;50%, product, "")</f>
        <v>boAt Flash Edition Smart Watch with Activity Tracker, Multiple Sports Modes, 1.3" Screen, 170+ Watch Faces, Sleep Monitor, Gesture, Camera &amp; Music Control, IP68 &amp; 7 Days Battery Life(Lightning Black)</v>
      </c>
      <c r="L497" s="7"/>
      <c r="M497" s="7"/>
      <c r="N497" s="7"/>
      <c r="O497" s="14"/>
      <c r="P497" s="14"/>
    </row>
    <row r="498">
      <c r="A498" s="7" t="s">
        <v>535</v>
      </c>
      <c r="B498" s="7" t="s">
        <v>373</v>
      </c>
      <c r="C498" s="8">
        <v>1499.0</v>
      </c>
      <c r="D498" s="8">
        <v>6990.0</v>
      </c>
      <c r="E498" s="9">
        <v>0.79</v>
      </c>
      <c r="F498" s="10">
        <v>3.9</v>
      </c>
      <c r="G498" s="11">
        <v>21796.0</v>
      </c>
      <c r="I498" s="7"/>
      <c r="J498" s="7"/>
      <c r="K498" s="13" t="str">
        <f>IF(discount&gt;50%, product, "")</f>
        <v>boAt Wave Lite Smartwatch with 1.69 Inches(4.29cm) HD Display, Heart Rate &amp; SpO2 Level Monitor, Multiple Watch Faces, Activity Tracker, Multiple Sports Modes &amp; IP68 (Scarlet Red)</v>
      </c>
      <c r="L498" s="7"/>
      <c r="M498" s="7"/>
      <c r="N498" s="7"/>
      <c r="O498" s="14"/>
      <c r="P498" s="14"/>
    </row>
    <row r="499">
      <c r="A499" s="7" t="s">
        <v>536</v>
      </c>
      <c r="B499" s="7" t="s">
        <v>380</v>
      </c>
      <c r="C499" s="8">
        <v>20999.0</v>
      </c>
      <c r="D499" s="8">
        <v>29990.0</v>
      </c>
      <c r="E499" s="9">
        <v>0.3</v>
      </c>
      <c r="F499" s="10">
        <v>4.3</v>
      </c>
      <c r="G499" s="11">
        <v>9499.0</v>
      </c>
      <c r="I499" s="7"/>
      <c r="J499" s="7"/>
      <c r="K499" s="13" t="str">
        <f>IF(discount&gt;50%, product, "")</f>
        <v/>
      </c>
      <c r="L499" s="7"/>
      <c r="M499" s="7"/>
      <c r="N499" s="7"/>
      <c r="O499" s="14"/>
      <c r="P499" s="14"/>
    </row>
    <row r="500">
      <c r="A500" s="7" t="s">
        <v>537</v>
      </c>
      <c r="B500" s="7" t="s">
        <v>380</v>
      </c>
      <c r="C500" s="8">
        <v>12999.0</v>
      </c>
      <c r="D500" s="8">
        <v>13499.0</v>
      </c>
      <c r="E500" s="9">
        <v>0.04</v>
      </c>
      <c r="F500" s="10">
        <v>4.1</v>
      </c>
      <c r="G500" s="11">
        <v>56098.0</v>
      </c>
      <c r="I500" s="7"/>
      <c r="J500" s="7"/>
      <c r="K500" s="13" t="str">
        <f>IF(discount&gt;50%, product, "")</f>
        <v/>
      </c>
      <c r="L500" s="7"/>
      <c r="M500" s="7"/>
      <c r="N500" s="7"/>
      <c r="O500" s="14"/>
      <c r="P500" s="14"/>
    </row>
    <row r="501">
      <c r="A501" s="7" t="s">
        <v>538</v>
      </c>
      <c r="B501" s="7" t="s">
        <v>380</v>
      </c>
      <c r="C501" s="8">
        <v>16999.0</v>
      </c>
      <c r="D501" s="8">
        <v>20999.0</v>
      </c>
      <c r="E501" s="9">
        <v>0.19</v>
      </c>
      <c r="F501" s="10">
        <v>4.1</v>
      </c>
      <c r="G501" s="11">
        <v>31822.0</v>
      </c>
      <c r="I501" s="7"/>
      <c r="J501" s="7"/>
      <c r="K501" s="13" t="str">
        <f>IF(discount&gt;50%, product, "")</f>
        <v/>
      </c>
      <c r="L501" s="7"/>
      <c r="M501" s="7"/>
      <c r="N501" s="7"/>
      <c r="O501" s="14"/>
      <c r="P501" s="14"/>
    </row>
    <row r="502">
      <c r="A502" s="7" t="s">
        <v>539</v>
      </c>
      <c r="B502" s="7" t="s">
        <v>380</v>
      </c>
      <c r="C502" s="8">
        <v>19999.0</v>
      </c>
      <c r="D502" s="8">
        <v>27990.0</v>
      </c>
      <c r="E502" s="9">
        <v>0.29</v>
      </c>
      <c r="F502" s="10">
        <v>4.3</v>
      </c>
      <c r="G502" s="11">
        <v>9499.0</v>
      </c>
      <c r="I502" s="7"/>
      <c r="J502" s="7"/>
      <c r="K502" s="13" t="str">
        <f>IF(discount&gt;50%, product, "")</f>
        <v/>
      </c>
      <c r="L502" s="7"/>
      <c r="M502" s="7"/>
      <c r="N502" s="7"/>
      <c r="O502" s="14"/>
      <c r="P502" s="14"/>
    </row>
    <row r="503">
      <c r="A503" s="7" t="s">
        <v>540</v>
      </c>
      <c r="B503" s="7" t="s">
        <v>380</v>
      </c>
      <c r="C503" s="8">
        <v>12999.0</v>
      </c>
      <c r="D503" s="8">
        <v>18999.0</v>
      </c>
      <c r="E503" s="9">
        <v>0.32</v>
      </c>
      <c r="F503" s="10">
        <v>4.1</v>
      </c>
      <c r="G503" s="11">
        <v>50772.0</v>
      </c>
      <c r="I503" s="7"/>
      <c r="J503" s="7"/>
      <c r="K503" s="13" t="str">
        <f>IF(discount&gt;50%, product, "")</f>
        <v/>
      </c>
      <c r="L503" s="7"/>
      <c r="M503" s="7"/>
      <c r="N503" s="7"/>
      <c r="O503" s="14"/>
      <c r="P503" s="14"/>
    </row>
    <row r="504">
      <c r="A504" s="7" t="s">
        <v>541</v>
      </c>
      <c r="B504" s="7" t="s">
        <v>373</v>
      </c>
      <c r="C504" s="8">
        <v>2999.0</v>
      </c>
      <c r="D504" s="8">
        <v>5999.0</v>
      </c>
      <c r="E504" s="9">
        <v>0.5</v>
      </c>
      <c r="F504" s="10">
        <v>4.1</v>
      </c>
      <c r="G504" s="11">
        <v>7148.0</v>
      </c>
      <c r="I504" s="7"/>
      <c r="J504" s="7"/>
      <c r="K504" s="13" t="str">
        <f>IF(discount&gt;50%, product, "")</f>
        <v/>
      </c>
      <c r="L504" s="7"/>
      <c r="M504" s="7"/>
      <c r="N504" s="7"/>
      <c r="O504" s="14"/>
      <c r="P504" s="14"/>
    </row>
    <row r="505">
      <c r="A505" s="7" t="s">
        <v>50</v>
      </c>
      <c r="B505" s="7" t="s">
        <v>15</v>
      </c>
      <c r="C505" s="8">
        <v>299.0</v>
      </c>
      <c r="D505" s="8">
        <v>999.0</v>
      </c>
      <c r="E505" s="9">
        <v>0.7</v>
      </c>
      <c r="F505" s="10">
        <v>4.3</v>
      </c>
      <c r="G505" s="11">
        <v>20850.0</v>
      </c>
      <c r="I505" s="7"/>
      <c r="J505" s="7"/>
      <c r="K505" s="13" t="str">
        <f>IF(discount&gt;50%, product, "")</f>
        <v>boAt A400 USB Type-C to USB-A 2.0 Male Data Cable, 2 Meter (Black)</v>
      </c>
      <c r="L505" s="7"/>
      <c r="M505" s="7"/>
      <c r="N505" s="7"/>
      <c r="O505" s="14"/>
      <c r="P505" s="14"/>
    </row>
    <row r="506">
      <c r="A506" s="7" t="s">
        <v>49</v>
      </c>
      <c r="B506" s="7" t="s">
        <v>15</v>
      </c>
      <c r="C506" s="8">
        <v>970.0</v>
      </c>
      <c r="D506" s="8">
        <v>1999.0</v>
      </c>
      <c r="E506" s="9">
        <v>0.51</v>
      </c>
      <c r="F506" s="10">
        <v>4.4</v>
      </c>
      <c r="G506" s="10">
        <v>184.0</v>
      </c>
      <c r="I506" s="7"/>
      <c r="J506" s="7"/>
      <c r="K506" s="13" t="str">
        <f>IF(discount&gt;50%, product, "")</f>
        <v>Duracell USB C To Lightning Apple Certified (Mfi) Braided Sync &amp; Charge Cable For Iphone, Ipad And Ipod. Fast Charging Lightning Cable, 3.9 Feet (1.2M) - Black</v>
      </c>
      <c r="L506" s="7"/>
      <c r="M506" s="7"/>
      <c r="N506" s="7"/>
      <c r="O506" s="14"/>
      <c r="P506" s="14"/>
    </row>
    <row r="507">
      <c r="A507" s="7" t="s">
        <v>542</v>
      </c>
      <c r="B507" s="7" t="s">
        <v>409</v>
      </c>
      <c r="C507" s="8">
        <v>329.0</v>
      </c>
      <c r="D507" s="8">
        <v>999.0</v>
      </c>
      <c r="E507" s="9">
        <v>0.67</v>
      </c>
      <c r="F507" s="10">
        <v>4.2</v>
      </c>
      <c r="G507" s="11">
        <v>3492.0</v>
      </c>
      <c r="I507" s="7"/>
      <c r="J507" s="7"/>
      <c r="K507" s="13" t="str">
        <f>IF(discount&gt;50%, product, "")</f>
        <v>Myvn 30W Warp/20W Dash Charging Usb Type C Charger Cable Compatible For Cellular Phones Oneplus 8T 8 8Pro 7 Pro / 7T / 7T Pro Nord And Oneplus 3 / 3T / 5 / 5T / 6 / 6T / 7</v>
      </c>
      <c r="L507" s="7"/>
      <c r="M507" s="7"/>
      <c r="N507" s="7"/>
      <c r="O507" s="14"/>
      <c r="P507" s="14"/>
    </row>
    <row r="508">
      <c r="A508" s="7" t="s">
        <v>543</v>
      </c>
      <c r="B508" s="7" t="s">
        <v>373</v>
      </c>
      <c r="C508" s="8">
        <v>1299.0</v>
      </c>
      <c r="D508" s="8">
        <v>5999.0</v>
      </c>
      <c r="E508" s="9">
        <v>0.78</v>
      </c>
      <c r="F508" s="10">
        <v>3.3</v>
      </c>
      <c r="G508" s="11">
        <v>4415.0</v>
      </c>
      <c r="I508" s="7"/>
      <c r="J508" s="7"/>
      <c r="K508" s="13" t="str">
        <f>IF(discount&gt;50%, product, "")</f>
        <v>PTron Newly Launched Force X10 Bluetooth Calling Smartwatch with 1.7" Full Touch Color Display, Real Heart Rate Monitor, SpO2, Watch Faces, 5 Days Runtime, Fitness Trackers &amp; IP68 Waterproof (Blue)</v>
      </c>
      <c r="L508" s="7"/>
      <c r="M508" s="7"/>
      <c r="N508" s="7"/>
      <c r="O508" s="14"/>
      <c r="P508" s="14"/>
    </row>
    <row r="509">
      <c r="A509" s="7" t="s">
        <v>544</v>
      </c>
      <c r="B509" s="7" t="s">
        <v>386</v>
      </c>
      <c r="C509" s="8">
        <v>1989.0</v>
      </c>
      <c r="D509" s="8">
        <v>3500.0</v>
      </c>
      <c r="E509" s="9">
        <v>0.43</v>
      </c>
      <c r="F509" s="10">
        <v>4.4</v>
      </c>
      <c r="G509" s="11">
        <v>67260.0</v>
      </c>
      <c r="I509" s="7"/>
      <c r="J509" s="7"/>
      <c r="K509" s="13" t="str">
        <f>IF(discount&gt;50%, product, "")</f>
        <v/>
      </c>
      <c r="L509" s="7"/>
      <c r="M509" s="7"/>
      <c r="N509" s="7"/>
      <c r="O509" s="14"/>
      <c r="P509" s="14"/>
    </row>
    <row r="510">
      <c r="A510" s="7" t="s">
        <v>374</v>
      </c>
      <c r="B510" s="7" t="s">
        <v>373</v>
      </c>
      <c r="C510" s="8">
        <v>1999.0</v>
      </c>
      <c r="D510" s="8">
        <v>9999.0</v>
      </c>
      <c r="E510" s="9">
        <v>0.8</v>
      </c>
      <c r="F510" s="10">
        <v>4.3</v>
      </c>
      <c r="G510" s="11">
        <v>27704.0</v>
      </c>
      <c r="I510" s="7"/>
      <c r="J510" s="7"/>
      <c r="K510" s="13" t="str">
        <f>IF(discount&gt;50%, product, "")</f>
        <v>Fire-Boltt Phoenix Smart Watch with Bluetooth Calling 1.3",120+ Sports Modes, 240*240 PX High Res with SpO2, Heart Rate Monitoring &amp; IP67 Rating</v>
      </c>
      <c r="L510" s="7"/>
      <c r="M510" s="7"/>
      <c r="N510" s="7"/>
      <c r="O510" s="14"/>
      <c r="P510" s="14"/>
    </row>
    <row r="511">
      <c r="A511" s="7" t="s">
        <v>545</v>
      </c>
      <c r="B511" s="7" t="s">
        <v>380</v>
      </c>
      <c r="C511" s="8">
        <v>12999.0</v>
      </c>
      <c r="D511" s="8">
        <v>18999.0</v>
      </c>
      <c r="E511" s="9">
        <v>0.32</v>
      </c>
      <c r="F511" s="10">
        <v>4.1</v>
      </c>
      <c r="G511" s="11">
        <v>50772.0</v>
      </c>
      <c r="I511" s="7"/>
      <c r="J511" s="7"/>
      <c r="K511" s="13" t="str">
        <f>IF(discount&gt;50%, product, "")</f>
        <v/>
      </c>
      <c r="L511" s="7"/>
      <c r="M511" s="7"/>
      <c r="N511" s="7"/>
      <c r="O511" s="14"/>
      <c r="P511" s="14"/>
    </row>
    <row r="512">
      <c r="A512" s="7" t="s">
        <v>546</v>
      </c>
      <c r="B512" s="7" t="s">
        <v>373</v>
      </c>
      <c r="C512" s="8">
        <v>1499.0</v>
      </c>
      <c r="D512" s="8">
        <v>4999.0</v>
      </c>
      <c r="E512" s="9">
        <v>0.7</v>
      </c>
      <c r="F512" s="10">
        <v>4.0</v>
      </c>
      <c r="G512" s="11">
        <v>92588.0</v>
      </c>
      <c r="I512" s="7"/>
      <c r="J512" s="7"/>
      <c r="K512" s="13" t="str">
        <f>IF(discount&gt;50%, product, "")</f>
        <v>Noise ColorFit Pro 2 Full Touch Control Smart Watch with 35g Weight &amp; Upgraded LCD Display (Deep Wine)</v>
      </c>
      <c r="L512" s="7"/>
      <c r="M512" s="7"/>
      <c r="N512" s="7"/>
      <c r="O512" s="14"/>
      <c r="P512" s="14"/>
    </row>
    <row r="513">
      <c r="A513" s="7" t="s">
        <v>547</v>
      </c>
      <c r="B513" s="7" t="s">
        <v>380</v>
      </c>
      <c r="C513" s="8">
        <v>16999.0</v>
      </c>
      <c r="D513" s="8">
        <v>20999.0</v>
      </c>
      <c r="E513" s="9">
        <v>0.19</v>
      </c>
      <c r="F513" s="10">
        <v>4.1</v>
      </c>
      <c r="G513" s="11">
        <v>31822.0</v>
      </c>
      <c r="I513" s="7"/>
      <c r="J513" s="7"/>
      <c r="K513" s="13" t="str">
        <f>IF(discount&gt;50%, product, "")</f>
        <v/>
      </c>
      <c r="L513" s="7"/>
      <c r="M513" s="7"/>
      <c r="N513" s="7"/>
      <c r="O513" s="14"/>
      <c r="P513" s="14"/>
    </row>
    <row r="514">
      <c r="A514" s="7" t="s">
        <v>548</v>
      </c>
      <c r="B514" s="7" t="s">
        <v>373</v>
      </c>
      <c r="C514" s="8">
        <v>1999.0</v>
      </c>
      <c r="D514" s="8">
        <v>8499.0</v>
      </c>
      <c r="E514" s="9">
        <v>0.76</v>
      </c>
      <c r="F514" s="10">
        <v>4.3</v>
      </c>
      <c r="G514" s="10">
        <v>240.0</v>
      </c>
      <c r="I514" s="7"/>
      <c r="J514" s="7"/>
      <c r="K514" s="13" t="str">
        <f>IF(discount&gt;50%, product, "")</f>
        <v>Newly Launched Boult Dive+ with 1.85" HD Display, Bluetooth Calling Smartwatch, 500 Nits Brightness, 7 Days Battery Life, 150+ Watch Faces, 100+ Sport Modes, IP68 Waterproof Smart Watch (Jet Black)</v>
      </c>
      <c r="L514" s="7"/>
      <c r="M514" s="7"/>
      <c r="N514" s="7"/>
      <c r="O514" s="14"/>
      <c r="P514" s="14"/>
    </row>
    <row r="515">
      <c r="A515" s="7" t="s">
        <v>549</v>
      </c>
      <c r="B515" s="7" t="s">
        <v>373</v>
      </c>
      <c r="C515" s="8">
        <v>4999.0</v>
      </c>
      <c r="D515" s="8">
        <v>6999.0</v>
      </c>
      <c r="E515" s="9">
        <v>0.29</v>
      </c>
      <c r="F515" s="10">
        <v>3.8</v>
      </c>
      <c r="G515" s="10">
        <v>758.0</v>
      </c>
      <c r="I515" s="7"/>
      <c r="J515" s="7"/>
      <c r="K515" s="13" t="str">
        <f>IF(discount&gt;50%, product, "")</f>
        <v/>
      </c>
      <c r="L515" s="7"/>
      <c r="M515" s="7"/>
      <c r="N515" s="7"/>
      <c r="O515" s="14"/>
      <c r="P515" s="14"/>
    </row>
    <row r="516">
      <c r="A516" s="7" t="s">
        <v>56</v>
      </c>
      <c r="B516" s="7" t="s">
        <v>15</v>
      </c>
      <c r="C516" s="8">
        <v>99.0</v>
      </c>
      <c r="D516" s="8">
        <v>666.66</v>
      </c>
      <c r="E516" s="9">
        <v>0.85</v>
      </c>
      <c r="F516" s="10">
        <v>3.9</v>
      </c>
      <c r="G516" s="11">
        <v>24870.0</v>
      </c>
      <c r="I516" s="7"/>
      <c r="J516" s="7"/>
      <c r="K516" s="13" t="str">
        <f>IF(discount&gt;50%, product, "")</f>
        <v>pTron Solero MB301 3A Micro USB Data &amp; Charging Cable, Made in India, 480Mbps Data Sync, Strong &amp; Durable 1.5-Meter Nylon Braided USB Cable for Micro USB Devices - (Black)</v>
      </c>
      <c r="L516" s="7"/>
      <c r="M516" s="7"/>
      <c r="N516" s="7"/>
      <c r="O516" s="14"/>
      <c r="P516" s="14"/>
    </row>
    <row r="517">
      <c r="A517" s="7" t="s">
        <v>550</v>
      </c>
      <c r="B517" s="7" t="s">
        <v>373</v>
      </c>
      <c r="C517" s="8">
        <v>2499.0</v>
      </c>
      <c r="D517" s="8">
        <v>5999.0</v>
      </c>
      <c r="E517" s="9">
        <v>0.58</v>
      </c>
      <c r="F517" s="10">
        <v>3.7</v>
      </c>
      <c r="G517" s="10">
        <v>828.0</v>
      </c>
      <c r="I517" s="7"/>
      <c r="J517" s="7"/>
      <c r="K517" s="13" t="str">
        <f>IF(discount&gt;50%, product, "")</f>
        <v>Noise Agile 2 Buzz Bluetooth Calling Smart Watch with 1.28" TFT Display,Dual Button,in-Built Mic &amp; Speaker,AI Voice Assistant, Health Suite,in-Built Games, 100 Watch Faces-(Jet Black)</v>
      </c>
      <c r="L517" s="7"/>
      <c r="M517" s="7"/>
      <c r="N517" s="7"/>
      <c r="O517" s="14"/>
      <c r="P517" s="14"/>
    </row>
    <row r="518">
      <c r="A518" s="7" t="s">
        <v>551</v>
      </c>
      <c r="B518" s="7" t="s">
        <v>389</v>
      </c>
      <c r="C518" s="8">
        <v>1399.0</v>
      </c>
      <c r="D518" s="8">
        <v>1630.0</v>
      </c>
      <c r="E518" s="9">
        <v>0.14</v>
      </c>
      <c r="F518" s="10">
        <v>4.0</v>
      </c>
      <c r="G518" s="11">
        <v>9378.0</v>
      </c>
      <c r="I518" s="7"/>
      <c r="J518" s="7"/>
      <c r="K518" s="13" t="str">
        <f>IF(discount&gt;50%, product, "")</f>
        <v/>
      </c>
      <c r="L518" s="7"/>
      <c r="M518" s="7"/>
      <c r="N518" s="7"/>
      <c r="O518" s="14"/>
      <c r="P518" s="14"/>
    </row>
    <row r="519">
      <c r="A519" s="7" t="s">
        <v>552</v>
      </c>
      <c r="B519" s="7" t="s">
        <v>373</v>
      </c>
      <c r="C519" s="8">
        <v>1499.0</v>
      </c>
      <c r="D519" s="8">
        <v>9999.0</v>
      </c>
      <c r="E519" s="9">
        <v>0.85</v>
      </c>
      <c r="F519" s="10">
        <v>4.2</v>
      </c>
      <c r="G519" s="11">
        <v>22638.0</v>
      </c>
      <c r="I519" s="7"/>
      <c r="J519" s="7"/>
      <c r="K519" s="13" t="str">
        <f>IF(discount&gt;50%, product, "")</f>
        <v>Fire-Boltt Ninja 3 Smartwatch Full Touch 1.69 " &amp; 60 Sports Modes with IP68, Sp02 Tracking, Over 100 Cloud based watch faces ( Silver )</v>
      </c>
      <c r="L519" s="7"/>
      <c r="M519" s="7"/>
      <c r="N519" s="7"/>
      <c r="O519" s="14"/>
      <c r="P519" s="14"/>
    </row>
    <row r="520">
      <c r="A520" s="7" t="s">
        <v>57</v>
      </c>
      <c r="B520" s="7" t="s">
        <v>15</v>
      </c>
      <c r="C520" s="8">
        <v>899.0</v>
      </c>
      <c r="D520" s="8">
        <v>1900.0</v>
      </c>
      <c r="E520" s="9">
        <v>0.53</v>
      </c>
      <c r="F520" s="10">
        <v>4.4</v>
      </c>
      <c r="G520" s="11">
        <v>13552.0</v>
      </c>
      <c r="I520" s="7"/>
      <c r="J520" s="7"/>
      <c r="K520" s="13" t="str">
        <f>IF(discount&gt;50%, product, "")</f>
        <v>Amazonbasics Nylon Braided Usb-C To Lightning Cable, Fast Charging Mfi Certified Smartphone, Iphone Charger (6-Foot, Dark Grey)</v>
      </c>
      <c r="L520" s="7"/>
      <c r="M520" s="7"/>
      <c r="N520" s="7"/>
      <c r="O520" s="14"/>
      <c r="P520" s="14"/>
    </row>
    <row r="521">
      <c r="A521" s="7" t="s">
        <v>553</v>
      </c>
      <c r="B521" s="7" t="s">
        <v>409</v>
      </c>
      <c r="C521" s="8">
        <v>249.0</v>
      </c>
      <c r="D521" s="8">
        <v>599.0</v>
      </c>
      <c r="E521" s="9">
        <v>0.58</v>
      </c>
      <c r="F521" s="10">
        <v>3.9</v>
      </c>
      <c r="G521" s="11">
        <v>2147.0</v>
      </c>
      <c r="I521" s="7"/>
      <c r="J521" s="7"/>
      <c r="K521" s="13" t="str">
        <f>IF(discount&gt;50%, product, "")</f>
        <v>Flix (Beetel) Bolt 2.4 12W Dual USB Smart Charger, Made in India, Bis Certified, Fast Charging Power Adaptor with 1 Meter USB to Type C Cable for Cellular Phones (White)(Xwc-64D)</v>
      </c>
      <c r="L521" s="7"/>
      <c r="M521" s="7"/>
      <c r="N521" s="7"/>
      <c r="O521" s="14"/>
      <c r="P521" s="14"/>
    </row>
    <row r="522">
      <c r="A522" s="7" t="s">
        <v>554</v>
      </c>
      <c r="B522" s="7" t="s">
        <v>490</v>
      </c>
      <c r="C522" s="8">
        <v>299.0</v>
      </c>
      <c r="D522" s="8">
        <v>1199.0</v>
      </c>
      <c r="E522" s="9">
        <v>0.75</v>
      </c>
      <c r="F522" s="10">
        <v>4.5</v>
      </c>
      <c r="G522" s="10">
        <v>596.0</v>
      </c>
      <c r="I522" s="7"/>
      <c r="J522" s="7"/>
      <c r="K522" s="13" t="str">
        <f>IF(discount&gt;50%, product, "")</f>
        <v>Kyosei Advanced Tempered Glass Compatible with Google Pixel 6a with Military-Grade Anti-Explosion Edge-to-Edge Coverage Screen Protector Guard</v>
      </c>
      <c r="L522" s="7"/>
      <c r="M522" s="7"/>
      <c r="N522" s="7"/>
      <c r="O522" s="14"/>
      <c r="P522" s="14"/>
    </row>
    <row r="523">
      <c r="A523" s="7" t="s">
        <v>555</v>
      </c>
      <c r="B523" s="7" t="s">
        <v>469</v>
      </c>
      <c r="C523" s="8">
        <v>79.0</v>
      </c>
      <c r="D523" s="8">
        <v>499.0</v>
      </c>
      <c r="E523" s="9">
        <v>0.84</v>
      </c>
      <c r="F523" s="10">
        <v>4.2</v>
      </c>
      <c r="G523" s="11">
        <v>1949.0</v>
      </c>
      <c r="I523" s="7"/>
      <c r="J523" s="7"/>
      <c r="K523" s="13" t="str">
        <f>IF(discount&gt;50%, product, "")</f>
        <v>STRIFF 12 Pieces Highly Flexible Silicone Micro USB Protector, Mouse Cable Protector, Suit for All Cell Phones, Computers and Chargers (Black)</v>
      </c>
      <c r="L523" s="7"/>
      <c r="M523" s="7"/>
      <c r="N523" s="7"/>
      <c r="O523" s="14"/>
      <c r="P523" s="14"/>
    </row>
    <row r="524">
      <c r="A524" s="7" t="s">
        <v>556</v>
      </c>
      <c r="B524" s="7" t="s">
        <v>380</v>
      </c>
      <c r="C524" s="8">
        <v>13999.0</v>
      </c>
      <c r="D524" s="8">
        <v>15999.0</v>
      </c>
      <c r="E524" s="9">
        <v>0.13</v>
      </c>
      <c r="F524" s="10">
        <v>3.9</v>
      </c>
      <c r="G524" s="11">
        <v>2180.0</v>
      </c>
      <c r="I524" s="7"/>
      <c r="J524" s="7"/>
      <c r="K524" s="13" t="str">
        <f>IF(discount&gt;50%, product, "")</f>
        <v/>
      </c>
      <c r="L524" s="7"/>
      <c r="M524" s="7"/>
      <c r="N524" s="7"/>
      <c r="O524" s="14"/>
      <c r="P524" s="14"/>
    </row>
    <row r="525">
      <c r="A525" s="7" t="s">
        <v>557</v>
      </c>
      <c r="B525" s="7" t="s">
        <v>393</v>
      </c>
      <c r="C525" s="8">
        <v>949.0</v>
      </c>
      <c r="D525" s="8">
        <v>999.0</v>
      </c>
      <c r="E525" s="9">
        <v>0.05</v>
      </c>
      <c r="F525" s="10">
        <v>4.2</v>
      </c>
      <c r="G525" s="11">
        <v>31539.0</v>
      </c>
      <c r="I525" s="7"/>
      <c r="J525" s="7"/>
      <c r="K525" s="13" t="str">
        <f>IF(discount&gt;50%, product, "")</f>
        <v/>
      </c>
      <c r="L525" s="7"/>
      <c r="M525" s="7"/>
      <c r="N525" s="7"/>
      <c r="O525" s="14"/>
      <c r="P525" s="14"/>
    </row>
    <row r="526">
      <c r="A526" s="7" t="s">
        <v>558</v>
      </c>
      <c r="B526" s="7" t="s">
        <v>450</v>
      </c>
      <c r="C526" s="8">
        <v>99.0</v>
      </c>
      <c r="D526" s="8">
        <v>499.0</v>
      </c>
      <c r="E526" s="9">
        <v>0.8</v>
      </c>
      <c r="F526" s="10">
        <v>4.1</v>
      </c>
      <c r="G526" s="11">
        <v>2451.0</v>
      </c>
      <c r="I526" s="7"/>
      <c r="J526" s="7"/>
      <c r="K526" s="13" t="str">
        <f>IF(discount&gt;50%, product, "")</f>
        <v>STRIFF Multi Angle Tablet/Mobile Stand. Holder for iPhone, Android, Samsung, OnePlus, Xiaomi. Portable,Foldable Stand.Perfect for Bed,Office, Home,Gift and Desktop (Black)</v>
      </c>
      <c r="L526" s="7"/>
      <c r="M526" s="7"/>
      <c r="N526" s="7"/>
      <c r="O526" s="14"/>
      <c r="P526" s="14"/>
    </row>
    <row r="527">
      <c r="A527" s="7" t="s">
        <v>559</v>
      </c>
      <c r="B527" s="7" t="s">
        <v>373</v>
      </c>
      <c r="C527" s="8">
        <v>2499.0</v>
      </c>
      <c r="D527" s="8">
        <v>7990.0</v>
      </c>
      <c r="E527" s="9">
        <v>0.69</v>
      </c>
      <c r="F527" s="10">
        <v>4.1</v>
      </c>
      <c r="G527" s="10">
        <v>154.0</v>
      </c>
      <c r="I527" s="7"/>
      <c r="J527" s="7"/>
      <c r="K527" s="13" t="str">
        <f>IF(discount&gt;50%, product, "")</f>
        <v>boAt Newly Launched Wave Electra with 1.81" HD Display, Smart Calling Ultra-Seamless BT Calling Chip, 20 Built-in Watch Faces, 100 + Sports Modes, Menu Personalization, in-Built Games(Cherry Blossom)</v>
      </c>
      <c r="L527" s="7"/>
      <c r="M527" s="7"/>
      <c r="N527" s="7"/>
      <c r="O527" s="14"/>
      <c r="P527" s="14"/>
    </row>
    <row r="528">
      <c r="A528" s="7" t="s">
        <v>560</v>
      </c>
      <c r="B528" s="7" t="s">
        <v>561</v>
      </c>
      <c r="C528" s="8">
        <v>689.0</v>
      </c>
      <c r="D528" s="8">
        <v>1999.0</v>
      </c>
      <c r="E528" s="9">
        <v>0.66</v>
      </c>
      <c r="F528" s="10">
        <v>4.3</v>
      </c>
      <c r="G528" s="11">
        <v>1193.0</v>
      </c>
      <c r="I528" s="7"/>
      <c r="J528" s="7"/>
      <c r="K528" s="13" t="str">
        <f>IF(discount&gt;50%, product, "")</f>
        <v>WeCool B1 Mobile Holder for Bikes or Bike Mobile Holder for Maps and GPS Navigation, one Click Locking, Firm Gripping, Anti Shake and Stable Cradle Clamp with 360° Rotation Bicycle Phone Mount</v>
      </c>
      <c r="L528" s="7"/>
      <c r="M528" s="7"/>
      <c r="N528" s="7"/>
      <c r="O528" s="14"/>
      <c r="P528" s="14"/>
    </row>
    <row r="529">
      <c r="A529" s="7" t="s">
        <v>562</v>
      </c>
      <c r="B529" s="7" t="s">
        <v>511</v>
      </c>
      <c r="C529" s="8">
        <v>499.0</v>
      </c>
      <c r="D529" s="8">
        <v>1899.0</v>
      </c>
      <c r="E529" s="9">
        <v>0.74</v>
      </c>
      <c r="F529" s="10">
        <v>4.1</v>
      </c>
      <c r="G529" s="11">
        <v>1475.0</v>
      </c>
      <c r="I529" s="7"/>
      <c r="J529" s="7"/>
      <c r="K529" s="13" t="str">
        <f>IF(discount&gt;50%, product, "")</f>
        <v>Sounce 360 Adjustable Mobile Phone Holder, Universal Phone Holder Clip Lazy Bracket Flexible Gooseneck Clamp Long Arms Mount for Mobile Tabletop Stand for Bedroom, Office, Bathroom, White</v>
      </c>
      <c r="L529" s="7"/>
      <c r="M529" s="7"/>
      <c r="N529" s="7"/>
      <c r="O529" s="14"/>
      <c r="P529" s="14"/>
    </row>
    <row r="530">
      <c r="A530" s="7" t="s">
        <v>563</v>
      </c>
      <c r="B530" s="7" t="s">
        <v>490</v>
      </c>
      <c r="C530" s="8">
        <v>299.0</v>
      </c>
      <c r="D530" s="8">
        <v>999.0</v>
      </c>
      <c r="E530" s="9">
        <v>0.7</v>
      </c>
      <c r="F530" s="10">
        <v>4.3</v>
      </c>
      <c r="G530" s="11">
        <v>8891.0</v>
      </c>
      <c r="I530" s="7"/>
      <c r="J530" s="7"/>
      <c r="K530" s="13" t="str">
        <f>IF(discount&gt;50%, product, "")</f>
        <v>OpenTech® Military-Grade Tempered Glass Screen Protector Compatible for iPhone 13/13 Pro / 14 with Edge to Edge Coverage and Easy Installation kit (6.1 Inches)</v>
      </c>
      <c r="L530" s="7"/>
      <c r="M530" s="7"/>
      <c r="N530" s="7"/>
      <c r="O530" s="14"/>
      <c r="P530" s="14"/>
    </row>
    <row r="531">
      <c r="A531" s="7" t="s">
        <v>564</v>
      </c>
      <c r="B531" s="7" t="s">
        <v>450</v>
      </c>
      <c r="C531" s="8">
        <v>209.0</v>
      </c>
      <c r="D531" s="8">
        <v>499.0</v>
      </c>
      <c r="E531" s="9">
        <v>0.58</v>
      </c>
      <c r="F531" s="10">
        <v>3.6</v>
      </c>
      <c r="G531" s="10">
        <v>104.0</v>
      </c>
      <c r="I531" s="7"/>
      <c r="J531" s="7"/>
      <c r="K531" s="13" t="str">
        <f>IF(discount&gt;50%, product, "")</f>
        <v>EN LIGNE Adjustable Cell Phone Stand, Foldable Portable Phone Stand Phone Holder for Desk, Desktop Tablet Stand Compatible with Mobile Phone/iPad/Tablet (Black)</v>
      </c>
      <c r="L531" s="7"/>
      <c r="M531" s="7"/>
      <c r="N531" s="7"/>
      <c r="O531" s="14"/>
      <c r="P531" s="14"/>
    </row>
    <row r="532">
      <c r="A532" s="7" t="s">
        <v>565</v>
      </c>
      <c r="B532" s="7" t="s">
        <v>380</v>
      </c>
      <c r="C532" s="8">
        <v>8499.0</v>
      </c>
      <c r="D532" s="8">
        <v>12999.0</v>
      </c>
      <c r="E532" s="9">
        <v>0.35</v>
      </c>
      <c r="F532" s="10">
        <v>4.1</v>
      </c>
      <c r="G532" s="11">
        <v>6662.0</v>
      </c>
      <c r="I532" s="7"/>
      <c r="J532" s="7"/>
      <c r="K532" s="13" t="str">
        <f>IF(discount&gt;50%, product, "")</f>
        <v/>
      </c>
      <c r="L532" s="7"/>
      <c r="M532" s="7"/>
      <c r="N532" s="7"/>
      <c r="O532" s="14"/>
      <c r="P532" s="14"/>
    </row>
    <row r="533">
      <c r="A533" s="7" t="s">
        <v>566</v>
      </c>
      <c r="B533" s="7" t="s">
        <v>377</v>
      </c>
      <c r="C533" s="8">
        <v>2179.0</v>
      </c>
      <c r="D533" s="8">
        <v>3999.0</v>
      </c>
      <c r="E533" s="9">
        <v>0.46</v>
      </c>
      <c r="F533" s="10">
        <v>4.0</v>
      </c>
      <c r="G533" s="11">
        <v>8380.0</v>
      </c>
      <c r="I533" s="7"/>
      <c r="J533" s="7"/>
      <c r="K533" s="13" t="str">
        <f>IF(discount&gt;50%, product, "")</f>
        <v/>
      </c>
      <c r="L533" s="7"/>
      <c r="M533" s="7"/>
      <c r="N533" s="7"/>
      <c r="O533" s="14"/>
      <c r="P533" s="14"/>
    </row>
    <row r="534">
      <c r="A534" s="7" t="s">
        <v>567</v>
      </c>
      <c r="B534" s="7" t="s">
        <v>380</v>
      </c>
      <c r="C534" s="8">
        <v>16999.0</v>
      </c>
      <c r="D534" s="8">
        <v>20999.0</v>
      </c>
      <c r="E534" s="9">
        <v>0.19</v>
      </c>
      <c r="F534" s="10">
        <v>4.1</v>
      </c>
      <c r="G534" s="11">
        <v>31822.0</v>
      </c>
      <c r="I534" s="7"/>
      <c r="J534" s="7"/>
      <c r="K534" s="13" t="str">
        <f>IF(discount&gt;50%, product, "")</f>
        <v/>
      </c>
      <c r="L534" s="7"/>
      <c r="M534" s="7"/>
      <c r="N534" s="7"/>
      <c r="O534" s="14"/>
      <c r="P534" s="14"/>
    </row>
    <row r="535">
      <c r="A535" s="7" t="s">
        <v>568</v>
      </c>
      <c r="B535" s="7" t="s">
        <v>380</v>
      </c>
      <c r="C535" s="8">
        <v>44999.0</v>
      </c>
      <c r="D535" s="8">
        <v>49999.0</v>
      </c>
      <c r="E535" s="9">
        <v>0.1</v>
      </c>
      <c r="F535" s="10">
        <v>4.3</v>
      </c>
      <c r="G535" s="11">
        <v>3075.0</v>
      </c>
      <c r="I535" s="7"/>
      <c r="J535" s="7"/>
      <c r="K535" s="13" t="str">
        <f>IF(discount&gt;50%, product, "")</f>
        <v/>
      </c>
      <c r="L535" s="7"/>
      <c r="M535" s="7"/>
      <c r="N535" s="7"/>
      <c r="O535" s="14"/>
      <c r="P535" s="14"/>
    </row>
    <row r="536">
      <c r="A536" s="7" t="s">
        <v>569</v>
      </c>
      <c r="B536" s="7" t="s">
        <v>389</v>
      </c>
      <c r="C536" s="8">
        <v>2599.0</v>
      </c>
      <c r="D536" s="8">
        <v>2999.0</v>
      </c>
      <c r="E536" s="9">
        <v>0.13</v>
      </c>
      <c r="F536" s="10">
        <v>3.9</v>
      </c>
      <c r="G536" s="11">
        <v>14266.0</v>
      </c>
      <c r="I536" s="7"/>
      <c r="J536" s="7"/>
      <c r="K536" s="13" t="str">
        <f>IF(discount&gt;50%, product, "")</f>
        <v/>
      </c>
      <c r="L536" s="7"/>
      <c r="M536" s="7"/>
      <c r="N536" s="7"/>
      <c r="O536" s="14"/>
      <c r="P536" s="14"/>
    </row>
    <row r="537">
      <c r="A537" s="7" t="s">
        <v>570</v>
      </c>
      <c r="B537" s="7" t="s">
        <v>373</v>
      </c>
      <c r="C537" s="8">
        <v>2799.0</v>
      </c>
      <c r="D537" s="8">
        <v>6499.0</v>
      </c>
      <c r="E537" s="9">
        <v>0.57</v>
      </c>
      <c r="F537" s="10">
        <v>4.1</v>
      </c>
      <c r="G537" s="11">
        <v>38879.0</v>
      </c>
      <c r="I537" s="7"/>
      <c r="J537" s="7"/>
      <c r="K537" s="13" t="str">
        <f>IF(discount&gt;50%, product, "")</f>
        <v>Noise ColorFit Ultra SE Smart Watch with 1.75"(4.3cm) HD Display, Aluminium Alloy Body, 60 Sports Modes, Spo2, Lightweight, Stock Market Info, Calls &amp; SMS Reply (Vintage Brown)</v>
      </c>
      <c r="L537" s="7"/>
      <c r="M537" s="7"/>
      <c r="N537" s="7"/>
      <c r="O537" s="14"/>
      <c r="P537" s="14"/>
    </row>
    <row r="538">
      <c r="A538" s="7" t="s">
        <v>571</v>
      </c>
      <c r="B538" s="7" t="s">
        <v>572</v>
      </c>
      <c r="C538" s="8">
        <v>1399.0</v>
      </c>
      <c r="D538" s="8">
        <v>2990.0</v>
      </c>
      <c r="E538" s="9">
        <v>0.53</v>
      </c>
      <c r="F538" s="10">
        <v>4.1</v>
      </c>
      <c r="G538" s="11">
        <v>97175.0</v>
      </c>
      <c r="I538" s="7"/>
      <c r="J538" s="7"/>
      <c r="K538" s="13" t="str">
        <f>IF(discount&gt;50%, product, "")</f>
        <v>boAt Rockerz 400 Bluetooth On Ear Headphones With Mic With Upto 8 Hours Playback &amp; Soft Padded Ear Cushions(Grey/Green)</v>
      </c>
      <c r="L538" s="7"/>
      <c r="M538" s="7"/>
      <c r="N538" s="7"/>
      <c r="O538" s="14"/>
      <c r="P538" s="14"/>
    </row>
    <row r="539">
      <c r="A539" s="7" t="s">
        <v>573</v>
      </c>
      <c r="B539" s="7" t="s">
        <v>386</v>
      </c>
      <c r="C539" s="8">
        <v>649.0</v>
      </c>
      <c r="D539" s="8">
        <v>2400.0</v>
      </c>
      <c r="E539" s="9">
        <v>0.73</v>
      </c>
      <c r="F539" s="10">
        <v>4.4</v>
      </c>
      <c r="G539" s="11">
        <v>67260.0</v>
      </c>
      <c r="I539" s="7"/>
      <c r="J539" s="7"/>
      <c r="K539" s="13" t="str">
        <f>IF(discount&gt;50%, product, "")</f>
        <v>SanDisk Ultra microSD UHS-I Card 64GB, 120MB/s R</v>
      </c>
      <c r="L539" s="7"/>
      <c r="M539" s="7"/>
      <c r="N539" s="7"/>
      <c r="O539" s="14"/>
      <c r="P539" s="14"/>
    </row>
    <row r="540">
      <c r="A540" s="7" t="s">
        <v>574</v>
      </c>
      <c r="B540" s="7" t="s">
        <v>409</v>
      </c>
      <c r="C540" s="8">
        <v>799.0</v>
      </c>
      <c r="D540" s="8">
        <v>3990.0</v>
      </c>
      <c r="E540" s="9">
        <v>0.8</v>
      </c>
      <c r="F540" s="10">
        <v>3.8</v>
      </c>
      <c r="G540" s="10">
        <v>119.0</v>
      </c>
      <c r="I540" s="7"/>
      <c r="J540" s="7"/>
      <c r="K540" s="13" t="str">
        <f>IF(discount&gt;50%, product, "")</f>
        <v>iPhone Original 20W C Type Fast PD Charger Compatible with I-Phone13/13 mini/13pro/13 pro Max I-Phone 12/12 Pro/12mini/12 Pro Max, I-Phone11/11 Pro/11 Pro Max 2020 (Only Adapter)</v>
      </c>
      <c r="L540" s="7"/>
      <c r="M540" s="7"/>
      <c r="N540" s="7"/>
      <c r="O540" s="14"/>
      <c r="P540" s="14"/>
    </row>
    <row r="541">
      <c r="A541" s="7" t="s">
        <v>575</v>
      </c>
      <c r="B541" s="7" t="s">
        <v>576</v>
      </c>
      <c r="C541" s="8">
        <v>149.0</v>
      </c>
      <c r="D541" s="8">
        <v>149.0</v>
      </c>
      <c r="E541" s="9">
        <v>0.0</v>
      </c>
      <c r="F541" s="10">
        <v>4.3</v>
      </c>
      <c r="G541" s="11">
        <v>10833.0</v>
      </c>
      <c r="I541" s="7"/>
      <c r="J541" s="7"/>
      <c r="K541" s="13" t="str">
        <f>IF(discount&gt;50%, product, "")</f>
        <v/>
      </c>
      <c r="L541" s="7"/>
      <c r="M541" s="7"/>
      <c r="N541" s="7"/>
      <c r="O541" s="14"/>
      <c r="P541" s="14"/>
    </row>
    <row r="542">
      <c r="A542" s="7" t="s">
        <v>75</v>
      </c>
      <c r="B542" s="7" t="s">
        <v>15</v>
      </c>
      <c r="C542" s="8">
        <v>799.0</v>
      </c>
      <c r="D542" s="8">
        <v>2100.0</v>
      </c>
      <c r="E542" s="9">
        <v>0.62</v>
      </c>
      <c r="F542" s="10">
        <v>4.3</v>
      </c>
      <c r="G542" s="11">
        <v>8188.0</v>
      </c>
      <c r="I542" s="7"/>
      <c r="J542" s="7"/>
      <c r="K542" s="13" t="str">
        <f>IF(discount&gt;50%, product, "")</f>
        <v>AmazonBasics New Release Nylon USB-A to Lightning Cable Cord, Fast Charging MFi Certified Charger for Apple iPhone, iPad (6-Ft, Rose Gold)</v>
      </c>
      <c r="L542" s="7"/>
      <c r="M542" s="7"/>
      <c r="N542" s="7"/>
      <c r="O542" s="14"/>
      <c r="P542" s="14"/>
    </row>
    <row r="543">
      <c r="A543" s="7" t="s">
        <v>577</v>
      </c>
      <c r="B543" s="7" t="s">
        <v>389</v>
      </c>
      <c r="C543" s="8">
        <v>3799.0</v>
      </c>
      <c r="D543" s="8">
        <v>5299.0</v>
      </c>
      <c r="E543" s="9">
        <v>0.28</v>
      </c>
      <c r="F543" s="10">
        <v>3.5</v>
      </c>
      <c r="G543" s="11">
        <v>1641.0</v>
      </c>
      <c r="I543" s="7"/>
      <c r="J543" s="7"/>
      <c r="K543" s="13" t="str">
        <f>IF(discount&gt;50%, product, "")</f>
        <v/>
      </c>
      <c r="L543" s="7"/>
      <c r="M543" s="7"/>
      <c r="N543" s="7"/>
      <c r="O543" s="14"/>
      <c r="P543" s="14"/>
    </row>
    <row r="544">
      <c r="A544" s="7" t="s">
        <v>578</v>
      </c>
      <c r="B544" s="7" t="s">
        <v>516</v>
      </c>
      <c r="C544" s="8">
        <v>199.0</v>
      </c>
      <c r="D544" s="8">
        <v>1899.0</v>
      </c>
      <c r="E544" s="9">
        <v>0.9</v>
      </c>
      <c r="F544" s="10">
        <v>4.0</v>
      </c>
      <c r="G544" s="11">
        <v>4740.0</v>
      </c>
      <c r="I544" s="7"/>
      <c r="J544" s="7"/>
      <c r="K544" s="13" t="str">
        <f>IF(discount&gt;50%, product, "")</f>
        <v>Sounce Protective Case Cover Compatible Boat Xtend Overall Protective Case TPU HD Clear Ultra-Thin Cover with Unbreakable Screen Guard</v>
      </c>
      <c r="L544" s="7"/>
      <c r="M544" s="7"/>
      <c r="N544" s="7"/>
      <c r="O544" s="14"/>
      <c r="P544" s="14"/>
    </row>
    <row r="545">
      <c r="A545" s="7" t="s">
        <v>579</v>
      </c>
      <c r="B545" s="7" t="s">
        <v>380</v>
      </c>
      <c r="C545" s="8">
        <v>23999.0</v>
      </c>
      <c r="D545" s="8">
        <v>32999.0</v>
      </c>
      <c r="E545" s="9">
        <v>0.27</v>
      </c>
      <c r="F545" s="10">
        <v>3.9</v>
      </c>
      <c r="G545" s="11">
        <v>8866.0</v>
      </c>
      <c r="I545" s="7"/>
      <c r="J545" s="7"/>
      <c r="K545" s="13" t="str">
        <f>IF(discount&gt;50%, product, "")</f>
        <v/>
      </c>
      <c r="L545" s="7"/>
      <c r="M545" s="7"/>
      <c r="N545" s="7"/>
      <c r="O545" s="14"/>
      <c r="P545" s="14"/>
    </row>
    <row r="546">
      <c r="A546" s="7" t="s">
        <v>580</v>
      </c>
      <c r="B546" s="7" t="s">
        <v>380</v>
      </c>
      <c r="C546" s="8">
        <v>29990.0</v>
      </c>
      <c r="D546" s="8">
        <v>39990.0</v>
      </c>
      <c r="E546" s="9">
        <v>0.25</v>
      </c>
      <c r="F546" s="10">
        <v>4.3</v>
      </c>
      <c r="G546" s="11">
        <v>8399.0</v>
      </c>
      <c r="I546" s="7"/>
      <c r="J546" s="7"/>
      <c r="K546" s="13" t="str">
        <f>IF(discount&gt;50%, product, "")</f>
        <v/>
      </c>
      <c r="L546" s="7"/>
      <c r="M546" s="7"/>
      <c r="N546" s="7"/>
      <c r="O546" s="14"/>
      <c r="P546" s="14"/>
    </row>
    <row r="547">
      <c r="A547" s="7" t="s">
        <v>581</v>
      </c>
      <c r="B547" s="7" t="s">
        <v>373</v>
      </c>
      <c r="C547" s="8">
        <v>281.0</v>
      </c>
      <c r="D547" s="8">
        <v>1999.0</v>
      </c>
      <c r="E547" s="9">
        <v>0.86</v>
      </c>
      <c r="F547" s="10">
        <v>2.8</v>
      </c>
      <c r="G547" s="10">
        <v>87.0</v>
      </c>
      <c r="I547" s="7"/>
      <c r="J547" s="7"/>
      <c r="K547" s="13" t="str">
        <f>IF(discount&gt;50%, product, "")</f>
        <v>SHREENOVA ID116 Plus Bluetooth Fitness Smart Watch for Men Women and Kids Activity Tracker (Black)</v>
      </c>
      <c r="L547" s="7"/>
      <c r="M547" s="7"/>
      <c r="N547" s="7"/>
      <c r="O547" s="14"/>
      <c r="P547" s="14"/>
    </row>
    <row r="548">
      <c r="A548" s="7" t="s">
        <v>582</v>
      </c>
      <c r="B548" s="7" t="s">
        <v>380</v>
      </c>
      <c r="C548" s="8">
        <v>7998.0</v>
      </c>
      <c r="D548" s="8">
        <v>11999.0</v>
      </c>
      <c r="E548" s="9">
        <v>0.33</v>
      </c>
      <c r="F548" s="10">
        <v>3.8</v>
      </c>
      <c r="G548" s="10">
        <v>125.0</v>
      </c>
      <c r="I548" s="7"/>
      <c r="J548" s="7"/>
      <c r="K548" s="13" t="str">
        <f>IF(discount&gt;50%, product, "")</f>
        <v/>
      </c>
      <c r="L548" s="7"/>
      <c r="M548" s="7"/>
      <c r="N548" s="7"/>
      <c r="O548" s="14"/>
      <c r="P548" s="14"/>
    </row>
    <row r="549">
      <c r="A549" s="7" t="s">
        <v>583</v>
      </c>
      <c r="B549" s="7" t="s">
        <v>373</v>
      </c>
      <c r="C549" s="8">
        <v>249.0</v>
      </c>
      <c r="D549" s="8">
        <v>999.0</v>
      </c>
      <c r="E549" s="9">
        <v>0.75</v>
      </c>
      <c r="F549" s="10">
        <v>4.5</v>
      </c>
      <c r="G549" s="10">
        <v>38.0</v>
      </c>
      <c r="I549" s="7"/>
      <c r="J549" s="7"/>
      <c r="K549" s="13" t="str">
        <f>IF(discount&gt;50%, product, "")</f>
        <v>Noise_Colorfit Smart Watch Charger 2 Pin USB Fast Charger Magnetic Charging Cable Adapter (Smart Watch Charger 2 pin)</v>
      </c>
      <c r="L549" s="7"/>
      <c r="M549" s="7"/>
      <c r="N549" s="7"/>
      <c r="O549" s="14"/>
      <c r="P549" s="14"/>
    </row>
    <row r="550">
      <c r="A550" s="7" t="s">
        <v>584</v>
      </c>
      <c r="B550" s="7" t="s">
        <v>490</v>
      </c>
      <c r="C550" s="8">
        <v>299.0</v>
      </c>
      <c r="D550" s="8">
        <v>599.0</v>
      </c>
      <c r="E550" s="9">
        <v>0.5</v>
      </c>
      <c r="F550" s="10">
        <v>4.3</v>
      </c>
      <c r="G550" s="11">
        <v>4674.0</v>
      </c>
      <c r="I550" s="7"/>
      <c r="J550" s="7"/>
      <c r="K550" s="13" t="str">
        <f>IF(discount&gt;50%, product, "")</f>
        <v/>
      </c>
      <c r="L550" s="7"/>
      <c r="M550" s="7"/>
      <c r="N550" s="7"/>
      <c r="O550" s="14"/>
      <c r="P550" s="14"/>
    </row>
    <row r="551">
      <c r="A551" s="7" t="s">
        <v>585</v>
      </c>
      <c r="B551" s="7" t="s">
        <v>373</v>
      </c>
      <c r="C551" s="8">
        <v>499.0</v>
      </c>
      <c r="D551" s="8">
        <v>1899.0</v>
      </c>
      <c r="E551" s="9">
        <v>0.74</v>
      </c>
      <c r="F551" s="10">
        <v>4.1</v>
      </c>
      <c r="G551" s="10">
        <v>412.0</v>
      </c>
      <c r="I551" s="7"/>
      <c r="J551" s="7"/>
      <c r="K551" s="13" t="str">
        <f>IF(discount&gt;50%, product, "")</f>
        <v>10WeRun Id-116 Bluetooth Smartwatch Wireless Fitness Band for Boys, Girls, Men, Women &amp; Kids | Sports Gym Watch for All Smart Phones I Heart Rate and spo2 Monitor</v>
      </c>
      <c r="L551" s="7"/>
      <c r="M551" s="7"/>
      <c r="N551" s="7"/>
      <c r="O551" s="14"/>
      <c r="P551" s="14"/>
    </row>
    <row r="552">
      <c r="A552" s="7" t="s">
        <v>586</v>
      </c>
      <c r="B552" s="7" t="s">
        <v>373</v>
      </c>
      <c r="C552" s="8">
        <v>899.0</v>
      </c>
      <c r="D552" s="8">
        <v>3499.0</v>
      </c>
      <c r="E552" s="9">
        <v>0.74</v>
      </c>
      <c r="F552" s="10">
        <v>3.0</v>
      </c>
      <c r="G552" s="10">
        <v>681.0</v>
      </c>
      <c r="I552" s="7"/>
      <c r="J552" s="7"/>
      <c r="K552" s="13" t="str">
        <f>IF(discount&gt;50%, product, "")</f>
        <v>Tokdis MX-1 Pro Bluetooth Calling Smartwatch - 1.69” LCD Display, Multiple Watch Faces, Sleep Monitor, Heart &amp; SpO2 Monitoring, Multiple Sports Modes, Water Resistant</v>
      </c>
      <c r="L552" s="7"/>
      <c r="M552" s="7"/>
      <c r="N552" s="7"/>
      <c r="O552" s="14"/>
      <c r="P552" s="14"/>
    </row>
    <row r="553">
      <c r="A553" s="7" t="s">
        <v>587</v>
      </c>
      <c r="B553" s="7" t="s">
        <v>377</v>
      </c>
      <c r="C553" s="8">
        <v>1599.0</v>
      </c>
      <c r="D553" s="8">
        <v>3499.0</v>
      </c>
      <c r="E553" s="9">
        <v>0.54</v>
      </c>
      <c r="F553" s="10">
        <v>4.0</v>
      </c>
      <c r="G553" s="11">
        <v>36384.0</v>
      </c>
      <c r="I553" s="7"/>
      <c r="J553" s="7"/>
      <c r="K553" s="13" t="str">
        <f>IF(discount&gt;50%, product, "")</f>
        <v>URBN 20000 mAh lithium_polymer Power Bank with 12 Watt Fast Charging, Camo</v>
      </c>
      <c r="L553" s="7"/>
      <c r="M553" s="7"/>
      <c r="N553" s="7"/>
      <c r="O553" s="14"/>
      <c r="P553" s="14"/>
    </row>
    <row r="554">
      <c r="A554" s="7" t="s">
        <v>588</v>
      </c>
      <c r="B554" s="7" t="s">
        <v>589</v>
      </c>
      <c r="C554" s="8">
        <v>120.0</v>
      </c>
      <c r="D554" s="8">
        <v>999.0</v>
      </c>
      <c r="E554" s="9">
        <v>0.88</v>
      </c>
      <c r="F554" s="10">
        <v>3.9</v>
      </c>
      <c r="G554" s="11">
        <v>6491.0</v>
      </c>
      <c r="I554" s="7"/>
      <c r="J554" s="7"/>
      <c r="K554" s="13" t="str">
        <f>IF(discount&gt;50%, product, "")</f>
        <v>Sounce Gold Plated 3.5 mm Headphone Splitter for Computer 2 Male to 1 Female 3.5mm Headphone Mic Audio Y Splitter Cable Smartphone Headset to PC Adapter – (Black,20cm)</v>
      </c>
      <c r="L554" s="7"/>
      <c r="M554" s="7"/>
      <c r="N554" s="7"/>
      <c r="O554" s="14"/>
      <c r="P554" s="14"/>
    </row>
    <row r="555">
      <c r="A555" s="7" t="s">
        <v>590</v>
      </c>
      <c r="B555" s="7" t="s">
        <v>373</v>
      </c>
      <c r="C555" s="8">
        <v>3999.0</v>
      </c>
      <c r="D555" s="8">
        <v>6999.0</v>
      </c>
      <c r="E555" s="9">
        <v>0.43</v>
      </c>
      <c r="F555" s="10">
        <v>4.1</v>
      </c>
      <c r="G555" s="11">
        <v>10229.0</v>
      </c>
      <c r="I555" s="7"/>
      <c r="J555" s="7"/>
      <c r="K555" s="13" t="str">
        <f>IF(discount&gt;50%, product, "")</f>
        <v/>
      </c>
      <c r="L555" s="7"/>
      <c r="M555" s="7"/>
      <c r="N555" s="7"/>
      <c r="O555" s="14"/>
      <c r="P555" s="14"/>
    </row>
    <row r="556">
      <c r="A556" s="7" t="s">
        <v>540</v>
      </c>
      <c r="B556" s="7" t="s">
        <v>380</v>
      </c>
      <c r="C556" s="8">
        <v>12999.0</v>
      </c>
      <c r="D556" s="8">
        <v>18999.0</v>
      </c>
      <c r="E556" s="9">
        <v>0.32</v>
      </c>
      <c r="F556" s="10">
        <v>4.1</v>
      </c>
      <c r="G556" s="11">
        <v>50772.0</v>
      </c>
      <c r="I556" s="7"/>
      <c r="J556" s="7"/>
      <c r="K556" s="13" t="str">
        <f>IF(discount&gt;50%, product, "")</f>
        <v/>
      </c>
      <c r="L556" s="7"/>
      <c r="M556" s="7"/>
      <c r="N556" s="7"/>
      <c r="O556" s="14"/>
      <c r="P556" s="14"/>
    </row>
    <row r="557">
      <c r="A557" s="7" t="s">
        <v>591</v>
      </c>
      <c r="B557" s="7" t="s">
        <v>516</v>
      </c>
      <c r="C557" s="8">
        <v>1599.0</v>
      </c>
      <c r="D557" s="8">
        <v>2599.0</v>
      </c>
      <c r="E557" s="9">
        <v>0.38</v>
      </c>
      <c r="F557" s="10">
        <v>4.3</v>
      </c>
      <c r="G557" s="11">
        <v>1801.0</v>
      </c>
      <c r="I557" s="7"/>
      <c r="J557" s="7"/>
      <c r="K557" s="13" t="str">
        <f>IF(discount&gt;50%, product, "")</f>
        <v/>
      </c>
      <c r="L557" s="7"/>
      <c r="M557" s="7"/>
      <c r="N557" s="7"/>
      <c r="O557" s="14"/>
      <c r="P557" s="14"/>
    </row>
    <row r="558">
      <c r="A558" s="7" t="s">
        <v>592</v>
      </c>
      <c r="B558" s="7" t="s">
        <v>409</v>
      </c>
      <c r="C558" s="8">
        <v>699.0</v>
      </c>
      <c r="D558" s="8">
        <v>1199.0</v>
      </c>
      <c r="E558" s="9">
        <v>0.42</v>
      </c>
      <c r="F558" s="10">
        <v>4.0</v>
      </c>
      <c r="G558" s="11">
        <v>14404.0</v>
      </c>
      <c r="I558" s="7"/>
      <c r="J558" s="7"/>
      <c r="K558" s="13" t="str">
        <f>IF(discount&gt;50%, product, "")</f>
        <v/>
      </c>
      <c r="L558" s="7"/>
      <c r="M558" s="7"/>
      <c r="N558" s="7"/>
      <c r="O558" s="14"/>
      <c r="P558" s="14"/>
    </row>
    <row r="559">
      <c r="A559" s="7" t="s">
        <v>593</v>
      </c>
      <c r="B559" s="7" t="s">
        <v>594</v>
      </c>
      <c r="C559" s="8">
        <v>99.0</v>
      </c>
      <c r="D559" s="8">
        <v>999.0</v>
      </c>
      <c r="E559" s="9">
        <v>0.9</v>
      </c>
      <c r="F559" s="10">
        <v>4.4</v>
      </c>
      <c r="G559" s="10">
        <v>305.0</v>
      </c>
      <c r="I559" s="7"/>
      <c r="J559" s="7"/>
      <c r="K559" s="13" t="str">
        <f>IF(discount&gt;50%, product, "")</f>
        <v>LAPSTER 12pcs Spiral Cable Protectors for Charger, Wires, Data Charger Cable Protector for Computers, Cell Phones etc.(Grey)</v>
      </c>
      <c r="L559" s="7"/>
      <c r="M559" s="7"/>
      <c r="N559" s="7"/>
      <c r="O559" s="14"/>
      <c r="P559" s="14"/>
    </row>
    <row r="560">
      <c r="A560" s="7" t="s">
        <v>595</v>
      </c>
      <c r="B560" s="7" t="s">
        <v>380</v>
      </c>
      <c r="C560" s="8">
        <v>7915.0</v>
      </c>
      <c r="D560" s="8">
        <v>9999.0</v>
      </c>
      <c r="E560" s="9">
        <v>0.21</v>
      </c>
      <c r="F560" s="10">
        <v>4.3</v>
      </c>
      <c r="G560" s="11">
        <v>1376.0</v>
      </c>
      <c r="I560" s="7"/>
      <c r="J560" s="7"/>
      <c r="K560" s="13" t="str">
        <f>IF(discount&gt;50%, product, "")</f>
        <v/>
      </c>
      <c r="L560" s="7"/>
      <c r="M560" s="7"/>
      <c r="N560" s="7"/>
      <c r="O560" s="14"/>
      <c r="P560" s="14"/>
    </row>
    <row r="561">
      <c r="A561" s="7" t="s">
        <v>596</v>
      </c>
      <c r="B561" s="7" t="s">
        <v>373</v>
      </c>
      <c r="C561" s="8">
        <v>1499.0</v>
      </c>
      <c r="D561" s="8">
        <v>7999.0</v>
      </c>
      <c r="E561" s="9">
        <v>0.81</v>
      </c>
      <c r="F561" s="10">
        <v>4.2</v>
      </c>
      <c r="G561" s="11">
        <v>22638.0</v>
      </c>
      <c r="I561" s="7"/>
      <c r="J561" s="7"/>
      <c r="K561" s="13" t="str">
        <f>IF(discount&gt;50%, product, "")</f>
        <v>Fire-Boltt Ninja 3 Smartwatch Full Touch 1.69 " &amp; 60 Sports Modes with IP68, Sp02 Tracking, Over 100 Cloud based watch faces ( Green )</v>
      </c>
      <c r="L561" s="7"/>
      <c r="M561" s="7"/>
      <c r="N561" s="7"/>
      <c r="O561" s="14"/>
      <c r="P561" s="14"/>
    </row>
    <row r="562">
      <c r="A562" s="7" t="s">
        <v>597</v>
      </c>
      <c r="B562" s="7" t="s">
        <v>389</v>
      </c>
      <c r="C562" s="8">
        <v>1055.0</v>
      </c>
      <c r="D562" s="8">
        <v>1249.0</v>
      </c>
      <c r="E562" s="9">
        <v>0.16</v>
      </c>
      <c r="F562" s="10">
        <v>3.8</v>
      </c>
      <c r="G562" s="11">
        <v>2352.0</v>
      </c>
      <c r="I562" s="7"/>
      <c r="J562" s="7"/>
      <c r="K562" s="13" t="str">
        <f>IF(discount&gt;50%, product, "")</f>
        <v/>
      </c>
      <c r="L562" s="7"/>
      <c r="M562" s="7"/>
      <c r="N562" s="7"/>
      <c r="O562" s="14"/>
      <c r="P562" s="14"/>
    </row>
    <row r="563">
      <c r="A563" s="7" t="s">
        <v>598</v>
      </c>
      <c r="B563" s="7" t="s">
        <v>490</v>
      </c>
      <c r="C563" s="8">
        <v>150.0</v>
      </c>
      <c r="D563" s="8">
        <v>599.0</v>
      </c>
      <c r="E563" s="9">
        <v>0.75</v>
      </c>
      <c r="F563" s="10">
        <v>4.3</v>
      </c>
      <c r="G563" s="10">
        <v>714.0</v>
      </c>
      <c r="I563" s="7"/>
      <c r="J563" s="7"/>
      <c r="K563" s="13" t="str">
        <f>IF(discount&gt;50%, product, "")</f>
        <v>POPIO Tempered Glass Compatible for iPhone 13 / iPhone 13 Pro/iPhone 14 (Transparent) Edge to Edge Full Screen Coverage with Installation Kit, Pack of 2</v>
      </c>
      <c r="L563" s="7"/>
      <c r="M563" s="7"/>
      <c r="N563" s="7"/>
      <c r="O563" s="14"/>
      <c r="P563" s="14"/>
    </row>
    <row r="564">
      <c r="A564" s="7" t="s">
        <v>94</v>
      </c>
      <c r="B564" s="7" t="s">
        <v>15</v>
      </c>
      <c r="C564" s="8">
        <v>219.0</v>
      </c>
      <c r="D564" s="8">
        <v>700.0</v>
      </c>
      <c r="E564" s="9">
        <v>0.69</v>
      </c>
      <c r="F564" s="10">
        <v>4.3</v>
      </c>
      <c r="G564" s="11">
        <v>20052.0</v>
      </c>
      <c r="I564" s="7"/>
      <c r="J564" s="7"/>
      <c r="K564" s="13" t="str">
        <f>IF(discount&gt;50%, product, "")</f>
        <v>Amazon Basics USB Type-C to USB-A 2.0 Male Fast Charging Cable for Laptop - 3 Feet (0.9 Meters), Black</v>
      </c>
      <c r="L564" s="7"/>
      <c r="M564" s="7"/>
      <c r="N564" s="7"/>
      <c r="O564" s="14"/>
      <c r="P564" s="14"/>
    </row>
    <row r="565">
      <c r="A565" s="7" t="s">
        <v>599</v>
      </c>
      <c r="B565" s="7" t="s">
        <v>516</v>
      </c>
      <c r="C565" s="8">
        <v>474.0</v>
      </c>
      <c r="D565" s="8">
        <v>1799.0</v>
      </c>
      <c r="E565" s="9">
        <v>0.74</v>
      </c>
      <c r="F565" s="10">
        <v>4.3</v>
      </c>
      <c r="G565" s="11">
        <v>1454.0</v>
      </c>
      <c r="I565" s="7"/>
      <c r="J565" s="7"/>
      <c r="K565" s="13" t="str">
        <f>IF(discount&gt;50%, product, "")</f>
        <v>Amozo Ultra Hybrid Camera and Drop Protection Back Cover Case for iPhone 13 (Polycarbonate| Back Transparent - Sides Black)</v>
      </c>
      <c r="L565" s="7"/>
      <c r="M565" s="7"/>
      <c r="N565" s="7"/>
      <c r="O565" s="14"/>
      <c r="P565" s="14"/>
    </row>
    <row r="566">
      <c r="A566" s="7" t="s">
        <v>98</v>
      </c>
      <c r="B566" s="7" t="s">
        <v>15</v>
      </c>
      <c r="C566" s="8">
        <v>115.0</v>
      </c>
      <c r="D566" s="8">
        <v>499.0</v>
      </c>
      <c r="E566" s="9">
        <v>0.77</v>
      </c>
      <c r="F566" s="10">
        <v>4.0</v>
      </c>
      <c r="G566" s="11">
        <v>7732.0</v>
      </c>
      <c r="I566" s="7"/>
      <c r="J566" s="7"/>
      <c r="K566" s="13" t="str">
        <f>IF(discount&gt;50%, product, "")</f>
        <v>Pinnaclz Original Combo of 2 Micro USB Fast Charging Cable, USB Charging Cable for Data Transfer Perfect for Android Smart Phones White 1.2 Meter Made in India (Pack of 2)</v>
      </c>
      <c r="L566" s="7"/>
      <c r="M566" s="7"/>
      <c r="N566" s="7"/>
      <c r="O566" s="14"/>
      <c r="P566" s="14"/>
    </row>
    <row r="567">
      <c r="A567" s="7" t="s">
        <v>600</v>
      </c>
      <c r="B567" s="7" t="s">
        <v>409</v>
      </c>
      <c r="C567" s="8">
        <v>239.0</v>
      </c>
      <c r="D567" s="8">
        <v>599.0</v>
      </c>
      <c r="E567" s="9">
        <v>0.6</v>
      </c>
      <c r="F567" s="10">
        <v>3.9</v>
      </c>
      <c r="G567" s="11">
        <v>2147.0</v>
      </c>
      <c r="I567" s="7"/>
      <c r="J567" s="7"/>
      <c r="K567" s="13" t="str">
        <f>IF(discount&gt;50%, product, "")</f>
        <v>FLiX Usb Charger,Flix (Beetel) Bolt 2.4 Dual Poart,5V/2.4A/12W Usb Wall Charger Fast Charging,Adapter For Android/Iphone 11/Xs/Xs Max/Xr/X/8/7/6/Plus,Ipad Pro/Air 2/Mini 3/4,Samsung S4/S5 &amp; More-Black</v>
      </c>
      <c r="L567" s="7"/>
      <c r="M567" s="7"/>
      <c r="N567" s="7"/>
      <c r="O567" s="14"/>
      <c r="P567" s="14"/>
    </row>
    <row r="568">
      <c r="A568" s="7" t="s">
        <v>601</v>
      </c>
      <c r="B568" s="7" t="s">
        <v>380</v>
      </c>
      <c r="C568" s="8">
        <v>7499.0</v>
      </c>
      <c r="D568" s="8">
        <v>9499.0</v>
      </c>
      <c r="E568" s="9">
        <v>0.21</v>
      </c>
      <c r="F568" s="10">
        <v>4.1</v>
      </c>
      <c r="G568" s="7" t="s">
        <v>513</v>
      </c>
      <c r="I568" s="7"/>
      <c r="J568" s="7"/>
      <c r="K568" s="13" t="str">
        <f>IF(discount&gt;50%, product, "")</f>
        <v/>
      </c>
      <c r="L568" s="7"/>
      <c r="M568" s="7"/>
      <c r="N568" s="7"/>
      <c r="O568" s="14"/>
      <c r="P568" s="14"/>
    </row>
    <row r="569">
      <c r="A569" s="7" t="s">
        <v>602</v>
      </c>
      <c r="B569" s="7" t="s">
        <v>373</v>
      </c>
      <c r="C569" s="8">
        <v>265.0</v>
      </c>
      <c r="D569" s="8">
        <v>999.0</v>
      </c>
      <c r="E569" s="9">
        <v>0.73</v>
      </c>
      <c r="F569" s="10">
        <v>3.7</v>
      </c>
      <c r="G569" s="10">
        <v>465.0</v>
      </c>
      <c r="I569" s="7"/>
      <c r="J569" s="7"/>
      <c r="K569" s="13" t="str">
        <f>IF(discount&gt;50%, product, "")</f>
        <v>Prolet Classic Bumper Case Cover for Samsung Galaxy Watch 4 44mm TPU Plated Full Screen Protector (Black)</v>
      </c>
      <c r="L569" s="7"/>
      <c r="M569" s="7"/>
      <c r="N569" s="7"/>
      <c r="O569" s="14"/>
      <c r="P569" s="14"/>
    </row>
    <row r="570">
      <c r="A570" s="7" t="s">
        <v>603</v>
      </c>
      <c r="B570" s="7" t="s">
        <v>380</v>
      </c>
      <c r="C570" s="8">
        <v>37990.0</v>
      </c>
      <c r="D570" s="8">
        <v>74999.0</v>
      </c>
      <c r="E570" s="9">
        <v>0.49</v>
      </c>
      <c r="F570" s="10">
        <v>4.2</v>
      </c>
      <c r="G570" s="11">
        <v>27790.0</v>
      </c>
      <c r="I570" s="7"/>
      <c r="J570" s="7"/>
      <c r="K570" s="13" t="str">
        <f>IF(discount&gt;50%, product, "")</f>
        <v/>
      </c>
      <c r="L570" s="7"/>
      <c r="M570" s="7"/>
      <c r="N570" s="7"/>
      <c r="O570" s="14"/>
      <c r="P570" s="14"/>
    </row>
    <row r="571">
      <c r="A571" s="7" t="s">
        <v>100</v>
      </c>
      <c r="B571" s="7" t="s">
        <v>15</v>
      </c>
      <c r="C571" s="8">
        <v>199.0</v>
      </c>
      <c r="D571" s="8">
        <v>499.0</v>
      </c>
      <c r="E571" s="9">
        <v>0.6</v>
      </c>
      <c r="F571" s="10">
        <v>4.1</v>
      </c>
      <c r="G571" s="10">
        <v>602.0</v>
      </c>
      <c r="I571" s="7"/>
      <c r="J571" s="7"/>
      <c r="K571" s="13" t="str">
        <f>IF(discount&gt;50%, product, "")</f>
        <v>Ambrane 2 in 1 Type-C &amp; Micro USB Cable with 60W / 3A Fast Charging, 480 mbps High Data, PD Technology &amp; Quick Charge 3.0, Compatible with All Type-C &amp; Micro USB Devices (ABDC-10, Black)</v>
      </c>
      <c r="L571" s="7"/>
      <c r="M571" s="7"/>
      <c r="N571" s="7"/>
      <c r="O571" s="14"/>
      <c r="P571" s="14"/>
    </row>
    <row r="572">
      <c r="A572" s="7" t="s">
        <v>101</v>
      </c>
      <c r="B572" s="7" t="s">
        <v>15</v>
      </c>
      <c r="C572" s="8">
        <v>179.0</v>
      </c>
      <c r="D572" s="8">
        <v>399.0</v>
      </c>
      <c r="E572" s="9">
        <v>0.55</v>
      </c>
      <c r="F572" s="10">
        <v>4.0</v>
      </c>
      <c r="G572" s="11">
        <v>1423.0</v>
      </c>
      <c r="I572" s="7"/>
      <c r="J572" s="7"/>
      <c r="K572" s="13" t="str">
        <f>IF(discount&gt;50%, product, "")</f>
        <v>Ambrane 60W / 3A Fast Charging Output Cable with Type-C to USB for Mobile, Neckband, True Wireless Earphone Charging, 480mbps Data Sync Speed, 1m Length (ACT - AZ10, Black)</v>
      </c>
      <c r="L572" s="7"/>
      <c r="M572" s="7"/>
      <c r="N572" s="7"/>
      <c r="O572" s="14"/>
      <c r="P572" s="14"/>
    </row>
    <row r="573">
      <c r="A573" s="7" t="s">
        <v>604</v>
      </c>
      <c r="B573" s="7" t="s">
        <v>441</v>
      </c>
      <c r="C573" s="8">
        <v>1799.0</v>
      </c>
      <c r="D573" s="8">
        <v>3999.0</v>
      </c>
      <c r="E573" s="9">
        <v>0.55</v>
      </c>
      <c r="F573" s="10">
        <v>4.6</v>
      </c>
      <c r="G573" s="10">
        <v>245.0</v>
      </c>
      <c r="I573" s="7"/>
      <c r="J573" s="7"/>
      <c r="K573" s="13" t="str">
        <f>IF(discount&gt;50%, product, "")</f>
        <v>WeCool S5 Long Selfie Stick, with Large Reinforced Tripod Stand up to 61 Inch / 156 Cms, Ultra Long Multi Function Bluetooth Selfie Stick with 1/4 Screw Compatible with Gopro, Camera, and Ring Light</v>
      </c>
      <c r="L573" s="7"/>
      <c r="M573" s="7"/>
      <c r="N573" s="7"/>
      <c r="O573" s="14"/>
      <c r="P573" s="14"/>
    </row>
    <row r="574">
      <c r="A574" s="7" t="s">
        <v>605</v>
      </c>
      <c r="B574" s="7" t="s">
        <v>380</v>
      </c>
      <c r="C574" s="8">
        <v>8499.0</v>
      </c>
      <c r="D574" s="8">
        <v>11999.0</v>
      </c>
      <c r="E574" s="9">
        <v>0.29</v>
      </c>
      <c r="F574" s="10">
        <v>3.9</v>
      </c>
      <c r="G574" s="10">
        <v>276.0</v>
      </c>
      <c r="I574" s="7"/>
      <c r="J574" s="7"/>
      <c r="K574" s="13" t="str">
        <f>IF(discount&gt;50%, product, "")</f>
        <v/>
      </c>
      <c r="L574" s="7"/>
      <c r="M574" s="7"/>
      <c r="N574" s="7"/>
      <c r="O574" s="14"/>
      <c r="P574" s="14"/>
    </row>
    <row r="575">
      <c r="A575" s="7" t="s">
        <v>606</v>
      </c>
      <c r="B575" s="7" t="s">
        <v>373</v>
      </c>
      <c r="C575" s="8">
        <v>1999.0</v>
      </c>
      <c r="D575" s="8">
        <v>3999.0</v>
      </c>
      <c r="E575" s="9">
        <v>0.5</v>
      </c>
      <c r="F575" s="10">
        <v>4.0</v>
      </c>
      <c r="G575" s="11">
        <v>30254.0</v>
      </c>
      <c r="I575" s="7"/>
      <c r="J575" s="7"/>
      <c r="K575" s="13" t="str">
        <f>IF(discount&gt;50%, product, "")</f>
        <v/>
      </c>
      <c r="L575" s="7"/>
      <c r="M575" s="7"/>
      <c r="N575" s="7"/>
      <c r="O575" s="14"/>
      <c r="P575" s="14"/>
    </row>
    <row r="576">
      <c r="A576" s="7" t="s">
        <v>424</v>
      </c>
      <c r="B576" s="7" t="s">
        <v>373</v>
      </c>
      <c r="C576" s="8">
        <v>3999.0</v>
      </c>
      <c r="D576" s="8">
        <v>17999.0</v>
      </c>
      <c r="E576" s="9">
        <v>0.78</v>
      </c>
      <c r="F576" s="10">
        <v>4.3</v>
      </c>
      <c r="G576" s="11">
        <v>17161.0</v>
      </c>
      <c r="I576" s="7"/>
      <c r="J576" s="7"/>
      <c r="K576" s="13" t="str">
        <f>IF(discount&gt;50%, product, "")</f>
        <v>Fire-Boltt Visionary 1.78" AMOLED Bluetooth Calling Smartwatch with 368*448 Pixel Resolution 100+ Sports Mode, TWS Connection, Voice Assistance, SPO2 &amp; Heart Rate Monitoring</v>
      </c>
      <c r="L576" s="7"/>
      <c r="M576" s="7"/>
      <c r="N576" s="7"/>
      <c r="O576" s="14"/>
      <c r="P576" s="14"/>
    </row>
    <row r="577">
      <c r="A577" s="7" t="s">
        <v>607</v>
      </c>
      <c r="B577" s="7" t="s">
        <v>409</v>
      </c>
      <c r="C577" s="8">
        <v>219.0</v>
      </c>
      <c r="D577" s="8">
        <v>499.0</v>
      </c>
      <c r="E577" s="9">
        <v>0.56</v>
      </c>
      <c r="F577" s="10">
        <v>4.4</v>
      </c>
      <c r="G577" s="10">
        <v>14.0</v>
      </c>
      <c r="I577" s="7"/>
      <c r="J577" s="7"/>
      <c r="K577" s="13" t="str">
        <f>IF(discount&gt;50%, product, "")</f>
        <v>Amazon Basics 2 Amp USB Wall Charger &amp; Micro USB Cable (White)</v>
      </c>
      <c r="L577" s="7"/>
      <c r="M577" s="7"/>
      <c r="N577" s="7"/>
      <c r="O577" s="14"/>
      <c r="P577" s="14"/>
    </row>
    <row r="578">
      <c r="A578" s="7" t="s">
        <v>608</v>
      </c>
      <c r="B578" s="7" t="s">
        <v>441</v>
      </c>
      <c r="C578" s="8">
        <v>599.0</v>
      </c>
      <c r="D578" s="8">
        <v>1399.0</v>
      </c>
      <c r="E578" s="9">
        <v>0.57</v>
      </c>
      <c r="F578" s="10">
        <v>4.1</v>
      </c>
      <c r="G578" s="11">
        <v>14560.0</v>
      </c>
      <c r="I578" s="7"/>
      <c r="J578" s="7"/>
      <c r="K578" s="13" t="str">
        <f>IF(discount&gt;50%, product, "")</f>
        <v>Mobilife Bluetooth Extendable Selfie Stick with Tripod Stand and Wireless Remote,3-in-1 Multifunctional Selfie Stick Tripod for iPhone Samsung Mi Realme Oppo Vivo Google More,Black</v>
      </c>
      <c r="L578" s="7"/>
      <c r="M578" s="7"/>
      <c r="N578" s="7"/>
      <c r="O578" s="14"/>
      <c r="P578" s="14"/>
    </row>
    <row r="579">
      <c r="A579" s="7" t="s">
        <v>609</v>
      </c>
      <c r="B579" s="7" t="s">
        <v>377</v>
      </c>
      <c r="C579" s="8">
        <v>2499.0</v>
      </c>
      <c r="D579" s="8">
        <v>2999.0</v>
      </c>
      <c r="E579" s="9">
        <v>0.17</v>
      </c>
      <c r="F579" s="10">
        <v>4.1</v>
      </c>
      <c r="G579" s="11">
        <v>3156.0</v>
      </c>
      <c r="I579" s="7"/>
      <c r="J579" s="7"/>
      <c r="K579" s="13" t="str">
        <f>IF(discount&gt;50%, product, "")</f>
        <v/>
      </c>
      <c r="L579" s="7"/>
      <c r="M579" s="7"/>
      <c r="N579" s="7"/>
      <c r="O579" s="14"/>
      <c r="P579" s="14"/>
    </row>
    <row r="580">
      <c r="A580" s="7" t="s">
        <v>610</v>
      </c>
      <c r="B580" s="7" t="s">
        <v>611</v>
      </c>
      <c r="C580" s="8">
        <v>89.0</v>
      </c>
      <c r="D580" s="8">
        <v>499.0</v>
      </c>
      <c r="E580" s="9">
        <v>0.82</v>
      </c>
      <c r="F580" s="10">
        <v>4.1</v>
      </c>
      <c r="G580" s="11">
        <v>9340.0</v>
      </c>
      <c r="I580" s="7"/>
      <c r="J580" s="7"/>
      <c r="K580" s="13" t="str">
        <f>IF(discount&gt;50%, product, "")</f>
        <v>STRIFF Wall Mount Phone Holder Wall Mount with Adhesive Strips, Charging Holder Compatible with iPhone, Smartphone and Mini Tablet (Pack of 1) (White)</v>
      </c>
      <c r="L580" s="7"/>
      <c r="M580" s="7"/>
      <c r="N580" s="7"/>
      <c r="O580" s="14"/>
      <c r="P580" s="14"/>
    </row>
    <row r="581">
      <c r="A581" s="7" t="s">
        <v>612</v>
      </c>
      <c r="B581" s="7" t="s">
        <v>373</v>
      </c>
      <c r="C581" s="8">
        <v>2999.0</v>
      </c>
      <c r="D581" s="8">
        <v>11999.0</v>
      </c>
      <c r="E581" s="9">
        <v>0.75</v>
      </c>
      <c r="F581" s="10">
        <v>4.4</v>
      </c>
      <c r="G581" s="10">
        <v>768.0</v>
      </c>
      <c r="I581" s="7"/>
      <c r="J581" s="7"/>
      <c r="K581" s="13" t="str">
        <f>IF(discount&gt;50%, product, "")</f>
        <v>Fire-Boltt Tank 1.85" Bluetooth Calling Smart Watch, 123 Sports Mode, 8 UI Interactions, Built in Speaker &amp; Mic, 7 Days Battery &amp; Fire-Boltt Health Suite</v>
      </c>
      <c r="L581" s="7"/>
      <c r="M581" s="7"/>
      <c r="N581" s="7"/>
      <c r="O581" s="14"/>
      <c r="P581" s="14"/>
    </row>
    <row r="582">
      <c r="A582" s="7" t="s">
        <v>613</v>
      </c>
      <c r="B582" s="7" t="s">
        <v>450</v>
      </c>
      <c r="C582" s="8">
        <v>314.0</v>
      </c>
      <c r="D582" s="8">
        <v>1499.0</v>
      </c>
      <c r="E582" s="9">
        <v>0.79</v>
      </c>
      <c r="F582" s="10">
        <v>4.5</v>
      </c>
      <c r="G582" s="11">
        <v>28978.0</v>
      </c>
      <c r="I582" s="7"/>
      <c r="J582" s="7"/>
      <c r="K582" s="13" t="str">
        <f>IF(discount&gt;50%, product, "")</f>
        <v>Elv Aluminium Adjustable Mobile Phone Foldable Holder Tabletop Stand Dock Mount for All Smartphones, Tabs, Kindle, iPad (Moonlight Silver)</v>
      </c>
      <c r="L582" s="7"/>
      <c r="M582" s="7"/>
      <c r="N582" s="7"/>
      <c r="O582" s="14"/>
      <c r="P582" s="14"/>
    </row>
    <row r="583">
      <c r="A583" s="7" t="s">
        <v>614</v>
      </c>
      <c r="B583" s="7" t="s">
        <v>380</v>
      </c>
      <c r="C583" s="8">
        <v>13999.0</v>
      </c>
      <c r="D583" s="8">
        <v>19499.0</v>
      </c>
      <c r="E583" s="9">
        <v>0.28</v>
      </c>
      <c r="F583" s="10">
        <v>4.1</v>
      </c>
      <c r="G583" s="11">
        <v>18998.0</v>
      </c>
      <c r="I583" s="7"/>
      <c r="J583" s="7"/>
      <c r="K583" s="13" t="str">
        <f>IF(discount&gt;50%, product, "")</f>
        <v/>
      </c>
      <c r="L583" s="7"/>
      <c r="M583" s="7"/>
      <c r="N583" s="7"/>
      <c r="O583" s="14"/>
      <c r="P583" s="14"/>
    </row>
    <row r="584">
      <c r="A584" s="7" t="s">
        <v>615</v>
      </c>
      <c r="B584" s="7" t="s">
        <v>423</v>
      </c>
      <c r="C584" s="8">
        <v>139.0</v>
      </c>
      <c r="D584" s="8">
        <v>499.0</v>
      </c>
      <c r="E584" s="9">
        <v>0.72</v>
      </c>
      <c r="F584" s="10">
        <v>4.2</v>
      </c>
      <c r="G584" s="11">
        <v>4971.0</v>
      </c>
      <c r="I584" s="7"/>
      <c r="J584" s="7"/>
      <c r="K584" s="13" t="str">
        <f>IF(discount&gt;50%, product, "")</f>
        <v>DYAZO USB 3.0 Type C Female to USB A Male Connector/Converter/Adapter Compatible for Samsung Galaxy Note s 20 10 Plus Ultra,Google Pixel 4 5 3 2 &amp; Other Type-c Devices</v>
      </c>
      <c r="L584" s="7"/>
      <c r="M584" s="7"/>
      <c r="N584" s="7"/>
      <c r="O584" s="14"/>
      <c r="P584" s="14"/>
    </row>
    <row r="585">
      <c r="A585" s="7" t="s">
        <v>616</v>
      </c>
      <c r="B585" s="7" t="s">
        <v>502</v>
      </c>
      <c r="C585" s="8">
        <v>2599.0</v>
      </c>
      <c r="D585" s="8">
        <v>6999.0</v>
      </c>
      <c r="E585" s="9">
        <v>0.63</v>
      </c>
      <c r="F585" s="10">
        <v>4.5</v>
      </c>
      <c r="G585" s="11">
        <v>1526.0</v>
      </c>
      <c r="I585" s="7"/>
      <c r="J585" s="7"/>
      <c r="K585" s="13" t="str">
        <f>IF(discount&gt;50%, product, "")</f>
        <v>KINGONE Wireless Charging Pencil (2nd Generation) for iPad with Magnetic and Tilt Sensitive, Palm Rejection, Compatible with Apple iPad Pro 11 inch 1/2/3/4, iPad Pro 12.9 Inch 3/4/5/6, iPad Air 4/5, mini6</v>
      </c>
      <c r="L585" s="7"/>
      <c r="M585" s="7"/>
      <c r="N585" s="7"/>
      <c r="O585" s="14"/>
      <c r="P585" s="14"/>
    </row>
    <row r="586">
      <c r="A586" s="7" t="s">
        <v>617</v>
      </c>
      <c r="B586" s="7" t="s">
        <v>393</v>
      </c>
      <c r="C586" s="8">
        <v>365.0</v>
      </c>
      <c r="D586" s="8">
        <v>999.0</v>
      </c>
      <c r="E586" s="9">
        <v>0.63</v>
      </c>
      <c r="F586" s="10">
        <v>4.1</v>
      </c>
      <c r="G586" s="7" t="s">
        <v>618</v>
      </c>
      <c r="I586" s="7"/>
      <c r="J586" s="7"/>
      <c r="K586" s="13" t="str">
        <f>IF(discount&gt;50%, product, "")</f>
        <v>boAt BassHeads 100 in-Ear Wired Headphones with Mic (Black)</v>
      </c>
      <c r="L586" s="7"/>
      <c r="M586" s="7"/>
      <c r="N586" s="7"/>
      <c r="O586" s="14"/>
      <c r="P586" s="14"/>
    </row>
    <row r="587">
      <c r="A587" s="7" t="s">
        <v>619</v>
      </c>
      <c r="B587" s="7" t="s">
        <v>393</v>
      </c>
      <c r="C587" s="8">
        <v>1499.0</v>
      </c>
      <c r="D587" s="8">
        <v>4490.0</v>
      </c>
      <c r="E587" s="9">
        <v>0.67</v>
      </c>
      <c r="F587" s="10">
        <v>3.9</v>
      </c>
      <c r="G587" s="7" t="s">
        <v>620</v>
      </c>
      <c r="I587" s="7"/>
      <c r="J587" s="7"/>
      <c r="K587" s="13" t="str">
        <f>IF(discount&gt;50%, product, "")</f>
        <v>boAt Airdopes 141 Bluetooth Truly Wireless in Ear Earbuds with mic, 42H Playtime, Beast Mode(Low Latency Upto 80ms) for Gaming, ENx Tech, ASAP Charge, IWP, IPX4 Water Resistance (Bold Black)</v>
      </c>
      <c r="L587" s="7"/>
      <c r="M587" s="7"/>
      <c r="N587" s="7"/>
      <c r="O587" s="14"/>
      <c r="P587" s="14"/>
    </row>
    <row r="588">
      <c r="A588" s="7" t="s">
        <v>374</v>
      </c>
      <c r="B588" s="7" t="s">
        <v>373</v>
      </c>
      <c r="C588" s="8">
        <v>1998.0</v>
      </c>
      <c r="D588" s="8">
        <v>9999.0</v>
      </c>
      <c r="E588" s="9">
        <v>0.8</v>
      </c>
      <c r="F588" s="10">
        <v>4.3</v>
      </c>
      <c r="G588" s="11">
        <v>27709.0</v>
      </c>
      <c r="I588" s="7"/>
      <c r="J588" s="7"/>
      <c r="K588" s="13" t="str">
        <f>IF(discount&gt;50%, product, "")</f>
        <v>Fire-Boltt Phoenix Smart Watch with Bluetooth Calling 1.3",120+ Sports Modes, 240*240 PX High Res with SpO2, Heart Rate Monitoring &amp; IP67 Rating</v>
      </c>
      <c r="L588" s="7"/>
      <c r="M588" s="7"/>
      <c r="N588" s="7"/>
      <c r="O588" s="14"/>
      <c r="P588" s="14"/>
    </row>
    <row r="589">
      <c r="A589" s="7" t="s">
        <v>375</v>
      </c>
      <c r="B589" s="7" t="s">
        <v>373</v>
      </c>
      <c r="C589" s="8">
        <v>1799.0</v>
      </c>
      <c r="D589" s="8">
        <v>7990.0</v>
      </c>
      <c r="E589" s="9">
        <v>0.77</v>
      </c>
      <c r="F589" s="10">
        <v>3.8</v>
      </c>
      <c r="G589" s="11">
        <v>17833.0</v>
      </c>
      <c r="I589" s="7"/>
      <c r="J589" s="7"/>
      <c r="K589" s="13" t="str">
        <f>IF(discount&gt;50%, product, "")</f>
        <v>boAt Wave Call Smart Watch, Smart Talk with Advanced Dedicated Bluetooth Calling Chip, 1.69” HD Display with 550 NITS &amp; 70% Color Gamut, 150+ Watch Faces, Multi-Sport Modes,HR,SpO2, IP68(Active Black)</v>
      </c>
      <c r="L589" s="7"/>
      <c r="M589" s="7"/>
      <c r="N589" s="7"/>
      <c r="O589" s="14"/>
      <c r="P589" s="14"/>
    </row>
    <row r="590">
      <c r="A590" s="7" t="s">
        <v>621</v>
      </c>
      <c r="B590" s="7" t="s">
        <v>622</v>
      </c>
      <c r="C590" s="8">
        <v>289.0</v>
      </c>
      <c r="D590" s="8">
        <v>650.0</v>
      </c>
      <c r="E590" s="9">
        <v>0.56</v>
      </c>
      <c r="F590" s="10">
        <v>4.3</v>
      </c>
      <c r="G590" s="7" t="s">
        <v>623</v>
      </c>
      <c r="I590" s="7"/>
      <c r="J590" s="7"/>
      <c r="K590" s="13" t="str">
        <f>IF(discount&gt;50%, product, "")</f>
        <v>SanDisk Cruzer Blade 32GB USB Flash Drive</v>
      </c>
      <c r="L590" s="7"/>
      <c r="M590" s="7"/>
      <c r="N590" s="7"/>
      <c r="O590" s="14"/>
      <c r="P590" s="14"/>
    </row>
    <row r="591">
      <c r="A591" s="7" t="s">
        <v>624</v>
      </c>
      <c r="B591" s="7" t="s">
        <v>625</v>
      </c>
      <c r="C591" s="8">
        <v>599.0</v>
      </c>
      <c r="D591" s="8">
        <v>895.0</v>
      </c>
      <c r="E591" s="9">
        <v>0.33</v>
      </c>
      <c r="F591" s="10">
        <v>4.4</v>
      </c>
      <c r="G591" s="11">
        <v>61314.0</v>
      </c>
      <c r="I591" s="7"/>
      <c r="J591" s="7"/>
      <c r="K591" s="13" t="str">
        <f>IF(discount&gt;50%, product, "")</f>
        <v/>
      </c>
      <c r="L591" s="7"/>
      <c r="M591" s="7"/>
      <c r="N591" s="7"/>
      <c r="O591" s="14"/>
      <c r="P591" s="14"/>
    </row>
    <row r="592">
      <c r="A592" s="7" t="s">
        <v>626</v>
      </c>
      <c r="B592" s="7" t="s">
        <v>627</v>
      </c>
      <c r="C592" s="8">
        <v>217.0</v>
      </c>
      <c r="D592" s="8">
        <v>237.0</v>
      </c>
      <c r="E592" s="9">
        <v>0.08</v>
      </c>
      <c r="F592" s="10">
        <v>3.8</v>
      </c>
      <c r="G592" s="11">
        <v>7354.0</v>
      </c>
      <c r="I592" s="7"/>
      <c r="J592" s="7"/>
      <c r="K592" s="13" t="str">
        <f>IF(discount&gt;50%, product, "")</f>
        <v/>
      </c>
      <c r="L592" s="7"/>
      <c r="M592" s="7"/>
      <c r="N592" s="7"/>
      <c r="O592" s="14"/>
      <c r="P592" s="14"/>
    </row>
    <row r="593">
      <c r="A593" s="7" t="s">
        <v>628</v>
      </c>
      <c r="B593" s="7" t="s">
        <v>393</v>
      </c>
      <c r="C593" s="8">
        <v>1299.0</v>
      </c>
      <c r="D593" s="8">
        <v>2990.0</v>
      </c>
      <c r="E593" s="9">
        <v>0.57</v>
      </c>
      <c r="F593" s="10">
        <v>3.8</v>
      </c>
      <c r="G593" s="7" t="s">
        <v>629</v>
      </c>
      <c r="I593" s="7"/>
      <c r="J593" s="7"/>
      <c r="K593" s="13" t="str">
        <f>IF(discount&gt;50%, product, "")</f>
        <v>boAt Airdopes 121v2 in-Ear True Wireless Earbuds with Upto 14 Hours Playback, 8MM Drivers, Battery Indicators, Lightweight Earbuds &amp; Multifunction Controls (Active Black, with Mic)</v>
      </c>
      <c r="L593" s="7"/>
      <c r="M593" s="7"/>
      <c r="N593" s="7"/>
      <c r="O593" s="14"/>
      <c r="P593" s="14"/>
    </row>
    <row r="594">
      <c r="A594" s="7" t="s">
        <v>630</v>
      </c>
      <c r="B594" s="7" t="s">
        <v>631</v>
      </c>
      <c r="C594" s="8">
        <v>263.0</v>
      </c>
      <c r="D594" s="8">
        <v>699.0</v>
      </c>
      <c r="E594" s="9">
        <v>0.62</v>
      </c>
      <c r="F594" s="10">
        <v>3.5</v>
      </c>
      <c r="G594" s="10">
        <v>690.0</v>
      </c>
      <c r="I594" s="7"/>
      <c r="J594" s="7"/>
      <c r="K594" s="13" t="str">
        <f>IF(discount&gt;50%, product, "")</f>
        <v>SKE Bed Study Table Portable Wood Multifunction Laptop-Table Lapdesk for Children Bed Foldabe Table Work with Tablet Slot &amp; Cup Holder Brown Black</v>
      </c>
      <c r="L594" s="7"/>
      <c r="M594" s="7"/>
      <c r="N594" s="7"/>
      <c r="O594" s="14"/>
      <c r="P594" s="14"/>
    </row>
    <row r="595">
      <c r="A595" s="7" t="s">
        <v>385</v>
      </c>
      <c r="B595" s="7" t="s">
        <v>386</v>
      </c>
      <c r="C595" s="8">
        <v>569.0</v>
      </c>
      <c r="D595" s="8">
        <v>1000.0</v>
      </c>
      <c r="E595" s="9">
        <v>0.43</v>
      </c>
      <c r="F595" s="10">
        <v>4.4</v>
      </c>
      <c r="G595" s="11">
        <v>67262.0</v>
      </c>
      <c r="I595" s="7"/>
      <c r="J595" s="7"/>
      <c r="K595" s="13" t="str">
        <f>IF(discount&gt;50%, product, "")</f>
        <v/>
      </c>
      <c r="L595" s="7"/>
      <c r="M595" s="7"/>
      <c r="N595" s="7"/>
      <c r="O595" s="14"/>
      <c r="P595" s="14"/>
    </row>
    <row r="596">
      <c r="A596" s="7" t="s">
        <v>387</v>
      </c>
      <c r="B596" s="7" t="s">
        <v>373</v>
      </c>
      <c r="C596" s="8">
        <v>1999.0</v>
      </c>
      <c r="D596" s="8">
        <v>4999.0</v>
      </c>
      <c r="E596" s="9">
        <v>0.6</v>
      </c>
      <c r="F596" s="10">
        <v>4.1</v>
      </c>
      <c r="G596" s="11">
        <v>10689.0</v>
      </c>
      <c r="I596" s="7"/>
      <c r="J596" s="7"/>
      <c r="K596" s="13" t="str">
        <f>IF(discount&gt;50%, product, "")</f>
        <v>Noise Pulse Go Buzz Smart Watch Bluetooth Calling with 1.69" Display, 550 NITS, 150+ Cloud Watch Face, SPo2, Heart Rate Tracking, 100 Sports Mode with Auto Detection, Longer Battery (Jet Black)</v>
      </c>
      <c r="L596" s="7"/>
      <c r="M596" s="7"/>
      <c r="N596" s="7"/>
      <c r="O596" s="14"/>
      <c r="P596" s="14"/>
    </row>
    <row r="597">
      <c r="A597" s="7" t="s">
        <v>632</v>
      </c>
      <c r="B597" s="7" t="s">
        <v>393</v>
      </c>
      <c r="C597" s="8">
        <v>1399.0</v>
      </c>
      <c r="D597" s="8">
        <v>3990.0</v>
      </c>
      <c r="E597" s="9">
        <v>0.65</v>
      </c>
      <c r="F597" s="10">
        <v>4.1</v>
      </c>
      <c r="G597" s="7" t="s">
        <v>633</v>
      </c>
      <c r="I597" s="7"/>
      <c r="J597" s="7"/>
      <c r="K597" s="13" t="str">
        <f>IF(discount&gt;50%, product, "")</f>
        <v>boAt Rockerz 255 Pro+ in-Ear Bluetooth Neckband with Upto 40 Hours Playback, ASAP  Charge, IPX7, Dual Pairing, BT v5.0, with Mic (Active Black)</v>
      </c>
      <c r="L597" s="7"/>
      <c r="M597" s="7"/>
      <c r="N597" s="7"/>
      <c r="O597" s="14"/>
      <c r="P597" s="14"/>
    </row>
    <row r="598">
      <c r="A598" s="7" t="s">
        <v>634</v>
      </c>
      <c r="B598" s="7" t="s">
        <v>635</v>
      </c>
      <c r="C598" s="8">
        <v>349.0</v>
      </c>
      <c r="D598" s="8">
        <v>1499.0</v>
      </c>
      <c r="E598" s="9">
        <v>0.77</v>
      </c>
      <c r="F598" s="10">
        <v>4.3</v>
      </c>
      <c r="G598" s="11">
        <v>24791.0</v>
      </c>
      <c r="I598" s="7"/>
      <c r="J598" s="7"/>
      <c r="K598" s="13" t="str">
        <f>IF(discount&gt;50%, product, "")</f>
        <v>STRIFF Adjustable Laptop Tabletop Stand Patented Riser Ventilated Portable Foldable Compatible with MacBook Notebook Tablet Tray Desk Table Book with Free Phone Stand (Black)</v>
      </c>
      <c r="L598" s="7"/>
      <c r="M598" s="7"/>
      <c r="N598" s="7"/>
      <c r="O598" s="14"/>
      <c r="P598" s="14"/>
    </row>
    <row r="599">
      <c r="A599" s="7" t="s">
        <v>636</v>
      </c>
      <c r="B599" s="7" t="s">
        <v>393</v>
      </c>
      <c r="C599" s="8">
        <v>149.0</v>
      </c>
      <c r="D599" s="8">
        <v>399.0</v>
      </c>
      <c r="E599" s="9">
        <v>0.63</v>
      </c>
      <c r="F599" s="10">
        <v>3.5</v>
      </c>
      <c r="G599" s="11">
        <v>21764.0</v>
      </c>
      <c r="I599" s="7"/>
      <c r="J599" s="7"/>
      <c r="K599" s="13" t="str">
        <f>IF(discount&gt;50%, product, "")</f>
        <v>ZEBRONICS Zeb-Bro in Ear Wired Earphones with Mic, 3.5mm Audio Jack, 10mm Drivers, Phone/Tablet Compatible(Black)</v>
      </c>
      <c r="L599" s="7"/>
      <c r="M599" s="7"/>
      <c r="N599" s="7"/>
      <c r="O599" s="14"/>
      <c r="P599" s="14"/>
    </row>
    <row r="600">
      <c r="A600" s="7" t="s">
        <v>392</v>
      </c>
      <c r="B600" s="7" t="s">
        <v>393</v>
      </c>
      <c r="C600" s="8">
        <v>599.0</v>
      </c>
      <c r="D600" s="8">
        <v>999.0</v>
      </c>
      <c r="E600" s="9">
        <v>0.4</v>
      </c>
      <c r="F600" s="10">
        <v>4.1</v>
      </c>
      <c r="G600" s="7" t="s">
        <v>637</v>
      </c>
      <c r="I600" s="7"/>
      <c r="J600" s="7"/>
      <c r="K600" s="13" t="str">
        <f>IF(discount&gt;50%, product, "")</f>
        <v/>
      </c>
      <c r="L600" s="7"/>
      <c r="M600" s="7"/>
      <c r="N600" s="7"/>
      <c r="O600" s="14"/>
      <c r="P600" s="14"/>
    </row>
    <row r="601">
      <c r="A601" s="7" t="s">
        <v>638</v>
      </c>
      <c r="B601" s="7" t="s">
        <v>572</v>
      </c>
      <c r="C601" s="8">
        <v>1220.0</v>
      </c>
      <c r="D601" s="8">
        <v>3990.0</v>
      </c>
      <c r="E601" s="9">
        <v>0.69</v>
      </c>
      <c r="F601" s="10">
        <v>4.1</v>
      </c>
      <c r="G601" s="7" t="s">
        <v>639</v>
      </c>
      <c r="I601" s="7"/>
      <c r="J601" s="7"/>
      <c r="K601" s="13" t="str">
        <f>IF(discount&gt;50%, product, "")</f>
        <v>boAt Rockerz 450 Bluetooth On Ear Headphones with Mic, Upto 15 Hours Playback, 40MM Drivers, Padded Ear Cushions, Integrated Controls and Dual Modes(Luscious Black)</v>
      </c>
      <c r="L601" s="7"/>
      <c r="M601" s="7"/>
      <c r="N601" s="7"/>
      <c r="O601" s="14"/>
      <c r="P601" s="14"/>
    </row>
    <row r="602">
      <c r="A602" s="7" t="s">
        <v>391</v>
      </c>
      <c r="B602" s="7" t="s">
        <v>373</v>
      </c>
      <c r="C602" s="8">
        <v>1499.0</v>
      </c>
      <c r="D602" s="8">
        <v>6990.0</v>
      </c>
      <c r="E602" s="9">
        <v>0.79</v>
      </c>
      <c r="F602" s="10">
        <v>3.9</v>
      </c>
      <c r="G602" s="11">
        <v>21797.0</v>
      </c>
      <c r="I602" s="7"/>
      <c r="J602" s="7"/>
      <c r="K602" s="13" t="str">
        <f>IF(discount&gt;50%, product, "")</f>
        <v>boAt Wave Lite Smartwatch with 1.69" HD Display, Sleek Metal Body, HR &amp; SpO2 Level Monitor, 140+ Watch Faces, Activity Tracker, Multiple Sports Modes, IP68 &amp; 7 Days Battery Life(Active Black)</v>
      </c>
      <c r="L602" s="7"/>
      <c r="M602" s="7"/>
      <c r="N602" s="7"/>
      <c r="O602" s="14"/>
      <c r="P602" s="14"/>
    </row>
    <row r="603">
      <c r="A603" s="7" t="s">
        <v>640</v>
      </c>
      <c r="B603" s="7" t="s">
        <v>393</v>
      </c>
      <c r="C603" s="8">
        <v>499.0</v>
      </c>
      <c r="D603" s="8">
        <v>999.0</v>
      </c>
      <c r="E603" s="9">
        <v>0.5</v>
      </c>
      <c r="F603" s="10">
        <v>3.9</v>
      </c>
      <c r="G603" s="11">
        <v>92995.0</v>
      </c>
      <c r="I603" s="7"/>
      <c r="J603" s="7"/>
      <c r="K603" s="13" t="str">
        <f>IF(discount&gt;50%, product, "")</f>
        <v/>
      </c>
      <c r="L603" s="7"/>
      <c r="M603" s="7"/>
      <c r="N603" s="7"/>
      <c r="O603" s="14"/>
      <c r="P603" s="14"/>
    </row>
    <row r="604">
      <c r="A604" s="7" t="s">
        <v>641</v>
      </c>
      <c r="B604" s="7" t="s">
        <v>454</v>
      </c>
      <c r="C604" s="8">
        <v>99.0</v>
      </c>
      <c r="D604" s="8">
        <v>999.0</v>
      </c>
      <c r="E604" s="9">
        <v>0.9</v>
      </c>
      <c r="F604" s="10">
        <v>4.1</v>
      </c>
      <c r="G604" s="11">
        <v>8751.0</v>
      </c>
      <c r="I604" s="7"/>
      <c r="J604" s="7"/>
      <c r="K604" s="13" t="str">
        <f>IF(discount&gt;50%, product, "")</f>
        <v>LAPSTER Spiral Charger Spiral Charger Cable Protectors for Wires Data Cable Saver Charging Cord Protective Cable Cover Set of 3 (12 Pieces)</v>
      </c>
      <c r="L604" s="7"/>
      <c r="M604" s="7"/>
      <c r="N604" s="7"/>
      <c r="O604" s="14"/>
      <c r="P604" s="14"/>
    </row>
    <row r="605">
      <c r="A605" s="7" t="s">
        <v>398</v>
      </c>
      <c r="B605" s="7" t="s">
        <v>399</v>
      </c>
      <c r="C605" s="8">
        <v>349.0</v>
      </c>
      <c r="D605" s="8">
        <v>1299.0</v>
      </c>
      <c r="E605" s="9">
        <v>0.73</v>
      </c>
      <c r="F605" s="10">
        <v>4.0</v>
      </c>
      <c r="G605" s="11">
        <v>14283.0</v>
      </c>
      <c r="I605" s="7"/>
      <c r="J605" s="7"/>
      <c r="K605" s="13" t="str">
        <f>IF(discount&gt;50%, product, "")</f>
        <v>pTron Bullet Pro 36W PD Quick Charger, 3 Port Fast Car Charger Adapter - Compatible with All Smartphones &amp; Tablets (Black)</v>
      </c>
      <c r="L605" s="7"/>
      <c r="M605" s="7"/>
      <c r="N605" s="7"/>
      <c r="O605" s="14"/>
      <c r="P605" s="14"/>
    </row>
    <row r="606">
      <c r="A606" s="7" t="s">
        <v>642</v>
      </c>
      <c r="B606" s="7" t="s">
        <v>622</v>
      </c>
      <c r="C606" s="8">
        <v>475.0</v>
      </c>
      <c r="D606" s="8">
        <v>1500.0</v>
      </c>
      <c r="E606" s="9">
        <v>0.68</v>
      </c>
      <c r="F606" s="10">
        <v>4.2</v>
      </c>
      <c r="G606" s="11">
        <v>64273.0</v>
      </c>
      <c r="I606" s="7"/>
      <c r="J606" s="7"/>
      <c r="K606" s="13" t="str">
        <f>IF(discount&gt;50%, product, "")</f>
        <v>HP v236w USB 2.0 64GB Pen Drive, Metal</v>
      </c>
      <c r="L606" s="7"/>
      <c r="M606" s="7"/>
      <c r="N606" s="7"/>
      <c r="O606" s="14"/>
      <c r="P606" s="14"/>
    </row>
    <row r="607">
      <c r="A607" s="7" t="s">
        <v>643</v>
      </c>
      <c r="B607" s="7" t="s">
        <v>625</v>
      </c>
      <c r="C607" s="8">
        <v>269.0</v>
      </c>
      <c r="D607" s="8">
        <v>649.0</v>
      </c>
      <c r="E607" s="9">
        <v>0.59</v>
      </c>
      <c r="F607" s="10">
        <v>4.3</v>
      </c>
      <c r="G607" s="11">
        <v>54315.0</v>
      </c>
      <c r="I607" s="7"/>
      <c r="J607" s="7"/>
      <c r="K607" s="13" t="str">
        <f>IF(discount&gt;50%, product, "")</f>
        <v>HP X1000 Wired USB Mouse with 3 Handy Buttons, Fast-Moving Scroll Wheel and Optical Sensor works on most Surfaces (H2C21AA, Black/Grey)</v>
      </c>
      <c r="L607" s="7"/>
      <c r="M607" s="7"/>
      <c r="N607" s="7"/>
      <c r="O607" s="14"/>
      <c r="P607" s="14"/>
    </row>
    <row r="608">
      <c r="A608" s="7" t="s">
        <v>644</v>
      </c>
      <c r="B608" s="7" t="s">
        <v>625</v>
      </c>
      <c r="C608" s="8">
        <v>299.0</v>
      </c>
      <c r="D608" s="8">
        <v>599.0</v>
      </c>
      <c r="E608" s="9">
        <v>0.5</v>
      </c>
      <c r="F608" s="10">
        <v>4.1</v>
      </c>
      <c r="G608" s="11">
        <v>1597.0</v>
      </c>
      <c r="I608" s="7"/>
      <c r="J608" s="7"/>
      <c r="K608" s="13" t="str">
        <f>IF(discount&gt;50%, product, "")</f>
        <v/>
      </c>
      <c r="L608" s="7"/>
      <c r="M608" s="7"/>
      <c r="N608" s="7"/>
      <c r="O608" s="14"/>
      <c r="P608" s="14"/>
    </row>
    <row r="609">
      <c r="A609" s="7" t="s">
        <v>410</v>
      </c>
      <c r="B609" s="7" t="s">
        <v>373</v>
      </c>
      <c r="C609" s="8">
        <v>1599.0</v>
      </c>
      <c r="D609" s="8">
        <v>3999.0</v>
      </c>
      <c r="E609" s="9">
        <v>0.6</v>
      </c>
      <c r="F609" s="10">
        <v>4.0</v>
      </c>
      <c r="G609" s="11">
        <v>30254.0</v>
      </c>
      <c r="I609" s="7"/>
      <c r="J609" s="7"/>
      <c r="K609" s="13" t="str">
        <f>IF(discount&gt;50%, product, "")</f>
        <v>Noise ColorFit Pulse Grand Smart Watch with 1.69"(4.29cm) HD Display, 60 Sports Modes, 150 Watch Faces, Fast Charge, Spo2, Stress, Sleep, Heart Rate Monitoring &amp; IP68 Waterproof (Jet Black)</v>
      </c>
      <c r="L609" s="7"/>
      <c r="M609" s="7"/>
      <c r="N609" s="7"/>
      <c r="O609" s="14"/>
      <c r="P609" s="14"/>
    </row>
    <row r="610">
      <c r="A610" s="7" t="s">
        <v>411</v>
      </c>
      <c r="B610" s="7" t="s">
        <v>373</v>
      </c>
      <c r="C610" s="8">
        <v>1499.0</v>
      </c>
      <c r="D610" s="8">
        <v>7999.0</v>
      </c>
      <c r="E610" s="9">
        <v>0.81</v>
      </c>
      <c r="F610" s="10">
        <v>4.2</v>
      </c>
      <c r="G610" s="11">
        <v>22638.0</v>
      </c>
      <c r="I610" s="7"/>
      <c r="J610" s="7"/>
      <c r="K610" s="13" t="str">
        <f>IF(discount&gt;50%, product, "")</f>
        <v>Fire-Boltt Ninja 3 Smartwatch Full Touch 1.69 &amp; 60 Sports Modes with IP68, Sp02 Tracking, Over 100 Cloud based watch faces - Black</v>
      </c>
      <c r="L610" s="7"/>
      <c r="M610" s="7"/>
      <c r="N610" s="7"/>
      <c r="O610" s="14"/>
      <c r="P610" s="14"/>
    </row>
    <row r="611">
      <c r="A611" s="7" t="s">
        <v>645</v>
      </c>
      <c r="B611" s="7" t="s">
        <v>393</v>
      </c>
      <c r="C611" s="8">
        <v>329.0</v>
      </c>
      <c r="D611" s="8">
        <v>999.0</v>
      </c>
      <c r="E611" s="9">
        <v>0.67</v>
      </c>
      <c r="F611" s="10">
        <v>3.9</v>
      </c>
      <c r="G611" s="11">
        <v>77027.0</v>
      </c>
      <c r="I611" s="7"/>
      <c r="J611" s="7"/>
      <c r="K611" s="13" t="str">
        <f>IF(discount&gt;50%, product, "")</f>
        <v>Boult Audio BassBuds X1 in-Ear Wired Earphones with 10mm Extra Bass Driver and HD Sound with mic(Black)</v>
      </c>
      <c r="L611" s="7"/>
      <c r="M611" s="7"/>
      <c r="N611" s="7"/>
      <c r="O611" s="14"/>
      <c r="P611" s="14"/>
    </row>
    <row r="612">
      <c r="A612" s="7" t="s">
        <v>646</v>
      </c>
      <c r="B612" s="7" t="s">
        <v>647</v>
      </c>
      <c r="C612" s="8">
        <v>549.0</v>
      </c>
      <c r="D612" s="8">
        <v>1799.0</v>
      </c>
      <c r="E612" s="9">
        <v>0.69</v>
      </c>
      <c r="F612" s="10">
        <v>4.3</v>
      </c>
      <c r="G612" s="11">
        <v>28829.0</v>
      </c>
      <c r="I612" s="7"/>
      <c r="J612" s="7"/>
      <c r="K612" s="13" t="str">
        <f>IF(discount&gt;50%, product, "")</f>
        <v>Dell KB216 Wired Multimedia USB Keyboard with Super Quite Plunger Keys with Spill-Resistant – Black</v>
      </c>
      <c r="L612" s="7"/>
      <c r="M612" s="7"/>
      <c r="N612" s="7"/>
      <c r="O612" s="14"/>
      <c r="P612" s="14"/>
    </row>
    <row r="613">
      <c r="A613" s="7" t="s">
        <v>415</v>
      </c>
      <c r="B613" s="7" t="s">
        <v>373</v>
      </c>
      <c r="C613" s="8">
        <v>2199.0</v>
      </c>
      <c r="D613" s="8">
        <v>9999.0</v>
      </c>
      <c r="E613" s="9">
        <v>0.78</v>
      </c>
      <c r="F613" s="10">
        <v>4.2</v>
      </c>
      <c r="G613" s="11">
        <v>29478.0</v>
      </c>
      <c r="I613" s="7"/>
      <c r="J613" s="7"/>
      <c r="K613" s="13" t="str">
        <f>IF(discount&gt;50%, product, "")</f>
        <v>Fire-Boltt India's No 1 Smartwatch Brand Talk 2 Bluetooth Calling Smartwatch with Dual Button, Hands On Voice Assistance, 60 Sports Modes, in Built Mic &amp; Speaker with IP68 Rating</v>
      </c>
      <c r="L613" s="7"/>
      <c r="M613" s="7"/>
      <c r="N613" s="7"/>
      <c r="O613" s="14"/>
      <c r="P613" s="14"/>
    </row>
    <row r="614">
      <c r="A614" s="7" t="s">
        <v>648</v>
      </c>
      <c r="B614" s="7" t="s">
        <v>625</v>
      </c>
      <c r="C614" s="8">
        <v>299.0</v>
      </c>
      <c r="D614" s="8">
        <v>650.0</v>
      </c>
      <c r="E614" s="9">
        <v>0.54</v>
      </c>
      <c r="F614" s="10">
        <v>4.5</v>
      </c>
      <c r="G614" s="11">
        <v>33176.0</v>
      </c>
      <c r="I614" s="7"/>
      <c r="J614" s="7"/>
      <c r="K614" s="13" t="str">
        <f>IF(discount&gt;50%, product, "")</f>
        <v>Dell MS116 1000Dpi USB Wired Optical Mouse, Led Tracking, Scrolling Wheel, Plug and Play.</v>
      </c>
      <c r="L614" s="7"/>
      <c r="M614" s="7"/>
      <c r="N614" s="7"/>
      <c r="O614" s="14"/>
      <c r="P614" s="14"/>
    </row>
    <row r="615">
      <c r="A615" s="7" t="s">
        <v>649</v>
      </c>
      <c r="B615" s="7" t="s">
        <v>650</v>
      </c>
      <c r="C615" s="8">
        <v>798.0</v>
      </c>
      <c r="D615" s="8">
        <v>1995.0</v>
      </c>
      <c r="E615" s="9">
        <v>0.6</v>
      </c>
      <c r="F615" s="10">
        <v>4.0</v>
      </c>
      <c r="G615" s="11">
        <v>68664.0</v>
      </c>
      <c r="I615" s="7"/>
      <c r="J615" s="7"/>
      <c r="K615" s="13" t="str">
        <f>IF(discount&gt;50%, product, "")</f>
        <v>Boya ByM1 Auxiliary Omnidirectional Lavalier Condenser Microphone with 20ft Audio Cable (Black)</v>
      </c>
      <c r="L615" s="7"/>
      <c r="M615" s="7"/>
      <c r="N615" s="7"/>
      <c r="O615" s="14"/>
      <c r="P615" s="14"/>
    </row>
    <row r="616">
      <c r="A616" s="7" t="s">
        <v>14</v>
      </c>
      <c r="B616" s="7" t="s">
        <v>15</v>
      </c>
      <c r="C616" s="8">
        <v>399.0</v>
      </c>
      <c r="D616" s="8">
        <v>1099.0</v>
      </c>
      <c r="E616" s="9">
        <v>0.64</v>
      </c>
      <c r="F616" s="10">
        <v>4.2</v>
      </c>
      <c r="G616" s="11">
        <v>24269.0</v>
      </c>
      <c r="I616" s="7"/>
      <c r="J616" s="7"/>
      <c r="K616" s="13" t="str">
        <f>IF(discount&gt;50%, product, "")</f>
        <v>Wayona Nylon Braided USB to Lightning Fast Charging and Data Sync Cable Compatible for iPhone 13, 12,11, X, 8, 7, 6, 5, iPad Air, Pro, Mini (3 FT Pack of 1, Grey)</v>
      </c>
      <c r="L616" s="7"/>
      <c r="M616" s="7"/>
      <c r="N616" s="7"/>
      <c r="O616" s="14"/>
      <c r="P616" s="14"/>
    </row>
    <row r="617">
      <c r="A617" s="7" t="s">
        <v>651</v>
      </c>
      <c r="B617" s="7" t="s">
        <v>652</v>
      </c>
      <c r="C617" s="8">
        <v>266.0</v>
      </c>
      <c r="D617" s="8">
        <v>315.0</v>
      </c>
      <c r="E617" s="9">
        <v>0.16</v>
      </c>
      <c r="F617" s="10">
        <v>4.5</v>
      </c>
      <c r="G617" s="11">
        <v>28030.0</v>
      </c>
      <c r="I617" s="7"/>
      <c r="J617" s="7"/>
      <c r="K617" s="13" t="str">
        <f>IF(discount&gt;50%, product, "")</f>
        <v/>
      </c>
      <c r="L617" s="7"/>
      <c r="M617" s="7"/>
      <c r="N617" s="7"/>
      <c r="O617" s="14"/>
      <c r="P617" s="14"/>
    </row>
    <row r="618">
      <c r="A618" s="7" t="s">
        <v>653</v>
      </c>
      <c r="B618" s="7" t="s">
        <v>654</v>
      </c>
      <c r="C618" s="8">
        <v>50.0</v>
      </c>
      <c r="D618" s="8">
        <v>50.0</v>
      </c>
      <c r="E618" s="9">
        <v>0.0</v>
      </c>
      <c r="F618" s="10">
        <v>4.3</v>
      </c>
      <c r="G618" s="11">
        <v>5792.0</v>
      </c>
      <c r="I618" s="7"/>
      <c r="J618" s="7"/>
      <c r="K618" s="13" t="str">
        <f>IF(discount&gt;50%, product, "")</f>
        <v/>
      </c>
      <c r="L618" s="7"/>
      <c r="M618" s="7"/>
      <c r="N618" s="7"/>
      <c r="O618" s="14"/>
      <c r="P618" s="14"/>
    </row>
    <row r="619">
      <c r="A619" s="7" t="s">
        <v>655</v>
      </c>
      <c r="B619" s="7" t="s">
        <v>656</v>
      </c>
      <c r="C619" s="8">
        <v>130.0</v>
      </c>
      <c r="D619" s="8">
        <v>165.0</v>
      </c>
      <c r="E619" s="9">
        <v>0.21</v>
      </c>
      <c r="F619" s="10">
        <v>3.9</v>
      </c>
      <c r="G619" s="11">
        <v>14778.0</v>
      </c>
      <c r="I619" s="7"/>
      <c r="J619" s="7"/>
      <c r="K619" s="13" t="str">
        <f>IF(discount&gt;50%, product, "")</f>
        <v/>
      </c>
      <c r="L619" s="7"/>
      <c r="M619" s="7"/>
      <c r="N619" s="7"/>
      <c r="O619" s="14"/>
      <c r="P619" s="14"/>
    </row>
    <row r="620">
      <c r="A620" s="7" t="s">
        <v>657</v>
      </c>
      <c r="B620" s="7" t="s">
        <v>393</v>
      </c>
      <c r="C620" s="8">
        <v>449.0</v>
      </c>
      <c r="D620" s="8">
        <v>1290.0</v>
      </c>
      <c r="E620" s="9">
        <v>0.65</v>
      </c>
      <c r="F620" s="10">
        <v>4.1</v>
      </c>
      <c r="G620" s="11">
        <v>91770.0</v>
      </c>
      <c r="I620" s="7"/>
      <c r="J620" s="7"/>
      <c r="K620" s="13" t="str">
        <f>IF(discount&gt;50%, product, "")</f>
        <v>boAt Bassheads 152 in Ear Wired Earphones with Mic(Active Black)</v>
      </c>
      <c r="L620" s="7"/>
      <c r="M620" s="7"/>
      <c r="N620" s="7"/>
      <c r="O620" s="14"/>
      <c r="P620" s="14"/>
    </row>
    <row r="621">
      <c r="A621" s="7" t="s">
        <v>424</v>
      </c>
      <c r="B621" s="7" t="s">
        <v>373</v>
      </c>
      <c r="C621" s="8">
        <v>3999.0</v>
      </c>
      <c r="D621" s="8">
        <v>16999.0</v>
      </c>
      <c r="E621" s="9">
        <v>0.76</v>
      </c>
      <c r="F621" s="10">
        <v>4.3</v>
      </c>
      <c r="G621" s="11">
        <v>17162.0</v>
      </c>
      <c r="I621" s="7"/>
      <c r="J621" s="7"/>
      <c r="K621" s="13" t="str">
        <f>IF(discount&gt;50%, product, "")</f>
        <v>Fire-Boltt Visionary 1.78" AMOLED Bluetooth Calling Smartwatch with 368*448 Pixel Resolution 100+ Sports Mode, TWS Connection, Voice Assistance, SPO2 &amp; Heart Rate Monitoring</v>
      </c>
      <c r="L621" s="7"/>
      <c r="M621" s="7"/>
      <c r="N621" s="7"/>
      <c r="O621" s="14"/>
      <c r="P621" s="14"/>
    </row>
    <row r="622">
      <c r="A622" s="7" t="s">
        <v>658</v>
      </c>
      <c r="B622" s="7" t="s">
        <v>393</v>
      </c>
      <c r="C622" s="8">
        <v>399.0</v>
      </c>
      <c r="D622" s="8">
        <v>1290.0</v>
      </c>
      <c r="E622" s="9">
        <v>0.69</v>
      </c>
      <c r="F622" s="10">
        <v>4.2</v>
      </c>
      <c r="G622" s="10">
        <v>206.0</v>
      </c>
      <c r="I622" s="7"/>
      <c r="J622" s="7"/>
      <c r="K622" s="13" t="str">
        <f>IF(discount&gt;50%, product, "")</f>
        <v>boAt BassHeads 122 Wired Earphones with Heavy Bass, Integrated Controls and Mic (Gun Metal)</v>
      </c>
      <c r="L622" s="7"/>
      <c r="M622" s="7"/>
      <c r="N622" s="7"/>
      <c r="O622" s="14"/>
      <c r="P622" s="14"/>
    </row>
    <row r="623">
      <c r="A623" s="7" t="s">
        <v>659</v>
      </c>
      <c r="B623" s="7" t="s">
        <v>660</v>
      </c>
      <c r="C623" s="8">
        <v>1399.0</v>
      </c>
      <c r="D623" s="8">
        <v>2498.0</v>
      </c>
      <c r="E623" s="9">
        <v>0.44</v>
      </c>
      <c r="F623" s="10">
        <v>4.2</v>
      </c>
      <c r="G623" s="11">
        <v>33717.0</v>
      </c>
      <c r="I623" s="7"/>
      <c r="J623" s="7"/>
      <c r="K623" s="13" t="str">
        <f>IF(discount&gt;50%, product, "")</f>
        <v/>
      </c>
      <c r="L623" s="7"/>
      <c r="M623" s="7"/>
      <c r="N623" s="7"/>
      <c r="O623" s="14"/>
      <c r="P623" s="14"/>
    </row>
    <row r="624">
      <c r="A624" s="7" t="s">
        <v>17</v>
      </c>
      <c r="B624" s="7" t="s">
        <v>15</v>
      </c>
      <c r="C624" s="8">
        <v>199.0</v>
      </c>
      <c r="D624" s="8">
        <v>349.0</v>
      </c>
      <c r="E624" s="9">
        <v>0.43</v>
      </c>
      <c r="F624" s="10">
        <v>4.0</v>
      </c>
      <c r="G624" s="11">
        <v>43994.0</v>
      </c>
      <c r="I624" s="7"/>
      <c r="J624" s="7"/>
      <c r="K624" s="13" t="str">
        <f>IF(discount&gt;50%, product, "")</f>
        <v/>
      </c>
      <c r="L624" s="7"/>
      <c r="M624" s="7"/>
      <c r="N624" s="7"/>
      <c r="O624" s="14"/>
      <c r="P624" s="14"/>
    </row>
    <row r="625">
      <c r="A625" s="7" t="s">
        <v>18</v>
      </c>
      <c r="B625" s="7" t="s">
        <v>15</v>
      </c>
      <c r="C625" s="8">
        <v>199.0</v>
      </c>
      <c r="D625" s="8">
        <v>999.0</v>
      </c>
      <c r="E625" s="9">
        <v>0.8</v>
      </c>
      <c r="F625" s="10">
        <v>3.9</v>
      </c>
      <c r="G625" s="11">
        <v>7928.0</v>
      </c>
      <c r="I625" s="7"/>
      <c r="J625" s="7"/>
      <c r="K625" s="13" t="str">
        <f>IF(discount&gt;50%, product, "")</f>
        <v>Sounce Fast Phone Charging Cable &amp; Data Sync USB Cable Compatible for iPhone 13, 12,11, X, 8, 7, 6, 5, iPad Air, Pro, Mini &amp; iOS Devices</v>
      </c>
      <c r="L625" s="7"/>
      <c r="M625" s="7"/>
      <c r="N625" s="7"/>
      <c r="O625" s="14"/>
      <c r="P625" s="14"/>
    </row>
    <row r="626">
      <c r="A626" s="7" t="s">
        <v>425</v>
      </c>
      <c r="B626" s="7" t="s">
        <v>373</v>
      </c>
      <c r="C626" s="8">
        <v>2998.0</v>
      </c>
      <c r="D626" s="8">
        <v>5999.0</v>
      </c>
      <c r="E626" s="9">
        <v>0.5</v>
      </c>
      <c r="F626" s="10">
        <v>4.1</v>
      </c>
      <c r="G626" s="11">
        <v>5179.0</v>
      </c>
      <c r="I626" s="7"/>
      <c r="J626" s="7"/>
      <c r="K626" s="13" t="str">
        <f>IF(discount&gt;50%, product, "")</f>
        <v/>
      </c>
      <c r="L626" s="7"/>
      <c r="M626" s="7"/>
      <c r="N626" s="7"/>
      <c r="O626" s="14"/>
      <c r="P626" s="14"/>
    </row>
    <row r="627">
      <c r="A627" s="7" t="s">
        <v>661</v>
      </c>
      <c r="B627" s="7" t="s">
        <v>662</v>
      </c>
      <c r="C627" s="8">
        <v>4098.0</v>
      </c>
      <c r="D627" s="8">
        <v>4999.0</v>
      </c>
      <c r="E627" s="9">
        <v>0.18</v>
      </c>
      <c r="F627" s="10">
        <v>4.5</v>
      </c>
      <c r="G627" s="11">
        <v>50810.0</v>
      </c>
      <c r="I627" s="7"/>
      <c r="J627" s="7"/>
      <c r="K627" s="13" t="str">
        <f>IF(discount&gt;50%, product, "")</f>
        <v/>
      </c>
      <c r="L627" s="7"/>
      <c r="M627" s="7"/>
      <c r="N627" s="7"/>
      <c r="O627" s="14"/>
      <c r="P627" s="14"/>
    </row>
    <row r="628">
      <c r="A628" s="7" t="s">
        <v>663</v>
      </c>
      <c r="B628" s="7" t="s">
        <v>664</v>
      </c>
      <c r="C628" s="8">
        <v>499.0</v>
      </c>
      <c r="D628" s="8">
        <v>1999.0</v>
      </c>
      <c r="E628" s="9">
        <v>0.75</v>
      </c>
      <c r="F628" s="10">
        <v>3.7</v>
      </c>
      <c r="G628" s="11">
        <v>3369.0</v>
      </c>
      <c r="I628" s="7"/>
      <c r="J628" s="7"/>
      <c r="K628" s="13" t="str">
        <f>IF(discount&gt;50%, product, "")</f>
        <v>HP w100 480P 30 FPS Digital Webcam with Built-in Mic, Plug and Play Setup, Wide-Angle View for Video Calling on Skype, Zoom, Microsoft Teams and Other Apps (Black)</v>
      </c>
      <c r="L628" s="7"/>
      <c r="M628" s="7"/>
      <c r="N628" s="7"/>
      <c r="O628" s="14"/>
      <c r="P628" s="14"/>
    </row>
    <row r="629">
      <c r="A629" s="7" t="s">
        <v>665</v>
      </c>
      <c r="B629" s="7" t="s">
        <v>625</v>
      </c>
      <c r="C629" s="8">
        <v>299.0</v>
      </c>
      <c r="D629" s="8">
        <v>449.0</v>
      </c>
      <c r="E629" s="9">
        <v>0.33</v>
      </c>
      <c r="F629" s="10">
        <v>3.5</v>
      </c>
      <c r="G629" s="11">
        <v>11827.0</v>
      </c>
      <c r="I629" s="7"/>
      <c r="J629" s="7"/>
      <c r="K629" s="13" t="str">
        <f>IF(discount&gt;50%, product, "")</f>
        <v/>
      </c>
      <c r="L629" s="7"/>
      <c r="M629" s="7"/>
      <c r="N629" s="7"/>
      <c r="O629" s="14"/>
      <c r="P629" s="14"/>
    </row>
    <row r="630">
      <c r="A630" s="7" t="s">
        <v>19</v>
      </c>
      <c r="B630" s="7" t="s">
        <v>15</v>
      </c>
      <c r="C630" s="8">
        <v>329.0</v>
      </c>
      <c r="D630" s="8">
        <v>699.0</v>
      </c>
      <c r="E630" s="9">
        <v>0.53</v>
      </c>
      <c r="F630" s="10">
        <v>4.2</v>
      </c>
      <c r="G630" s="11">
        <v>94364.0</v>
      </c>
      <c r="I630" s="7"/>
      <c r="J630" s="7"/>
      <c r="K630" s="13" t="str">
        <f>IF(discount&gt;50%, product, "")</f>
        <v>boAt Deuce USB 300 2 in 1 Type-C &amp; Micro USB Stress Resistant, Tangle-Free, Sturdy Cable with 3A Fast Charging &amp; 480mbps Data Transmission, 10000+ Bends Lifespan and Extended 1.5m Length(Martian Red)</v>
      </c>
      <c r="L630" s="7"/>
      <c r="M630" s="7"/>
      <c r="N630" s="7"/>
      <c r="O630" s="14"/>
      <c r="P630" s="14"/>
    </row>
    <row r="631">
      <c r="A631" s="7" t="s">
        <v>666</v>
      </c>
      <c r="B631" s="7" t="s">
        <v>660</v>
      </c>
      <c r="C631" s="8">
        <v>699.0</v>
      </c>
      <c r="D631" s="8">
        <v>999.0</v>
      </c>
      <c r="E631" s="9">
        <v>0.3</v>
      </c>
      <c r="F631" s="10">
        <v>3.5</v>
      </c>
      <c r="G631" s="11">
        <v>15295.0</v>
      </c>
      <c r="I631" s="7"/>
      <c r="J631" s="7"/>
      <c r="K631" s="13" t="str">
        <f>IF(discount&gt;50%, product, "")</f>
        <v/>
      </c>
      <c r="L631" s="7"/>
      <c r="M631" s="7"/>
      <c r="N631" s="7"/>
      <c r="O631" s="14"/>
      <c r="P631" s="14"/>
    </row>
    <row r="632">
      <c r="A632" s="7" t="s">
        <v>667</v>
      </c>
      <c r="B632" s="7" t="s">
        <v>668</v>
      </c>
      <c r="C632" s="8">
        <v>799.0</v>
      </c>
      <c r="D632" s="8">
        <v>3990.0</v>
      </c>
      <c r="E632" s="9">
        <v>0.8</v>
      </c>
      <c r="F632" s="10">
        <v>4.3</v>
      </c>
      <c r="G632" s="11">
        <v>27139.0</v>
      </c>
      <c r="I632" s="7"/>
      <c r="J632" s="7"/>
      <c r="K632" s="13" t="str">
        <f>IF(discount&gt;50%, product, "")</f>
        <v>SYVO WT 3130 Aluminum Tripod (133CM), Universal Lightweight Tripod with Mobile Phone Holder Mount &amp; Carry Bag for All Smart Phones, Gopro, Cameras - Brown</v>
      </c>
      <c r="L632" s="7"/>
      <c r="M632" s="7"/>
      <c r="N632" s="7"/>
      <c r="O632" s="14"/>
      <c r="P632" s="14"/>
    </row>
    <row r="633">
      <c r="A633" s="7" t="s">
        <v>669</v>
      </c>
      <c r="B633" s="7" t="s">
        <v>393</v>
      </c>
      <c r="C633" s="8">
        <v>1399.0</v>
      </c>
      <c r="D633" s="8">
        <v>5499.0</v>
      </c>
      <c r="E633" s="9">
        <v>0.75</v>
      </c>
      <c r="F633" s="10">
        <v>3.9</v>
      </c>
      <c r="G633" s="11">
        <v>9504.0</v>
      </c>
      <c r="I633" s="7"/>
      <c r="J633" s="7"/>
      <c r="K633" s="13" t="str">
        <f>IF(discount&gt;50%, product, "")</f>
        <v>Boult Audio Airbass Z20 True Wireless, 40H Battery Life, Zen ENC Mic, Type-C Lightning Boult Fast Charging (10Mins=100Mins), BoomX Tech Bass, ENC, IPX5 in Ear Earbuds with mic (Green)</v>
      </c>
      <c r="L633" s="7"/>
      <c r="M633" s="7"/>
      <c r="N633" s="7"/>
      <c r="O633" s="14"/>
      <c r="P633" s="14"/>
    </row>
    <row r="634">
      <c r="A634" s="7" t="s">
        <v>20</v>
      </c>
      <c r="B634" s="7" t="s">
        <v>15</v>
      </c>
      <c r="C634" s="8">
        <v>154.0</v>
      </c>
      <c r="D634" s="8">
        <v>399.0</v>
      </c>
      <c r="E634" s="9">
        <v>0.61</v>
      </c>
      <c r="F634" s="10">
        <v>4.2</v>
      </c>
      <c r="G634" s="11">
        <v>16905.0</v>
      </c>
      <c r="I634" s="7"/>
      <c r="J634" s="7"/>
      <c r="K634" s="13" t="str">
        <f>IF(discount&gt;50%, product, "")</f>
        <v>Portronics Konnect L 1.2M Fast Charging 3A 8 Pin USB Cable with Charge &amp; Sync Function for iPhone, iPad (Grey)</v>
      </c>
      <c r="L634" s="7"/>
      <c r="M634" s="7"/>
      <c r="N634" s="7"/>
      <c r="O634" s="14"/>
      <c r="P634" s="14"/>
    </row>
    <row r="635">
      <c r="A635" s="7" t="s">
        <v>670</v>
      </c>
      <c r="B635" s="7" t="s">
        <v>622</v>
      </c>
      <c r="C635" s="8">
        <v>519.0</v>
      </c>
      <c r="D635" s="8">
        <v>1350.0</v>
      </c>
      <c r="E635" s="9">
        <v>0.62</v>
      </c>
      <c r="F635" s="10">
        <v>4.3</v>
      </c>
      <c r="G635" s="11">
        <v>30058.0</v>
      </c>
      <c r="I635" s="7"/>
      <c r="J635" s="7"/>
      <c r="K635" s="13" t="str">
        <f>IF(discount&gt;50%, product, "")</f>
        <v>SanDisk Ultra Flair 64GB USB 3.0 Pen Drive, Multicolor</v>
      </c>
      <c r="L635" s="7"/>
      <c r="M635" s="7"/>
      <c r="N635" s="7"/>
      <c r="O635" s="14"/>
      <c r="P635" s="14"/>
    </row>
    <row r="636">
      <c r="A636" s="7" t="s">
        <v>439</v>
      </c>
      <c r="B636" s="7" t="s">
        <v>373</v>
      </c>
      <c r="C636" s="8">
        <v>2299.0</v>
      </c>
      <c r="D636" s="8">
        <v>7990.0</v>
      </c>
      <c r="E636" s="9">
        <v>0.71</v>
      </c>
      <c r="F636" s="10">
        <v>4.2</v>
      </c>
      <c r="G636" s="11">
        <v>69619.0</v>
      </c>
      <c r="I636" s="7"/>
      <c r="J636" s="7"/>
      <c r="K636" s="13" t="str">
        <f>IF(discount&gt;50%, product, "")</f>
        <v>boAt Xtend Smartwatch with Alexa Built-in, 1.69” HD Display, Multiple Watch Faces, Stress Monitor, Heart &amp; SpO2 Monitoring, 14 Sports Modes, Sleep Monitor, 5 ATM &amp; 7 Days Battery(Charcoal Black)</v>
      </c>
      <c r="L636" s="7"/>
      <c r="M636" s="7"/>
      <c r="N636" s="7"/>
      <c r="O636" s="14"/>
      <c r="P636" s="14"/>
    </row>
    <row r="637">
      <c r="A637" s="7" t="s">
        <v>440</v>
      </c>
      <c r="B637" s="7" t="s">
        <v>441</v>
      </c>
      <c r="C637" s="8">
        <v>399.0</v>
      </c>
      <c r="D637" s="8">
        <v>1999.0</v>
      </c>
      <c r="E637" s="9">
        <v>0.8</v>
      </c>
      <c r="F637" s="10">
        <v>4.0</v>
      </c>
      <c r="G637" s="11">
        <v>3382.0</v>
      </c>
      <c r="I637" s="7"/>
      <c r="J637" s="7"/>
      <c r="K637" s="13" t="str">
        <f>IF(discount&gt;50%, product, "")</f>
        <v>Tygot Bluetooth Extendable Selfie Sticks with Wireless Remote and Tripod Stand, 3-in-1 Multifunctional Selfie Stick with Tripod Stand Compatible with iPhone/OnePlus/Samsung/Oppo/Vivo and All Phones</v>
      </c>
      <c r="L637" s="7"/>
      <c r="M637" s="7"/>
      <c r="N637" s="7"/>
      <c r="O637" s="14"/>
      <c r="P637" s="14"/>
    </row>
    <row r="638">
      <c r="A638" s="7" t="s">
        <v>671</v>
      </c>
      <c r="B638" s="7" t="s">
        <v>393</v>
      </c>
      <c r="C638" s="8">
        <v>1499.0</v>
      </c>
      <c r="D638" s="8">
        <v>3990.0</v>
      </c>
      <c r="E638" s="9">
        <v>0.62</v>
      </c>
      <c r="F638" s="10">
        <v>4.1</v>
      </c>
      <c r="G638" s="7" t="s">
        <v>672</v>
      </c>
      <c r="I638" s="7"/>
      <c r="J638" s="7"/>
      <c r="K638" s="13" t="str">
        <f>IF(discount&gt;50%, product, "")</f>
        <v>boAt Rockerz 330 in-Ear Bluetooth Neckband with Upto 30 Hours Playtime, ASAP  Charge, Signature Sound, Dual Pairing &amp; IPX5 with Mic (Active Black)</v>
      </c>
      <c r="L638" s="7"/>
      <c r="M638" s="7"/>
      <c r="N638" s="7"/>
      <c r="O638" s="14"/>
      <c r="P638" s="14"/>
    </row>
    <row r="639">
      <c r="A639" s="7" t="s">
        <v>673</v>
      </c>
      <c r="B639" s="7" t="s">
        <v>674</v>
      </c>
      <c r="C639" s="8">
        <v>1295.0</v>
      </c>
      <c r="D639" s="8">
        <v>1295.0</v>
      </c>
      <c r="E639" s="9">
        <v>0.0</v>
      </c>
      <c r="F639" s="10">
        <v>4.5</v>
      </c>
      <c r="G639" s="11">
        <v>5760.0</v>
      </c>
      <c r="I639" s="7"/>
      <c r="J639" s="7"/>
      <c r="K639" s="13" t="str">
        <f>IF(discount&gt;50%, product, "")</f>
        <v/>
      </c>
      <c r="L639" s="7"/>
      <c r="M639" s="7"/>
      <c r="N639" s="7"/>
      <c r="O639" s="14"/>
      <c r="P639" s="14"/>
    </row>
    <row r="640">
      <c r="A640" s="7" t="s">
        <v>675</v>
      </c>
      <c r="B640" s="7" t="s">
        <v>676</v>
      </c>
      <c r="C640" s="8">
        <v>1889.0</v>
      </c>
      <c r="D640" s="8">
        <v>5499.0</v>
      </c>
      <c r="E640" s="9">
        <v>0.66</v>
      </c>
      <c r="F640" s="10">
        <v>4.2</v>
      </c>
      <c r="G640" s="11">
        <v>49551.0</v>
      </c>
      <c r="I640" s="7"/>
      <c r="J640" s="7"/>
      <c r="K640" s="13" t="str">
        <f>IF(discount&gt;50%, product, "")</f>
        <v>TP-Link AC750 Wifi Range Extender | Up to 750Mbps | Dual Band WiFi Extender, Repeater, Wifi Signal Booster, Access Point| Easy Set-Up | Extends Wifi to Smart Home &amp; Alexa Devices (RE200)</v>
      </c>
      <c r="L640" s="7"/>
      <c r="M640" s="7"/>
      <c r="N640" s="7"/>
      <c r="O640" s="14"/>
      <c r="P640" s="14"/>
    </row>
    <row r="641">
      <c r="A641" s="7" t="s">
        <v>677</v>
      </c>
      <c r="B641" s="7" t="s">
        <v>393</v>
      </c>
      <c r="C641" s="8">
        <v>455.0</v>
      </c>
      <c r="D641" s="8">
        <v>1490.0</v>
      </c>
      <c r="E641" s="9">
        <v>0.69</v>
      </c>
      <c r="F641" s="10">
        <v>4.1</v>
      </c>
      <c r="G641" s="7" t="s">
        <v>678</v>
      </c>
      <c r="I641" s="7"/>
      <c r="J641" s="7"/>
      <c r="K641" s="13" t="str">
        <f>IF(discount&gt;50%, product, "")</f>
        <v>boAt Bassheads 242 in Ear Wired Earphones with Mic(Blue)</v>
      </c>
      <c r="L641" s="7"/>
      <c r="M641" s="7"/>
      <c r="N641" s="7"/>
      <c r="O641" s="14"/>
      <c r="P641" s="14"/>
    </row>
    <row r="642">
      <c r="A642" s="7" t="s">
        <v>679</v>
      </c>
      <c r="B642" s="7" t="s">
        <v>680</v>
      </c>
      <c r="C642" s="8">
        <v>399.0</v>
      </c>
      <c r="D642" s="8">
        <v>995.0</v>
      </c>
      <c r="E642" s="9">
        <v>0.6</v>
      </c>
      <c r="F642" s="10">
        <v>3.9</v>
      </c>
      <c r="G642" s="11">
        <v>21372.0</v>
      </c>
      <c r="I642" s="7"/>
      <c r="J642" s="7"/>
      <c r="K642" s="13" t="str">
        <f>IF(discount&gt;50%, product, "")</f>
        <v>DIGITEK® (DTR 260 GT) Gorilla Tripod/Mini 33 cm (13 Inch) Tripod for Mobile Phone with Phone Mount &amp; Remote, Flexible Gorilla Stand for DSLR &amp; Action Cameras</v>
      </c>
      <c r="L642" s="7"/>
      <c r="M642" s="7"/>
      <c r="N642" s="7"/>
      <c r="O642" s="14"/>
      <c r="P642" s="14"/>
    </row>
    <row r="643">
      <c r="A643" s="7" t="s">
        <v>442</v>
      </c>
      <c r="B643" s="7" t="s">
        <v>386</v>
      </c>
      <c r="C643" s="8">
        <v>1059.0</v>
      </c>
      <c r="D643" s="8">
        <v>3999.0</v>
      </c>
      <c r="E643" s="9">
        <v>0.74</v>
      </c>
      <c r="F643" s="10">
        <v>4.3</v>
      </c>
      <c r="G643" s="7" t="s">
        <v>681</v>
      </c>
      <c r="I643" s="7"/>
      <c r="J643" s="7"/>
      <c r="K643" s="13" t="str">
        <f>IF(discount&gt;50%, product, "")</f>
        <v>Samsung EVO Plus 128GB microSDXC UHS-I U3 130MB/s Full HD &amp; 4K UHD Memory Card with Adapter (MB-MC128KA), Blue</v>
      </c>
      <c r="L643" s="7"/>
      <c r="M643" s="7"/>
      <c r="N643" s="7"/>
      <c r="O643" s="14"/>
      <c r="P643" s="14"/>
    </row>
    <row r="644">
      <c r="A644" s="7" t="s">
        <v>21</v>
      </c>
      <c r="B644" s="7" t="s">
        <v>15</v>
      </c>
      <c r="C644" s="8">
        <v>149.0</v>
      </c>
      <c r="D644" s="8">
        <v>1000.0</v>
      </c>
      <c r="E644" s="9">
        <v>0.85</v>
      </c>
      <c r="F644" s="10">
        <v>3.9</v>
      </c>
      <c r="G644" s="11">
        <v>24870.0</v>
      </c>
      <c r="I644" s="7"/>
      <c r="J644" s="7"/>
      <c r="K644" s="13" t="str">
        <f>IF(discount&gt;50%, product, "")</f>
        <v>pTron Solero TB301 3A Type-C Data and Fast Charging Cable, Made in India, 480Mbps Data Sync, Strong and Durable 1.5-Meter Nylon Braided USB Cable for Type-C Devices for Charging Adapter (Black)</v>
      </c>
      <c r="L644" s="7"/>
      <c r="M644" s="7"/>
      <c r="N644" s="7"/>
      <c r="O644" s="14"/>
      <c r="P644" s="14"/>
    </row>
    <row r="645">
      <c r="A645" s="7" t="s">
        <v>682</v>
      </c>
      <c r="B645" s="7" t="s">
        <v>683</v>
      </c>
      <c r="C645" s="8">
        <v>717.0</v>
      </c>
      <c r="D645" s="8">
        <v>761.0</v>
      </c>
      <c r="E645" s="9">
        <v>0.06</v>
      </c>
      <c r="F645" s="10">
        <v>4.0</v>
      </c>
      <c r="G645" s="11">
        <v>7199.0</v>
      </c>
      <c r="I645" s="7"/>
      <c r="J645" s="7"/>
      <c r="K645" s="13" t="str">
        <f>IF(discount&gt;50%, product, "")</f>
        <v/>
      </c>
      <c r="L645" s="7"/>
      <c r="M645" s="7"/>
      <c r="N645" s="7"/>
      <c r="O645" s="14"/>
      <c r="P645" s="14"/>
    </row>
    <row r="646">
      <c r="A646" s="7" t="s">
        <v>453</v>
      </c>
      <c r="B646" s="7" t="s">
        <v>454</v>
      </c>
      <c r="C646" s="8">
        <v>99.0</v>
      </c>
      <c r="D646" s="8">
        <v>999.0</v>
      </c>
      <c r="E646" s="9">
        <v>0.9</v>
      </c>
      <c r="F646" s="10">
        <v>4.0</v>
      </c>
      <c r="G646" s="11">
        <v>1396.0</v>
      </c>
      <c r="I646" s="7"/>
      <c r="J646" s="7"/>
      <c r="K646" s="13" t="str">
        <f>IF(discount&gt;50%, product, "")</f>
        <v>Sounce Spiral Charger Cable Protector Data Cable Saver Charging Cord Protective Cable Cover Headphone MacBook Laptop Earphone Cell Phone Set of 3 (Cable Protector (12 Units))</v>
      </c>
      <c r="L646" s="7"/>
      <c r="M646" s="7"/>
      <c r="N646" s="7"/>
      <c r="O646" s="14"/>
      <c r="P646" s="14"/>
    </row>
    <row r="647">
      <c r="A647" s="7" t="s">
        <v>684</v>
      </c>
      <c r="B647" s="7" t="s">
        <v>685</v>
      </c>
      <c r="C647" s="8">
        <v>39.0</v>
      </c>
      <c r="D647" s="8">
        <v>299.0</v>
      </c>
      <c r="E647" s="9">
        <v>0.87</v>
      </c>
      <c r="F647" s="10">
        <v>3.5</v>
      </c>
      <c r="G647" s="11">
        <v>15233.0</v>
      </c>
      <c r="I647" s="7"/>
      <c r="J647" s="7"/>
      <c r="K647" s="13" t="str">
        <f>IF(discount&gt;50%, product, "")</f>
        <v>GIZGA essentials Universal Silicone Keyboard Protector Skin for 15.6-inches Laptop (5 x 6 x 3 inches)</v>
      </c>
      <c r="L647" s="7"/>
      <c r="M647" s="7"/>
      <c r="N647" s="7"/>
      <c r="O647" s="14"/>
      <c r="P647" s="14"/>
    </row>
    <row r="648">
      <c r="A648" s="7" t="s">
        <v>686</v>
      </c>
      <c r="B648" s="7" t="s">
        <v>622</v>
      </c>
      <c r="C648" s="8">
        <v>889.0</v>
      </c>
      <c r="D648" s="8">
        <v>2500.0</v>
      </c>
      <c r="E648" s="9">
        <v>0.64</v>
      </c>
      <c r="F648" s="10">
        <v>4.3</v>
      </c>
      <c r="G648" s="11">
        <v>55747.0</v>
      </c>
      <c r="I648" s="7"/>
      <c r="J648" s="7"/>
      <c r="K648" s="13" t="str">
        <f>IF(discount&gt;50%, product, "")</f>
        <v>SanDisk Ultra 128 GB USB 3.0 Pen Drive (Black)</v>
      </c>
      <c r="L648" s="7"/>
      <c r="M648" s="7"/>
      <c r="N648" s="7"/>
      <c r="O648" s="14"/>
      <c r="P648" s="14"/>
    </row>
    <row r="649">
      <c r="A649" s="7" t="s">
        <v>687</v>
      </c>
      <c r="B649" s="7" t="s">
        <v>393</v>
      </c>
      <c r="C649" s="8">
        <v>1199.0</v>
      </c>
      <c r="D649" s="8">
        <v>4999.0</v>
      </c>
      <c r="E649" s="9">
        <v>0.76</v>
      </c>
      <c r="F649" s="10">
        <v>3.8</v>
      </c>
      <c r="G649" s="11">
        <v>14961.0</v>
      </c>
      <c r="I649" s="7"/>
      <c r="J649" s="7"/>
      <c r="K649" s="13" t="str">
        <f>IF(discount&gt;50%, product, "")</f>
        <v>Boult Audio ZCharge Bluetooth Wireless in Ear Earphones with Mic, 40H Playtime and Super Fast Charging, Environmental Noise Cancellation for Pro+ Calling and IPX5 Water Resistant (Black)</v>
      </c>
      <c r="L649" s="7"/>
      <c r="M649" s="7"/>
      <c r="N649" s="7"/>
      <c r="O649" s="14"/>
      <c r="P649" s="14"/>
    </row>
    <row r="650">
      <c r="A650" s="7" t="s">
        <v>688</v>
      </c>
      <c r="B650" s="7" t="s">
        <v>625</v>
      </c>
      <c r="C650" s="8">
        <v>569.0</v>
      </c>
      <c r="D650" s="8">
        <v>1299.0</v>
      </c>
      <c r="E650" s="9">
        <v>0.56</v>
      </c>
      <c r="F650" s="10">
        <v>4.4</v>
      </c>
      <c r="G650" s="11">
        <v>9275.0</v>
      </c>
      <c r="I650" s="7"/>
      <c r="J650" s="7"/>
      <c r="K650" s="13" t="str">
        <f>IF(discount&gt;50%, product, "")</f>
        <v>Dell WM118 Wireless Mouse, 2.4 Ghz with USB Nano Receiver, Optical Tracking, 12-Months Battery Life, Ambidextrous, Pc/Mac/Laptop - Black.</v>
      </c>
      <c r="L650" s="7"/>
      <c r="M650" s="7"/>
      <c r="N650" s="7"/>
      <c r="O650" s="14"/>
      <c r="P650" s="14"/>
    </row>
    <row r="651">
      <c r="A651" s="7" t="s">
        <v>689</v>
      </c>
      <c r="B651" s="7" t="s">
        <v>393</v>
      </c>
      <c r="C651" s="8">
        <v>1499.0</v>
      </c>
      <c r="D651" s="8">
        <v>8999.0</v>
      </c>
      <c r="E651" s="9">
        <v>0.83</v>
      </c>
      <c r="F651" s="10">
        <v>3.7</v>
      </c>
      <c r="G651" s="11">
        <v>28324.0</v>
      </c>
      <c r="I651" s="7"/>
      <c r="J651" s="7"/>
      <c r="K651" s="13" t="str">
        <f>IF(discount&gt;50%, product, "")</f>
        <v>Boult Audio AirBass PowerBuds with Inbuilt Powerbank, 120H Total Playtime, IPX7 Fully Waterproof, Lightning Boult Type-C Fast Charging, Low Latency Gaming, TWS Earbuds with Pro+ Calling Mic (Black)</v>
      </c>
      <c r="L651" s="7"/>
      <c r="M651" s="7"/>
      <c r="N651" s="7"/>
      <c r="O651" s="14"/>
      <c r="P651" s="14"/>
    </row>
    <row r="652">
      <c r="A652" s="7" t="s">
        <v>690</v>
      </c>
      <c r="B652" s="7" t="s">
        <v>652</v>
      </c>
      <c r="C652" s="8">
        <v>149.0</v>
      </c>
      <c r="D652" s="8">
        <v>180.0</v>
      </c>
      <c r="E652" s="9">
        <v>0.17</v>
      </c>
      <c r="F652" s="10">
        <v>4.4</v>
      </c>
      <c r="G652" s="10">
        <v>644.0</v>
      </c>
      <c r="I652" s="7"/>
      <c r="J652" s="7"/>
      <c r="K652" s="13" t="str">
        <f>IF(discount&gt;50%, product, "")</f>
        <v/>
      </c>
      <c r="L652" s="7"/>
      <c r="M652" s="7"/>
      <c r="N652" s="7"/>
      <c r="O652" s="14"/>
      <c r="P652" s="14"/>
    </row>
    <row r="653">
      <c r="A653" s="7" t="s">
        <v>691</v>
      </c>
      <c r="B653" s="7" t="s">
        <v>692</v>
      </c>
      <c r="C653" s="8">
        <v>399.0</v>
      </c>
      <c r="D653" s="8">
        <v>549.0</v>
      </c>
      <c r="E653" s="9">
        <v>0.27</v>
      </c>
      <c r="F653" s="10">
        <v>4.4</v>
      </c>
      <c r="G653" s="11">
        <v>18139.0</v>
      </c>
      <c r="I653" s="7"/>
      <c r="J653" s="7"/>
      <c r="K653" s="13" t="str">
        <f>IF(discount&gt;50%, product, "")</f>
        <v/>
      </c>
      <c r="L653" s="7"/>
      <c r="M653" s="7"/>
      <c r="N653" s="7"/>
      <c r="O653" s="14"/>
      <c r="P653" s="14"/>
    </row>
    <row r="654">
      <c r="A654" s="7" t="s">
        <v>693</v>
      </c>
      <c r="B654" s="7" t="s">
        <v>694</v>
      </c>
      <c r="C654" s="8">
        <v>191.0</v>
      </c>
      <c r="D654" s="8">
        <v>225.0</v>
      </c>
      <c r="E654" s="9">
        <v>0.15</v>
      </c>
      <c r="F654" s="10">
        <v>4.4</v>
      </c>
      <c r="G654" s="11">
        <v>7203.0</v>
      </c>
      <c r="I654" s="7"/>
      <c r="J654" s="7"/>
      <c r="K654" s="13" t="str">
        <f>IF(discount&gt;50%, product, "")</f>
        <v/>
      </c>
      <c r="L654" s="7"/>
      <c r="M654" s="7"/>
      <c r="N654" s="7"/>
      <c r="O654" s="14"/>
      <c r="P654" s="14"/>
    </row>
    <row r="655">
      <c r="A655" s="7" t="s">
        <v>695</v>
      </c>
      <c r="B655" s="7" t="s">
        <v>696</v>
      </c>
      <c r="C655" s="8">
        <v>129.0</v>
      </c>
      <c r="D655" s="8">
        <v>999.0</v>
      </c>
      <c r="E655" s="9">
        <v>0.87</v>
      </c>
      <c r="F655" s="10">
        <v>4.2</v>
      </c>
      <c r="G655" s="10">
        <v>491.0</v>
      </c>
      <c r="I655" s="7"/>
      <c r="J655" s="7"/>
      <c r="K655" s="13" t="str">
        <f>IF(discount&gt;50%, product, "")</f>
        <v>STRIFF Mpad Mouse Mat 230X190X3mm Gaming Mouse Pad, Non-Slip Rubber Base, Waterproof Surface, Premium-Textured, Compatible with Laser and Optical Mice(Universe Black)</v>
      </c>
      <c r="L655" s="7"/>
      <c r="M655" s="7"/>
      <c r="N655" s="7"/>
      <c r="O655" s="14"/>
      <c r="P655" s="14"/>
    </row>
    <row r="656">
      <c r="A656" s="7" t="s">
        <v>697</v>
      </c>
      <c r="B656" s="7" t="s">
        <v>698</v>
      </c>
      <c r="C656" s="8">
        <v>199.0</v>
      </c>
      <c r="D656" s="8">
        <v>599.0</v>
      </c>
      <c r="E656" s="9">
        <v>0.67</v>
      </c>
      <c r="F656" s="10">
        <v>4.5</v>
      </c>
      <c r="G656" s="11">
        <v>13568.0</v>
      </c>
      <c r="I656" s="7"/>
      <c r="J656" s="7"/>
      <c r="K656" s="13" t="str">
        <f>IF(discount&gt;50%, product, "")</f>
        <v>Gizga Essentials Hard Drive Case Shell, 6.35cm/2.5-inch, Portable Storage Organizer Bag for Earphone USB Cable Power Bank Mobile Charger Digital Gadget Hard Disk, Water Resistance Material, Black</v>
      </c>
      <c r="L656" s="7"/>
      <c r="M656" s="7"/>
      <c r="N656" s="7"/>
      <c r="O656" s="14"/>
      <c r="P656" s="14"/>
    </row>
    <row r="657">
      <c r="A657" s="7" t="s">
        <v>699</v>
      </c>
      <c r="B657" s="7" t="s">
        <v>393</v>
      </c>
      <c r="C657" s="8">
        <v>999.0</v>
      </c>
      <c r="D657" s="8">
        <v>4499.0</v>
      </c>
      <c r="E657" s="9">
        <v>0.78</v>
      </c>
      <c r="F657" s="10">
        <v>3.8</v>
      </c>
      <c r="G657" s="11">
        <v>3390.0</v>
      </c>
      <c r="I657" s="7"/>
      <c r="J657" s="7"/>
      <c r="K657" s="13" t="str">
        <f>IF(discount&gt;50%, product, "")</f>
        <v>Boult Audio FXCharge with ENC, 32H Playtime, 5min=7H Type C Fast Charging, Zen ENC, 14.2 mm BoomX Rich Bass, IPX5, Bluetooth Wireless in Ear Earphones Neckband with mic (Black)</v>
      </c>
      <c r="L657" s="7"/>
      <c r="M657" s="7"/>
      <c r="N657" s="7"/>
      <c r="O657" s="14"/>
      <c r="P657" s="14"/>
    </row>
    <row r="658">
      <c r="A658" s="7" t="s">
        <v>700</v>
      </c>
      <c r="B658" s="7" t="s">
        <v>393</v>
      </c>
      <c r="C658" s="8">
        <v>899.0</v>
      </c>
      <c r="D658" s="8">
        <v>4499.0</v>
      </c>
      <c r="E658" s="9">
        <v>0.8</v>
      </c>
      <c r="F658" s="10">
        <v>3.8</v>
      </c>
      <c r="G658" s="7" t="s">
        <v>701</v>
      </c>
      <c r="I658" s="7"/>
      <c r="J658" s="7"/>
      <c r="K658" s="13" t="str">
        <f>IF(discount&gt;50%, product, "")</f>
        <v>Boult Audio Probass Curve Bluetooth Wireless in Ear Earphones with Mic with Ipx5 Water Resistant, 12H Battery Life &amp; Extra Bass (Black)</v>
      </c>
      <c r="L658" s="7"/>
      <c r="M658" s="7"/>
      <c r="N658" s="7"/>
      <c r="O658" s="14"/>
      <c r="P658" s="14"/>
    </row>
    <row r="659">
      <c r="A659" s="7" t="s">
        <v>463</v>
      </c>
      <c r="B659" s="7" t="s">
        <v>377</v>
      </c>
      <c r="C659" s="8">
        <v>1799.0</v>
      </c>
      <c r="D659" s="8">
        <v>2499.0</v>
      </c>
      <c r="E659" s="9">
        <v>0.28</v>
      </c>
      <c r="F659" s="10">
        <v>4.1</v>
      </c>
      <c r="G659" s="11">
        <v>18678.0</v>
      </c>
      <c r="I659" s="7"/>
      <c r="J659" s="7"/>
      <c r="K659" s="13" t="str">
        <f>IF(discount&gt;50%, product, "")</f>
        <v/>
      </c>
      <c r="L659" s="7"/>
      <c r="M659" s="7"/>
      <c r="N659" s="7"/>
      <c r="O659" s="14"/>
      <c r="P659" s="14"/>
    </row>
    <row r="660">
      <c r="A660" s="7" t="s">
        <v>22</v>
      </c>
      <c r="B660" s="7" t="s">
        <v>15</v>
      </c>
      <c r="C660" s="8">
        <v>176.63</v>
      </c>
      <c r="D660" s="8">
        <v>499.0</v>
      </c>
      <c r="E660" s="9">
        <v>0.65</v>
      </c>
      <c r="F660" s="10">
        <v>4.1</v>
      </c>
      <c r="G660" s="11">
        <v>15189.0</v>
      </c>
      <c r="I660" s="7"/>
      <c r="J660" s="7"/>
      <c r="K660" s="13" t="str">
        <f>IF(discount&gt;50%, product, "")</f>
        <v>boAt Micro USB 55 Tangle-free, Sturdy Micro USB Cable with 3A Fast Charging &amp; 480mbps Data Transmission (Black)</v>
      </c>
      <c r="L660" s="7"/>
      <c r="M660" s="7"/>
      <c r="N660" s="7"/>
      <c r="O660" s="14"/>
      <c r="P660" s="14"/>
    </row>
    <row r="661">
      <c r="A661" s="7" t="s">
        <v>702</v>
      </c>
      <c r="B661" s="7" t="s">
        <v>674</v>
      </c>
      <c r="C661" s="8">
        <v>522.0</v>
      </c>
      <c r="D661" s="8">
        <v>550.0</v>
      </c>
      <c r="E661" s="9">
        <v>0.05</v>
      </c>
      <c r="F661" s="10">
        <v>4.4</v>
      </c>
      <c r="G661" s="11">
        <v>12179.0</v>
      </c>
      <c r="I661" s="7"/>
      <c r="J661" s="7"/>
      <c r="K661" s="13" t="str">
        <f>IF(discount&gt;50%, product, "")</f>
        <v/>
      </c>
      <c r="L661" s="7"/>
      <c r="M661" s="7"/>
      <c r="N661" s="7"/>
      <c r="O661" s="14"/>
      <c r="P661" s="14"/>
    </row>
    <row r="662">
      <c r="A662" s="7" t="s">
        <v>703</v>
      </c>
      <c r="B662" s="7" t="s">
        <v>704</v>
      </c>
      <c r="C662" s="8">
        <v>799.0</v>
      </c>
      <c r="D662" s="8">
        <v>1999.0</v>
      </c>
      <c r="E662" s="9">
        <v>0.6</v>
      </c>
      <c r="F662" s="10">
        <v>3.8</v>
      </c>
      <c r="G662" s="11">
        <v>12958.0</v>
      </c>
      <c r="I662" s="7"/>
      <c r="J662" s="7"/>
      <c r="K662" s="13" t="str">
        <f>IF(discount&gt;50%, product, "")</f>
        <v>Tygot 10 Inches Big LED Ring Light for Camera, Phone tiktok YouTube Video Shooting and Makeup, 10" inch Ring Light with 7 Feet Long Foldable and Lightweight Tripod Stand</v>
      </c>
      <c r="L662" s="7"/>
      <c r="M662" s="7"/>
      <c r="N662" s="7"/>
      <c r="O662" s="14"/>
      <c r="P662" s="14"/>
    </row>
    <row r="663">
      <c r="A663" s="7" t="s">
        <v>705</v>
      </c>
      <c r="B663" s="7" t="s">
        <v>625</v>
      </c>
      <c r="C663" s="8">
        <v>681.0</v>
      </c>
      <c r="D663" s="8">
        <v>1199.0</v>
      </c>
      <c r="E663" s="9">
        <v>0.43</v>
      </c>
      <c r="F663" s="10">
        <v>4.2</v>
      </c>
      <c r="G663" s="11">
        <v>8258.0</v>
      </c>
      <c r="I663" s="7"/>
      <c r="J663" s="7"/>
      <c r="K663" s="13" t="str">
        <f>IF(discount&gt;50%, product, "")</f>
        <v/>
      </c>
      <c r="L663" s="7"/>
      <c r="M663" s="7"/>
      <c r="N663" s="7"/>
      <c r="O663" s="14"/>
      <c r="P663" s="14"/>
    </row>
    <row r="664">
      <c r="A664" s="7" t="s">
        <v>706</v>
      </c>
      <c r="B664" s="7" t="s">
        <v>707</v>
      </c>
      <c r="C664" s="8">
        <v>1199.0</v>
      </c>
      <c r="D664" s="8">
        <v>3490.0</v>
      </c>
      <c r="E664" s="9">
        <v>0.66</v>
      </c>
      <c r="F664" s="10">
        <v>4.1</v>
      </c>
      <c r="G664" s="11">
        <v>11716.0</v>
      </c>
      <c r="I664" s="7"/>
      <c r="J664" s="7"/>
      <c r="K664" s="13" t="str">
        <f>IF(discount&gt;50%, product, "")</f>
        <v>Oakter Mini UPS for 12V WiFi Router Broadband Modem | Backup Upto 4 Hours | WiFi Router UPS Power Backup During Power Cuts | UPS for 12V Router Broadband Modem | Current Surge &amp; Deep Discharge Protection</v>
      </c>
      <c r="L664" s="7"/>
      <c r="M664" s="7"/>
      <c r="N664" s="7"/>
      <c r="O664" s="14"/>
      <c r="P664" s="14"/>
    </row>
    <row r="665">
      <c r="A665" s="7" t="s">
        <v>708</v>
      </c>
      <c r="B665" s="7" t="s">
        <v>709</v>
      </c>
      <c r="C665" s="8">
        <v>2499.0</v>
      </c>
      <c r="D665" s="8">
        <v>4999.0</v>
      </c>
      <c r="E665" s="9">
        <v>0.5</v>
      </c>
      <c r="F665" s="10">
        <v>4.4</v>
      </c>
      <c r="G665" s="11">
        <v>35024.0</v>
      </c>
      <c r="I665" s="7"/>
      <c r="J665" s="7"/>
      <c r="K665" s="13" t="str">
        <f>IF(discount&gt;50%, product, "")</f>
        <v/>
      </c>
      <c r="L665" s="7"/>
      <c r="M665" s="7"/>
      <c r="N665" s="7"/>
      <c r="O665" s="14"/>
      <c r="P665" s="14"/>
    </row>
    <row r="666">
      <c r="A666" s="7" t="s">
        <v>710</v>
      </c>
      <c r="B666" s="7" t="s">
        <v>711</v>
      </c>
      <c r="C666" s="8">
        <v>1799.0</v>
      </c>
      <c r="D666" s="8">
        <v>4999.0</v>
      </c>
      <c r="E666" s="9">
        <v>0.64</v>
      </c>
      <c r="F666" s="10">
        <v>4.1</v>
      </c>
      <c r="G666" s="11">
        <v>55192.0</v>
      </c>
      <c r="I666" s="7"/>
      <c r="J666" s="7"/>
      <c r="K666" s="13" t="str">
        <f>IF(discount&gt;50%, product, "")</f>
        <v>boAt Rockerz 550 Over Ear Bluetooth Headphones with Upto 20 Hours Playback, 50MM Drivers, Soft Padded Ear Cushions and Physical Noise Isolation, Without Mic (Black)</v>
      </c>
      <c r="L666" s="7"/>
      <c r="M666" s="7"/>
      <c r="N666" s="7"/>
      <c r="O666" s="14"/>
      <c r="P666" s="14"/>
    </row>
    <row r="667">
      <c r="A667" s="7" t="s">
        <v>712</v>
      </c>
      <c r="B667" s="7" t="s">
        <v>393</v>
      </c>
      <c r="C667" s="8">
        <v>429.0</v>
      </c>
      <c r="D667" s="8">
        <v>599.0</v>
      </c>
      <c r="E667" s="9">
        <v>0.28</v>
      </c>
      <c r="F667" s="10">
        <v>4.1</v>
      </c>
      <c r="G667" s="7" t="s">
        <v>713</v>
      </c>
      <c r="I667" s="7"/>
      <c r="J667" s="7"/>
      <c r="K667" s="13" t="str">
        <f>IF(discount&gt;50%, product, "")</f>
        <v/>
      </c>
      <c r="L667" s="7"/>
      <c r="M667" s="7"/>
      <c r="N667" s="7"/>
      <c r="O667" s="14"/>
      <c r="P667" s="14"/>
    </row>
    <row r="668">
      <c r="A668" s="7" t="s">
        <v>714</v>
      </c>
      <c r="B668" s="7" t="s">
        <v>627</v>
      </c>
      <c r="C668" s="8">
        <v>100.0</v>
      </c>
      <c r="D668" s="8">
        <v>499.0</v>
      </c>
      <c r="E668" s="9">
        <v>0.8</v>
      </c>
      <c r="F668" s="10">
        <v>3.5</v>
      </c>
      <c r="G668" s="11">
        <v>9638.0</v>
      </c>
      <c r="I668" s="7"/>
      <c r="J668" s="7"/>
      <c r="K668" s="13" t="str">
        <f>IF(discount&gt;50%, product, "")</f>
        <v>Zodo 8. 5 inch LCD E-Writer Electronic Writing Pad/Tablet Drawing Board (Paperless Memo Digital Tablet)</v>
      </c>
      <c r="L668" s="7"/>
      <c r="M668" s="7"/>
      <c r="N668" s="7"/>
      <c r="O668" s="14"/>
      <c r="P668" s="14"/>
    </row>
    <row r="669">
      <c r="A669" s="7" t="s">
        <v>715</v>
      </c>
      <c r="B669" s="7" t="s">
        <v>647</v>
      </c>
      <c r="C669" s="8">
        <v>329.0</v>
      </c>
      <c r="D669" s="8">
        <v>399.0</v>
      </c>
      <c r="E669" s="9">
        <v>0.18</v>
      </c>
      <c r="F669" s="10">
        <v>3.6</v>
      </c>
      <c r="G669" s="11">
        <v>33735.0</v>
      </c>
      <c r="I669" s="7"/>
      <c r="J669" s="7"/>
      <c r="K669" s="13" t="str">
        <f>IF(discount&gt;50%, product, "")</f>
        <v/>
      </c>
      <c r="L669" s="7"/>
      <c r="M669" s="7"/>
      <c r="N669" s="7"/>
      <c r="O669" s="14"/>
      <c r="P669" s="14"/>
    </row>
    <row r="670">
      <c r="A670" s="7" t="s">
        <v>23</v>
      </c>
      <c r="B670" s="7" t="s">
        <v>15</v>
      </c>
      <c r="C670" s="8">
        <v>229.0</v>
      </c>
      <c r="D670" s="8">
        <v>299.0</v>
      </c>
      <c r="E670" s="9">
        <v>0.23</v>
      </c>
      <c r="F670" s="10">
        <v>4.3</v>
      </c>
      <c r="G670" s="11">
        <v>30411.0</v>
      </c>
      <c r="I670" s="7"/>
      <c r="J670" s="7"/>
      <c r="K670" s="13" t="str">
        <f>IF(discount&gt;50%, product, "")</f>
        <v/>
      </c>
      <c r="L670" s="7"/>
      <c r="M670" s="7"/>
      <c r="N670" s="7"/>
      <c r="O670" s="14"/>
      <c r="P670" s="14"/>
    </row>
    <row r="671">
      <c r="A671" s="7" t="s">
        <v>716</v>
      </c>
      <c r="B671" s="7" t="s">
        <v>625</v>
      </c>
      <c r="C671" s="8">
        <v>139.0</v>
      </c>
      <c r="D671" s="8">
        <v>299.0</v>
      </c>
      <c r="E671" s="9">
        <v>0.54</v>
      </c>
      <c r="F671" s="10">
        <v>3.8</v>
      </c>
      <c r="G671" s="11">
        <v>3044.0</v>
      </c>
      <c r="I671" s="7"/>
      <c r="J671" s="7"/>
      <c r="K671" s="13" t="str">
        <f>IF(discount&gt;50%, product, "")</f>
        <v>ZEBRONICS Zeb-Comfort Wired USB Mouse, 3-Button, 1000 DPI Optical Sensor, Plug &amp; Play, for Windows/Mac, Black</v>
      </c>
      <c r="L671" s="7"/>
      <c r="M671" s="7"/>
      <c r="N671" s="7"/>
      <c r="O671" s="14"/>
      <c r="P671" s="14"/>
    </row>
    <row r="672">
      <c r="A672" s="7" t="s">
        <v>717</v>
      </c>
      <c r="B672" s="7" t="s">
        <v>572</v>
      </c>
      <c r="C672" s="8">
        <v>1199.0</v>
      </c>
      <c r="D672" s="8">
        <v>2499.0</v>
      </c>
      <c r="E672" s="9">
        <v>0.52</v>
      </c>
      <c r="F672" s="10">
        <v>4.0</v>
      </c>
      <c r="G672" s="11">
        <v>33584.0</v>
      </c>
      <c r="I672" s="7"/>
      <c r="J672" s="7"/>
      <c r="K672" s="13" t="str">
        <f>IF(discount&gt;50%, product, "")</f>
        <v>boAt Rockerz 370 On Ear Bluetooth Headphones with Upto 12 Hours Playtime, Cozy Padded Earcups and Bluetooth v5.0, with Mic (Buoyant Black)</v>
      </c>
      <c r="L672" s="7"/>
      <c r="M672" s="7"/>
      <c r="N672" s="7"/>
      <c r="O672" s="14"/>
      <c r="P672" s="14"/>
    </row>
    <row r="673">
      <c r="A673" s="7" t="s">
        <v>718</v>
      </c>
      <c r="B673" s="7" t="s">
        <v>719</v>
      </c>
      <c r="C673" s="8">
        <v>1049.0</v>
      </c>
      <c r="D673" s="8">
        <v>2299.0</v>
      </c>
      <c r="E673" s="9">
        <v>0.54</v>
      </c>
      <c r="F673" s="10">
        <v>3.9</v>
      </c>
      <c r="G673" s="11">
        <v>1779.0</v>
      </c>
      <c r="I673" s="7"/>
      <c r="J673" s="7"/>
      <c r="K673" s="13" t="str">
        <f>IF(discount&gt;50%, product, "")</f>
        <v>ZEBRONICS Zeb-Astra 20 Wireless BT v5.0 Portable Speaker with 10W RMS Output, TWS, 10H Backup Approx, Built in Rechargeable Battery FM Radio, AUX, mSD, USB, Call Function and Dual 52mm Drivers Multi</v>
      </c>
      <c r="L673" s="7"/>
      <c r="M673" s="7"/>
      <c r="N673" s="7"/>
      <c r="O673" s="14"/>
      <c r="P673" s="14"/>
    </row>
    <row r="674">
      <c r="A674" s="7" t="s">
        <v>468</v>
      </c>
      <c r="B674" s="7" t="s">
        <v>469</v>
      </c>
      <c r="C674" s="8">
        <v>119.0</v>
      </c>
      <c r="D674" s="8">
        <v>299.0</v>
      </c>
      <c r="E674" s="9">
        <v>0.6</v>
      </c>
      <c r="F674" s="10">
        <v>4.1</v>
      </c>
      <c r="G674" s="11">
        <v>5999.0</v>
      </c>
      <c r="I674" s="7"/>
      <c r="J674" s="7"/>
      <c r="K674" s="13" t="str">
        <f>IF(discount&gt;50%, product, "")</f>
        <v>Gizga Essentials Spiral Cable Protector Cord Saver for Mac Charger, iPhone Charger, Wire Protector, Lightweight Durable Flexible Wire Winder for Charging Cables, Data Cables, Earphones, Pack of 10</v>
      </c>
      <c r="L674" s="7"/>
      <c r="M674" s="7"/>
      <c r="N674" s="7"/>
      <c r="O674" s="14"/>
      <c r="P674" s="14"/>
    </row>
    <row r="675">
      <c r="A675" s="7" t="s">
        <v>28</v>
      </c>
      <c r="B675" s="7" t="s">
        <v>15</v>
      </c>
      <c r="C675" s="8">
        <v>154.0</v>
      </c>
      <c r="D675" s="8">
        <v>339.0</v>
      </c>
      <c r="E675" s="9">
        <v>0.55</v>
      </c>
      <c r="F675" s="10">
        <v>4.3</v>
      </c>
      <c r="G675" s="11">
        <v>13391.0</v>
      </c>
      <c r="I675" s="7"/>
      <c r="J675" s="7"/>
      <c r="K675" s="13" t="str">
        <f>IF(discount&gt;50%, product, "")</f>
        <v>Portronics Konnect L POR-1081 Fast Charging 3A Type-C Cable 1.2Meter with Charge &amp; Sync Function for All Type-C Devices (Grey)</v>
      </c>
      <c r="L675" s="7"/>
      <c r="M675" s="7"/>
      <c r="N675" s="7"/>
      <c r="O675" s="14"/>
      <c r="P675" s="14"/>
    </row>
    <row r="676">
      <c r="A676" s="7" t="s">
        <v>720</v>
      </c>
      <c r="B676" s="7" t="s">
        <v>721</v>
      </c>
      <c r="C676" s="8">
        <v>225.0</v>
      </c>
      <c r="D676" s="8">
        <v>250.0</v>
      </c>
      <c r="E676" s="9">
        <v>0.1</v>
      </c>
      <c r="F676" s="10">
        <v>4.4</v>
      </c>
      <c r="G676" s="11">
        <v>26556.0</v>
      </c>
      <c r="I676" s="7"/>
      <c r="J676" s="7"/>
      <c r="K676" s="13" t="str">
        <f>IF(discount&gt;50%, product, "")</f>
        <v/>
      </c>
      <c r="L676" s="7"/>
      <c r="M676" s="7"/>
      <c r="N676" s="7"/>
      <c r="O676" s="14"/>
      <c r="P676" s="14"/>
    </row>
    <row r="677">
      <c r="A677" s="7" t="s">
        <v>722</v>
      </c>
      <c r="B677" s="7" t="s">
        <v>631</v>
      </c>
      <c r="C677" s="8">
        <v>656.0</v>
      </c>
      <c r="D677" s="8">
        <v>1499.0</v>
      </c>
      <c r="E677" s="9">
        <v>0.56</v>
      </c>
      <c r="F677" s="10">
        <v>4.3</v>
      </c>
      <c r="G677" s="11">
        <v>25903.0</v>
      </c>
      <c r="I677" s="7"/>
      <c r="J677" s="7"/>
      <c r="K677" s="13" t="str">
        <f>IF(discount&gt;50%, product, "")</f>
        <v>MemeHo® Smart Standard Multi-Purpose Laptop Table with Dock Stand/Study Table/Bed Table/Foldable and Portable/Ergonomic &amp; Rounded Edges/Non-Slip Legs/Engineered Wood with Cup Holder (Black)</v>
      </c>
      <c r="L677" s="7"/>
      <c r="M677" s="7"/>
      <c r="N677" s="7"/>
      <c r="O677" s="14"/>
      <c r="P677" s="14"/>
    </row>
    <row r="678">
      <c r="A678" s="7" t="s">
        <v>723</v>
      </c>
      <c r="B678" s="7" t="s">
        <v>622</v>
      </c>
      <c r="C678" s="8">
        <v>1109.0</v>
      </c>
      <c r="D678" s="8">
        <v>2800.0</v>
      </c>
      <c r="E678" s="9">
        <v>0.6</v>
      </c>
      <c r="F678" s="10">
        <v>4.3</v>
      </c>
      <c r="G678" s="11">
        <v>53464.0</v>
      </c>
      <c r="I678" s="7"/>
      <c r="J678" s="7"/>
      <c r="K678" s="13" t="str">
        <f>IF(discount&gt;50%, product, "")</f>
        <v>SanDisk Ultra Dual Drive Go USB Type C Pendrive for Mobile (Black, 128 GB, 5Y - SDDDC3-128G-I35)</v>
      </c>
      <c r="L678" s="7"/>
      <c r="M678" s="7"/>
      <c r="N678" s="7"/>
      <c r="O678" s="14"/>
      <c r="P678" s="14"/>
    </row>
    <row r="679">
      <c r="A679" s="7" t="s">
        <v>465</v>
      </c>
      <c r="B679" s="7" t="s">
        <v>373</v>
      </c>
      <c r="C679" s="8">
        <v>2999.0</v>
      </c>
      <c r="D679" s="8">
        <v>7990.0</v>
      </c>
      <c r="E679" s="9">
        <v>0.62</v>
      </c>
      <c r="F679" s="10">
        <v>4.1</v>
      </c>
      <c r="G679" s="11">
        <v>48448.0</v>
      </c>
      <c r="I679" s="7"/>
      <c r="J679" s="7"/>
      <c r="K679" s="13" t="str">
        <f>IF(discount&gt;50%, product, "")</f>
        <v>boAt Xtend Smartwatch with Alexa Built-in, 1.69” HD Display, Multiple Watch Faces, Stress Monitor, Heart &amp; SpO2 Monitoring, 14 Sports Modes, Sleep Monitor, 5 ATM &amp; 7 Days Battery(Pitch Black)</v>
      </c>
      <c r="L679" s="7"/>
      <c r="M679" s="7"/>
      <c r="N679" s="7"/>
      <c r="O679" s="14"/>
      <c r="P679" s="14"/>
    </row>
    <row r="680">
      <c r="A680" s="7" t="s">
        <v>724</v>
      </c>
      <c r="B680" s="7" t="s">
        <v>696</v>
      </c>
      <c r="C680" s="8">
        <v>169.0</v>
      </c>
      <c r="D680" s="8">
        <v>299.0</v>
      </c>
      <c r="E680" s="9">
        <v>0.43</v>
      </c>
      <c r="F680" s="10">
        <v>4.4</v>
      </c>
      <c r="G680" s="11">
        <v>5176.0</v>
      </c>
      <c r="I680" s="7"/>
      <c r="J680" s="7"/>
      <c r="K680" s="13" t="str">
        <f>IF(discount&gt;50%, product, "")</f>
        <v/>
      </c>
      <c r="L680" s="7"/>
      <c r="M680" s="7"/>
      <c r="N680" s="7"/>
      <c r="O680" s="14"/>
      <c r="P680" s="14"/>
    </row>
    <row r="681">
      <c r="A681" s="7" t="s">
        <v>725</v>
      </c>
      <c r="B681" s="7" t="s">
        <v>683</v>
      </c>
      <c r="C681" s="8">
        <v>309.0</v>
      </c>
      <c r="D681" s="8">
        <v>404.0</v>
      </c>
      <c r="E681" s="9">
        <v>0.24</v>
      </c>
      <c r="F681" s="10">
        <v>4.4</v>
      </c>
      <c r="G681" s="11">
        <v>8614.0</v>
      </c>
      <c r="I681" s="7"/>
      <c r="J681" s="7"/>
      <c r="K681" s="13" t="str">
        <f>IF(discount&gt;50%, product, "")</f>
        <v/>
      </c>
      <c r="L681" s="7"/>
      <c r="M681" s="7"/>
      <c r="N681" s="7"/>
      <c r="O681" s="14"/>
      <c r="P681" s="14"/>
    </row>
    <row r="682">
      <c r="A682" s="7" t="s">
        <v>726</v>
      </c>
      <c r="B682" s="7" t="s">
        <v>572</v>
      </c>
      <c r="C682" s="8">
        <v>599.0</v>
      </c>
      <c r="D682" s="8">
        <v>1399.0</v>
      </c>
      <c r="E682" s="9">
        <v>0.57</v>
      </c>
      <c r="F682" s="10">
        <v>3.8</v>
      </c>
      <c r="G682" s="11">
        <v>60026.0</v>
      </c>
      <c r="I682" s="7"/>
      <c r="J682" s="7"/>
      <c r="K682" s="13" t="str">
        <f>IF(discount&gt;50%, product, "")</f>
        <v>ZEBRONICS Zeb-Thunder Bluetooth Wireless Over Ear Headphone FM, mSD, 9 hrs Playback with Mic (Black)</v>
      </c>
      <c r="L682" s="7"/>
      <c r="M682" s="7"/>
      <c r="N682" s="7"/>
      <c r="O682" s="14"/>
      <c r="P682" s="14"/>
    </row>
    <row r="683">
      <c r="A683" s="15" t="s">
        <v>727</v>
      </c>
      <c r="B683" s="7" t="s">
        <v>647</v>
      </c>
      <c r="C683" s="8">
        <v>299.0</v>
      </c>
      <c r="D683" s="8">
        <v>599.0</v>
      </c>
      <c r="E683" s="9">
        <v>0.5</v>
      </c>
      <c r="F683" s="10">
        <v>3.8</v>
      </c>
      <c r="G683" s="11">
        <v>3066.0</v>
      </c>
      <c r="I683" s="7"/>
      <c r="J683" s="7"/>
      <c r="K683" s="13" t="str">
        <f>IF(discount&gt;50%, product, "")</f>
        <v/>
      </c>
      <c r="L683" s="7"/>
      <c r="M683" s="7"/>
      <c r="N683" s="7"/>
      <c r="O683" s="14"/>
      <c r="P683" s="14"/>
    </row>
    <row r="684">
      <c r="A684" s="7" t="s">
        <v>728</v>
      </c>
      <c r="B684" s="7" t="s">
        <v>631</v>
      </c>
      <c r="C684" s="8">
        <v>449.0</v>
      </c>
      <c r="D684" s="8">
        <v>999.0</v>
      </c>
      <c r="E684" s="9">
        <v>0.55</v>
      </c>
      <c r="F684" s="10">
        <v>4.0</v>
      </c>
      <c r="G684" s="11">
        <v>2102.0</v>
      </c>
      <c r="I684" s="7"/>
      <c r="J684" s="7"/>
      <c r="K684" s="13" t="str">
        <f>IF(discount&gt;50%, product, "")</f>
        <v>STRIFF Laptop Tabletop Stand, Fold-Up, Adjustable, Ventilated, Portable Holder for Desk, Aluminum Foldable Laptop Ergonomic Compatibility with up to 15.6-inch Laptop, All Mac, Tab, and Mobile (Silver)</v>
      </c>
      <c r="L684" s="7"/>
      <c r="M684" s="7"/>
      <c r="N684" s="7"/>
      <c r="O684" s="14"/>
      <c r="P684" s="14"/>
    </row>
    <row r="685">
      <c r="A685" s="7" t="s">
        <v>729</v>
      </c>
      <c r="B685" s="7" t="s">
        <v>625</v>
      </c>
      <c r="C685" s="8">
        <v>799.0</v>
      </c>
      <c r="D685" s="8">
        <v>1295.0</v>
      </c>
      <c r="E685" s="9">
        <v>0.38</v>
      </c>
      <c r="F685" s="10">
        <v>4.4</v>
      </c>
      <c r="G685" s="11">
        <v>34852.0</v>
      </c>
      <c r="I685" s="7"/>
      <c r="J685" s="7"/>
      <c r="K685" s="13" t="str">
        <f>IF(discount&gt;50%, product, "")</f>
        <v/>
      </c>
      <c r="L685" s="7"/>
      <c r="M685" s="7"/>
      <c r="N685" s="7"/>
      <c r="O685" s="14"/>
      <c r="P685" s="14"/>
    </row>
    <row r="686">
      <c r="A686" s="7" t="s">
        <v>30</v>
      </c>
      <c r="B686" s="7" t="s">
        <v>31</v>
      </c>
      <c r="C686" s="8">
        <v>219.0</v>
      </c>
      <c r="D686" s="8">
        <v>700.0</v>
      </c>
      <c r="E686" s="9">
        <v>0.69</v>
      </c>
      <c r="F686" s="10">
        <v>4.4</v>
      </c>
      <c r="G686" s="7" t="s">
        <v>730</v>
      </c>
      <c r="I686" s="7"/>
      <c r="J686" s="7"/>
      <c r="K686" s="13" t="str">
        <f>IF(discount&gt;50%, product, "")</f>
        <v>AmazonBasics Flexible Premium HDMI Cable (Black, 4K@60Hz, 18Gbps), 3-Foot</v>
      </c>
      <c r="L686" s="7"/>
      <c r="M686" s="7"/>
      <c r="N686" s="7"/>
      <c r="O686" s="14"/>
      <c r="P686" s="14"/>
    </row>
    <row r="687">
      <c r="A687" s="7" t="s">
        <v>731</v>
      </c>
      <c r="B687" s="7" t="s">
        <v>732</v>
      </c>
      <c r="C687" s="8">
        <v>157.0</v>
      </c>
      <c r="D687" s="8">
        <v>160.0</v>
      </c>
      <c r="E687" s="9">
        <v>0.02</v>
      </c>
      <c r="F687" s="10">
        <v>4.5</v>
      </c>
      <c r="G687" s="11">
        <v>8618.0</v>
      </c>
      <c r="I687" s="7"/>
      <c r="J687" s="7"/>
      <c r="K687" s="13" t="str">
        <f>IF(discount&gt;50%, product, "")</f>
        <v/>
      </c>
      <c r="L687" s="7"/>
      <c r="M687" s="7"/>
      <c r="N687" s="7"/>
      <c r="O687" s="14"/>
      <c r="P687" s="14"/>
    </row>
    <row r="688">
      <c r="A688" s="7" t="s">
        <v>475</v>
      </c>
      <c r="B688" s="7" t="s">
        <v>386</v>
      </c>
      <c r="C688" s="8">
        <v>369.0</v>
      </c>
      <c r="D688" s="8">
        <v>1600.0</v>
      </c>
      <c r="E688" s="9">
        <v>0.77</v>
      </c>
      <c r="F688" s="10">
        <v>4.0</v>
      </c>
      <c r="G688" s="11">
        <v>32625.0</v>
      </c>
      <c r="I688" s="7"/>
      <c r="J688" s="7"/>
      <c r="K688" s="13" t="str">
        <f>IF(discount&gt;50%, product, "")</f>
        <v>HP 32GB Class 10 MicroSD Memory Card (U1 TF Card 32GB)</v>
      </c>
      <c r="L688" s="7"/>
      <c r="M688" s="7"/>
      <c r="N688" s="7"/>
      <c r="O688" s="14"/>
      <c r="P688" s="14"/>
    </row>
    <row r="689">
      <c r="A689" s="7" t="s">
        <v>733</v>
      </c>
      <c r="B689" s="7" t="s">
        <v>625</v>
      </c>
      <c r="C689" s="8">
        <v>599.0</v>
      </c>
      <c r="D689" s="8">
        <v>899.0</v>
      </c>
      <c r="E689" s="9">
        <v>0.33</v>
      </c>
      <c r="F689" s="10">
        <v>4.0</v>
      </c>
      <c r="G689" s="11">
        <v>4018.0</v>
      </c>
      <c r="I689" s="7"/>
      <c r="J689" s="7"/>
      <c r="K689" s="13" t="str">
        <f>IF(discount&gt;50%, product, "")</f>
        <v/>
      </c>
      <c r="L689" s="7"/>
      <c r="M689" s="7"/>
      <c r="N689" s="7"/>
      <c r="O689" s="14"/>
      <c r="P689" s="14"/>
    </row>
    <row r="690">
      <c r="A690" s="7" t="s">
        <v>734</v>
      </c>
      <c r="B690" s="7" t="s">
        <v>735</v>
      </c>
      <c r="C690" s="8">
        <v>479.0</v>
      </c>
      <c r="D690" s="8">
        <v>599.0</v>
      </c>
      <c r="E690" s="9">
        <v>0.2</v>
      </c>
      <c r="F690" s="10">
        <v>4.3</v>
      </c>
      <c r="G690" s="11">
        <v>11687.0</v>
      </c>
      <c r="I690" s="7"/>
      <c r="J690" s="7"/>
      <c r="K690" s="13" t="str">
        <f>IF(discount&gt;50%, product, "")</f>
        <v/>
      </c>
      <c r="L690" s="7"/>
      <c r="M690" s="7"/>
      <c r="N690" s="7"/>
      <c r="O690" s="14"/>
      <c r="P690" s="14"/>
    </row>
    <row r="691">
      <c r="A691" s="7" t="s">
        <v>33</v>
      </c>
      <c r="B691" s="7" t="s">
        <v>15</v>
      </c>
      <c r="C691" s="8">
        <v>350.0</v>
      </c>
      <c r="D691" s="8">
        <v>899.0</v>
      </c>
      <c r="E691" s="9">
        <v>0.61</v>
      </c>
      <c r="F691" s="10">
        <v>4.2</v>
      </c>
      <c r="G691" s="11">
        <v>2262.0</v>
      </c>
      <c r="I691" s="7"/>
      <c r="J691" s="7"/>
      <c r="K691" s="13" t="str">
        <f>IF(discount&gt;50%, product, "")</f>
        <v>Portronics Konnect CL 20W POR-1067 Type-C to 8 Pin USB 1.2M Cable with Power Delivery &amp; 3A Quick Charge Support, Nylon Braided for All Type-C and 8 Pin Devices, Green</v>
      </c>
      <c r="L691" s="7"/>
      <c r="M691" s="7"/>
      <c r="N691" s="7"/>
      <c r="O691" s="14"/>
      <c r="P691" s="14"/>
    </row>
    <row r="692">
      <c r="A692" s="7" t="s">
        <v>736</v>
      </c>
      <c r="B692" s="7" t="s">
        <v>393</v>
      </c>
      <c r="C692" s="8">
        <v>1598.0</v>
      </c>
      <c r="D692" s="8">
        <v>2990.0</v>
      </c>
      <c r="E692" s="9">
        <v>0.47</v>
      </c>
      <c r="F692" s="10">
        <v>3.8</v>
      </c>
      <c r="G692" s="11">
        <v>11015.0</v>
      </c>
      <c r="I692" s="7"/>
      <c r="J692" s="7"/>
      <c r="K692" s="13" t="str">
        <f>IF(discount&gt;50%, product, "")</f>
        <v/>
      </c>
      <c r="L692" s="7"/>
      <c r="M692" s="7"/>
      <c r="N692" s="7"/>
      <c r="O692" s="14"/>
      <c r="P692" s="14"/>
    </row>
    <row r="693">
      <c r="A693" s="7" t="s">
        <v>737</v>
      </c>
      <c r="B693" s="7" t="s">
        <v>738</v>
      </c>
      <c r="C693" s="8">
        <v>599.0</v>
      </c>
      <c r="D693" s="8">
        <v>899.0</v>
      </c>
      <c r="E693" s="9">
        <v>0.33</v>
      </c>
      <c r="F693" s="10">
        <v>4.3</v>
      </c>
      <c r="G693" s="11">
        <v>95116.0</v>
      </c>
      <c r="I693" s="7"/>
      <c r="J693" s="7"/>
      <c r="K693" s="13" t="str">
        <f>IF(discount&gt;50%, product, "")</f>
        <v/>
      </c>
      <c r="L693" s="7"/>
      <c r="M693" s="7"/>
      <c r="N693" s="7"/>
      <c r="O693" s="14"/>
      <c r="P693" s="14"/>
    </row>
    <row r="694">
      <c r="A694" s="7" t="s">
        <v>34</v>
      </c>
      <c r="B694" s="7" t="s">
        <v>15</v>
      </c>
      <c r="C694" s="8">
        <v>159.0</v>
      </c>
      <c r="D694" s="8">
        <v>399.0</v>
      </c>
      <c r="E694" s="9">
        <v>0.6</v>
      </c>
      <c r="F694" s="10">
        <v>4.1</v>
      </c>
      <c r="G694" s="11">
        <v>4768.0</v>
      </c>
      <c r="I694" s="7"/>
      <c r="J694" s="7"/>
      <c r="K694" s="13" t="str">
        <f>IF(discount&gt;50%, product, "")</f>
        <v>Portronics Konnect L 1.2M POR-1401 Fast Charging 3A 8 Pin USB Cable with Charge &amp; Sync Function (White)</v>
      </c>
      <c r="L694" s="7"/>
      <c r="M694" s="7"/>
      <c r="N694" s="7"/>
      <c r="O694" s="14"/>
      <c r="P694" s="14"/>
    </row>
    <row r="695">
      <c r="A695" s="7" t="s">
        <v>739</v>
      </c>
      <c r="B695" s="7" t="s">
        <v>622</v>
      </c>
      <c r="C695" s="8">
        <v>1299.0</v>
      </c>
      <c r="D695" s="8">
        <v>3000.0</v>
      </c>
      <c r="E695" s="9">
        <v>0.57</v>
      </c>
      <c r="F695" s="10">
        <v>4.3</v>
      </c>
      <c r="G695" s="11">
        <v>23022.0</v>
      </c>
      <c r="I695" s="7"/>
      <c r="J695" s="7"/>
      <c r="K695" s="13" t="str">
        <f>IF(discount&gt;50%, product, "")</f>
        <v>SanDisk Ultra Dual Drive Luxe USB Type C Flash Drive (Silver, 128 GB, 5Y - SDDDC4-128G-I35)</v>
      </c>
      <c r="L695" s="7"/>
      <c r="M695" s="7"/>
      <c r="N695" s="7"/>
      <c r="O695" s="14"/>
      <c r="P695" s="14"/>
    </row>
    <row r="696">
      <c r="A696" s="7" t="s">
        <v>491</v>
      </c>
      <c r="B696" s="7" t="s">
        <v>373</v>
      </c>
      <c r="C696" s="8">
        <v>1599.0</v>
      </c>
      <c r="D696" s="8">
        <v>4999.0</v>
      </c>
      <c r="E696" s="9">
        <v>0.68</v>
      </c>
      <c r="F696" s="10">
        <v>4.0</v>
      </c>
      <c r="G696" s="11">
        <v>67951.0</v>
      </c>
      <c r="I696" s="7"/>
      <c r="J696" s="7"/>
      <c r="K696" s="13" t="str">
        <f>IF(discount&gt;50%, product, "")</f>
        <v>Noise ColorFit Pulse Smartwatch with 3.56 cm (1.4") Full Touch HD Display, SpO2, Heart Rate, Sleep Monitors &amp; 10-Day Battery - Jet Black</v>
      </c>
      <c r="L696" s="7"/>
      <c r="M696" s="7"/>
      <c r="N696" s="7"/>
      <c r="O696" s="14"/>
      <c r="P696" s="14"/>
    </row>
    <row r="697">
      <c r="A697" s="7" t="s">
        <v>740</v>
      </c>
      <c r="B697" s="7" t="s">
        <v>741</v>
      </c>
      <c r="C697" s="8">
        <v>294.0</v>
      </c>
      <c r="D697" s="8">
        <v>4999.0</v>
      </c>
      <c r="E697" s="9">
        <v>0.94</v>
      </c>
      <c r="F697" s="10">
        <v>4.3</v>
      </c>
      <c r="G697" s="11">
        <v>4426.0</v>
      </c>
      <c r="I697" s="7"/>
      <c r="J697" s="7"/>
      <c r="K697" s="13" t="str">
        <f>IF(discount&gt;50%, product, "")</f>
        <v>rts [2 Pack] Mini USB C Type C Adapter Plug, Type C Female to USB A Male Charger Charging Cable Adapter Converter compatible for iPhone, Samsung S20 ultra/S21/S10/S8/S9/MacBook Pro iPad Silver</v>
      </c>
      <c r="L697" s="7"/>
      <c r="M697" s="7"/>
      <c r="N697" s="7"/>
      <c r="O697" s="14"/>
      <c r="P697" s="14"/>
    </row>
    <row r="698">
      <c r="A698" s="7" t="s">
        <v>742</v>
      </c>
      <c r="B698" s="7" t="s">
        <v>683</v>
      </c>
      <c r="C698" s="8">
        <v>828.0</v>
      </c>
      <c r="D698" s="8">
        <v>861.0</v>
      </c>
      <c r="E698" s="9">
        <v>0.04</v>
      </c>
      <c r="F698" s="10">
        <v>4.2</v>
      </c>
      <c r="G698" s="11">
        <v>4567.0</v>
      </c>
      <c r="I698" s="7"/>
      <c r="J698" s="7"/>
      <c r="K698" s="13" t="str">
        <f>IF(discount&gt;50%, product, "")</f>
        <v/>
      </c>
      <c r="L698" s="7"/>
      <c r="M698" s="7"/>
      <c r="N698" s="7"/>
      <c r="O698" s="14"/>
      <c r="P698" s="14"/>
    </row>
    <row r="699">
      <c r="A699" s="7" t="s">
        <v>743</v>
      </c>
      <c r="B699" s="7" t="s">
        <v>572</v>
      </c>
      <c r="C699" s="8">
        <v>745.0</v>
      </c>
      <c r="D699" s="8">
        <v>795.0</v>
      </c>
      <c r="E699" s="9">
        <v>0.06</v>
      </c>
      <c r="F699" s="10">
        <v>4.0</v>
      </c>
      <c r="G699" s="11">
        <v>13797.0</v>
      </c>
      <c r="I699" s="7"/>
      <c r="J699" s="7"/>
      <c r="K699" s="13" t="str">
        <f>IF(discount&gt;50%, product, "")</f>
        <v/>
      </c>
      <c r="L699" s="7"/>
      <c r="M699" s="7"/>
      <c r="N699" s="7"/>
      <c r="O699" s="14"/>
      <c r="P699" s="14"/>
    </row>
    <row r="700">
      <c r="A700" s="7" t="s">
        <v>744</v>
      </c>
      <c r="B700" s="7" t="s">
        <v>745</v>
      </c>
      <c r="C700" s="8">
        <v>1549.0</v>
      </c>
      <c r="D700" s="8">
        <v>2495.0</v>
      </c>
      <c r="E700" s="9">
        <v>0.38</v>
      </c>
      <c r="F700" s="10">
        <v>4.4</v>
      </c>
      <c r="G700" s="11">
        <v>15137.0</v>
      </c>
      <c r="I700" s="7"/>
      <c r="J700" s="7"/>
      <c r="K700" s="13" t="str">
        <f>IF(discount&gt;50%, product, "")</f>
        <v/>
      </c>
      <c r="L700" s="7"/>
      <c r="M700" s="7"/>
      <c r="N700" s="7"/>
      <c r="O700" s="14"/>
      <c r="P700" s="14"/>
    </row>
    <row r="701">
      <c r="A701" s="7" t="s">
        <v>35</v>
      </c>
      <c r="B701" s="7" t="s">
        <v>15</v>
      </c>
      <c r="C701" s="8">
        <v>349.0</v>
      </c>
      <c r="D701" s="8">
        <v>399.0</v>
      </c>
      <c r="E701" s="9">
        <v>0.13</v>
      </c>
      <c r="F701" s="10">
        <v>4.4</v>
      </c>
      <c r="G701" s="11">
        <v>18757.0</v>
      </c>
      <c r="I701" s="7"/>
      <c r="J701" s="7"/>
      <c r="K701" s="13" t="str">
        <f>IF(discount&gt;50%, product, "")</f>
        <v/>
      </c>
      <c r="L701" s="7"/>
      <c r="M701" s="7"/>
      <c r="N701" s="7"/>
      <c r="O701" s="14"/>
      <c r="P701" s="14"/>
    </row>
    <row r="702">
      <c r="A702" s="7" t="s">
        <v>41</v>
      </c>
      <c r="B702" s="7" t="s">
        <v>15</v>
      </c>
      <c r="C702" s="8">
        <v>970.0</v>
      </c>
      <c r="D702" s="8">
        <v>1799.0</v>
      </c>
      <c r="E702" s="9">
        <v>0.46</v>
      </c>
      <c r="F702" s="10">
        <v>4.5</v>
      </c>
      <c r="G702" s="10">
        <v>815.0</v>
      </c>
      <c r="I702" s="7"/>
      <c r="J702" s="7"/>
      <c r="K702" s="13" t="str">
        <f>IF(discount&gt;50%, product, "")</f>
        <v/>
      </c>
      <c r="L702" s="7"/>
      <c r="M702" s="7"/>
      <c r="N702" s="7"/>
      <c r="O702" s="14"/>
      <c r="P702" s="14"/>
    </row>
    <row r="703">
      <c r="A703" s="7" t="s">
        <v>746</v>
      </c>
      <c r="B703" s="7" t="s">
        <v>676</v>
      </c>
      <c r="C703" s="8">
        <v>1469.0</v>
      </c>
      <c r="D703" s="8">
        <v>2499.0</v>
      </c>
      <c r="E703" s="9">
        <v>0.41</v>
      </c>
      <c r="F703" s="10">
        <v>4.2</v>
      </c>
      <c r="G703" s="7" t="s">
        <v>747</v>
      </c>
      <c r="I703" s="7"/>
      <c r="J703" s="7"/>
      <c r="K703" s="13" t="str">
        <f>IF(discount&gt;50%, product, "")</f>
        <v/>
      </c>
      <c r="L703" s="7"/>
      <c r="M703" s="7"/>
      <c r="N703" s="7"/>
      <c r="O703" s="14"/>
      <c r="P703" s="14"/>
    </row>
    <row r="704">
      <c r="A704" s="7" t="s">
        <v>748</v>
      </c>
      <c r="B704" s="7" t="s">
        <v>749</v>
      </c>
      <c r="C704" s="8">
        <v>198.0</v>
      </c>
      <c r="D704" s="8">
        <v>800.0</v>
      </c>
      <c r="E704" s="9">
        <v>0.75</v>
      </c>
      <c r="F704" s="10">
        <v>4.1</v>
      </c>
      <c r="G704" s="11">
        <v>9344.0</v>
      </c>
      <c r="I704" s="7"/>
      <c r="J704" s="7"/>
      <c r="K704" s="13" t="str">
        <f>IF(discount&gt;50%, product, "")</f>
        <v>COI Note Pad/Memo Book with Sticky Notes &amp; Clip Holder with Pen for Gifting</v>
      </c>
      <c r="L704" s="7"/>
      <c r="M704" s="7"/>
      <c r="N704" s="7"/>
      <c r="O704" s="14"/>
      <c r="P704" s="14"/>
    </row>
    <row r="705">
      <c r="A705" s="7" t="s">
        <v>750</v>
      </c>
      <c r="B705" s="7" t="s">
        <v>751</v>
      </c>
      <c r="C705" s="8">
        <v>549.0</v>
      </c>
      <c r="D705" s="8">
        <v>549.0</v>
      </c>
      <c r="E705" s="9">
        <v>0.0</v>
      </c>
      <c r="F705" s="10">
        <v>4.5</v>
      </c>
      <c r="G705" s="11">
        <v>4875.0</v>
      </c>
      <c r="I705" s="7"/>
      <c r="J705" s="7"/>
      <c r="K705" s="13" t="str">
        <f>IF(discount&gt;50%, product, "")</f>
        <v/>
      </c>
      <c r="L705" s="7"/>
      <c r="M705" s="7"/>
      <c r="N705" s="7"/>
      <c r="O705" s="14"/>
      <c r="P705" s="14"/>
    </row>
    <row r="706">
      <c r="A706" s="7" t="s">
        <v>514</v>
      </c>
      <c r="B706" s="7" t="s">
        <v>373</v>
      </c>
      <c r="C706" s="8">
        <v>2999.0</v>
      </c>
      <c r="D706" s="8">
        <v>9999.0</v>
      </c>
      <c r="E706" s="9">
        <v>0.7</v>
      </c>
      <c r="F706" s="10">
        <v>4.2</v>
      </c>
      <c r="G706" s="11">
        <v>20881.0</v>
      </c>
      <c r="I706" s="7"/>
      <c r="J706" s="7"/>
      <c r="K706" s="13" t="str">
        <f>IF(discount&gt;50%, product, "")</f>
        <v>Fire-Boltt Ring 3 Smart Watch 1.8 Biggest Display with Advanced Bluetooth Calling Chip, Voice Assistance,118 Sports Modes, in Built Calculator &amp; Games, SpO2, Heart Rate Monitoring</v>
      </c>
      <c r="L706" s="7"/>
      <c r="M706" s="7"/>
      <c r="N706" s="7"/>
      <c r="O706" s="14"/>
      <c r="P706" s="14"/>
    </row>
    <row r="707">
      <c r="A707" s="7" t="s">
        <v>752</v>
      </c>
      <c r="B707" s="7" t="s">
        <v>373</v>
      </c>
      <c r="C707" s="8">
        <v>12000.0</v>
      </c>
      <c r="D707" s="8">
        <v>29999.0</v>
      </c>
      <c r="E707" s="9">
        <v>0.6</v>
      </c>
      <c r="F707" s="10">
        <v>4.3</v>
      </c>
      <c r="G707" s="11">
        <v>4744.0</v>
      </c>
      <c r="I707" s="7"/>
      <c r="J707" s="7"/>
      <c r="K707" s="13" t="str">
        <f>IF(discount&gt;50%, product, "")</f>
        <v>Samsung Galaxy Watch4 Bluetooth(4.4 cm, Black, Compatible with Android only)</v>
      </c>
      <c r="L707" s="7"/>
      <c r="M707" s="7"/>
      <c r="N707" s="7"/>
      <c r="O707" s="14"/>
      <c r="P707" s="14"/>
    </row>
    <row r="708">
      <c r="A708" s="7" t="s">
        <v>753</v>
      </c>
      <c r="B708" s="7" t="s">
        <v>393</v>
      </c>
      <c r="C708" s="8">
        <v>1299.0</v>
      </c>
      <c r="D708" s="8">
        <v>3499.0</v>
      </c>
      <c r="E708" s="9">
        <v>0.63</v>
      </c>
      <c r="F708" s="10">
        <v>3.9</v>
      </c>
      <c r="G708" s="11">
        <v>12452.0</v>
      </c>
      <c r="I708" s="7"/>
      <c r="J708" s="7"/>
      <c r="K708" s="13" t="str">
        <f>IF(discount&gt;50%, product, "")</f>
        <v>Noise Buds Vs104 Bluetooth Truly Wireless in Ear Earbuds with Mic, 30-Hours of Playtime, Instacharge, 13Mm Driver and Hyper Sync (Charcoal Black)</v>
      </c>
      <c r="L708" s="7"/>
      <c r="M708" s="7"/>
      <c r="N708" s="7"/>
      <c r="O708" s="14"/>
      <c r="P708" s="14"/>
    </row>
    <row r="709">
      <c r="A709" s="7" t="s">
        <v>754</v>
      </c>
      <c r="B709" s="7" t="s">
        <v>652</v>
      </c>
      <c r="C709" s="8">
        <v>269.0</v>
      </c>
      <c r="D709" s="8">
        <v>315.0</v>
      </c>
      <c r="E709" s="9">
        <v>0.15</v>
      </c>
      <c r="F709" s="10">
        <v>4.5</v>
      </c>
      <c r="G709" s="11">
        <v>17810.0</v>
      </c>
      <c r="I709" s="7"/>
      <c r="J709" s="7"/>
      <c r="K709" s="13" t="str">
        <f>IF(discount&gt;50%, product, "")</f>
        <v/>
      </c>
      <c r="L709" s="7"/>
      <c r="M709" s="7"/>
      <c r="N709" s="7"/>
      <c r="O709" s="14"/>
      <c r="P709" s="14"/>
    </row>
    <row r="710">
      <c r="A710" s="7" t="s">
        <v>755</v>
      </c>
      <c r="B710" s="7" t="s">
        <v>393</v>
      </c>
      <c r="C710" s="8">
        <v>799.0</v>
      </c>
      <c r="D710" s="8">
        <v>1499.0</v>
      </c>
      <c r="E710" s="9">
        <v>0.47</v>
      </c>
      <c r="F710" s="10">
        <v>4.1</v>
      </c>
      <c r="G710" s="11">
        <v>53648.0</v>
      </c>
      <c r="I710" s="7"/>
      <c r="J710" s="7"/>
      <c r="K710" s="13" t="str">
        <f>IF(discount&gt;50%, product, "")</f>
        <v/>
      </c>
      <c r="L710" s="7"/>
      <c r="M710" s="7"/>
      <c r="N710" s="7"/>
      <c r="O710" s="14"/>
      <c r="P710" s="14"/>
    </row>
    <row r="711">
      <c r="A711" s="7" t="s">
        <v>756</v>
      </c>
      <c r="B711" s="7" t="s">
        <v>757</v>
      </c>
      <c r="C711" s="8">
        <v>6299.0</v>
      </c>
      <c r="D711" s="8">
        <v>13750.0</v>
      </c>
      <c r="E711" s="9">
        <v>0.54</v>
      </c>
      <c r="F711" s="10">
        <v>4.2</v>
      </c>
      <c r="G711" s="11">
        <v>2014.0</v>
      </c>
      <c r="I711" s="7"/>
      <c r="J711" s="7"/>
      <c r="K711" s="13" t="str">
        <f>IF(discount&gt;50%, product, "")</f>
        <v>Acer EK220Q 21.5 Inch (54.61 cm) Full HD (1920x1080) VA Panel LCD Monitor with LED Back Light I 250 Nits I HDMI, VGA Ports I Eye Care Features Like Bluelight Shield, Flickerless &amp; Comfy View (Black)</v>
      </c>
      <c r="L711" s="7"/>
      <c r="M711" s="7"/>
      <c r="N711" s="7"/>
      <c r="O711" s="14"/>
      <c r="P711" s="14"/>
    </row>
    <row r="712">
      <c r="A712" s="7" t="s">
        <v>758</v>
      </c>
      <c r="B712" s="7" t="s">
        <v>759</v>
      </c>
      <c r="C712" s="8">
        <v>59.0</v>
      </c>
      <c r="D712" s="8">
        <v>59.0</v>
      </c>
      <c r="E712" s="9">
        <v>0.0</v>
      </c>
      <c r="F712" s="10">
        <v>3.8</v>
      </c>
      <c r="G712" s="11">
        <v>5958.0</v>
      </c>
      <c r="I712" s="7"/>
      <c r="J712" s="7"/>
      <c r="K712" s="13" t="str">
        <f>IF(discount&gt;50%, product, "")</f>
        <v/>
      </c>
      <c r="L712" s="7"/>
      <c r="M712" s="7"/>
      <c r="N712" s="7"/>
      <c r="O712" s="14"/>
      <c r="P712" s="14"/>
    </row>
    <row r="713">
      <c r="A713" s="7" t="s">
        <v>760</v>
      </c>
      <c r="B713" s="7" t="s">
        <v>399</v>
      </c>
      <c r="C713" s="8">
        <v>571.0</v>
      </c>
      <c r="D713" s="8">
        <v>999.0</v>
      </c>
      <c r="E713" s="9">
        <v>0.43</v>
      </c>
      <c r="F713" s="10">
        <v>4.3</v>
      </c>
      <c r="G713" s="11">
        <v>38221.0</v>
      </c>
      <c r="I713" s="7"/>
      <c r="J713" s="7"/>
      <c r="K713" s="13" t="str">
        <f>IF(discount&gt;50%, product, "")</f>
        <v/>
      </c>
      <c r="L713" s="7"/>
      <c r="M713" s="7"/>
      <c r="N713" s="7"/>
      <c r="O713" s="14"/>
      <c r="P713" s="14"/>
    </row>
    <row r="714">
      <c r="A714" s="7" t="s">
        <v>761</v>
      </c>
      <c r="B714" s="7" t="s">
        <v>719</v>
      </c>
      <c r="C714" s="8">
        <v>549.0</v>
      </c>
      <c r="D714" s="8">
        <v>999.0</v>
      </c>
      <c r="E714" s="9">
        <v>0.45</v>
      </c>
      <c r="F714" s="10">
        <v>3.9</v>
      </c>
      <c r="G714" s="11">
        <v>64705.0</v>
      </c>
      <c r="I714" s="7"/>
      <c r="J714" s="7"/>
      <c r="K714" s="13" t="str">
        <f>IF(discount&gt;50%, product, "")</f>
        <v/>
      </c>
      <c r="L714" s="7"/>
      <c r="M714" s="7"/>
      <c r="N714" s="7"/>
      <c r="O714" s="14"/>
      <c r="P714" s="14"/>
    </row>
    <row r="715">
      <c r="A715" s="7" t="s">
        <v>501</v>
      </c>
      <c r="B715" s="7" t="s">
        <v>502</v>
      </c>
      <c r="C715" s="8">
        <v>2099.0</v>
      </c>
      <c r="D715" s="8">
        <v>5999.0</v>
      </c>
      <c r="E715" s="9">
        <v>0.65</v>
      </c>
      <c r="F715" s="10">
        <v>4.3</v>
      </c>
      <c r="G715" s="11">
        <v>17129.0</v>
      </c>
      <c r="I715" s="7"/>
      <c r="J715" s="7"/>
      <c r="K715" s="13" t="str">
        <f>IF(discount&gt;50%, product, "")</f>
        <v>KINGONE Upgraded Stylus Pen, iPad Pencil, Ultra High Precision &amp; Sensitivity, Palm Rejection, Prevents False ON/Off Touch, Power Display, Tilt Sensitivity, Magnetic Adsorption for iPad 2018 and Later</v>
      </c>
      <c r="L715" s="7"/>
      <c r="M715" s="7"/>
      <c r="N715" s="7"/>
      <c r="O715" s="14"/>
      <c r="P715" s="14"/>
    </row>
    <row r="716">
      <c r="A716" s="7" t="s">
        <v>40</v>
      </c>
      <c r="B716" s="7" t="s">
        <v>37</v>
      </c>
      <c r="C716" s="8">
        <v>13490.0</v>
      </c>
      <c r="D716" s="8">
        <v>21990.0</v>
      </c>
      <c r="E716" s="9">
        <v>0.39</v>
      </c>
      <c r="F716" s="10">
        <v>4.3</v>
      </c>
      <c r="G716" s="11">
        <v>11976.0</v>
      </c>
      <c r="I716" s="7"/>
      <c r="J716" s="7"/>
      <c r="K716" s="13" t="str">
        <f>IF(discount&gt;50%, product, "")</f>
        <v/>
      </c>
      <c r="L716" s="7"/>
      <c r="M716" s="7"/>
      <c r="N716" s="7"/>
      <c r="O716" s="14"/>
      <c r="P716" s="14"/>
    </row>
    <row r="717">
      <c r="A717" s="7" t="s">
        <v>762</v>
      </c>
      <c r="B717" s="7" t="s">
        <v>660</v>
      </c>
      <c r="C717" s="8">
        <v>448.0</v>
      </c>
      <c r="D717" s="8">
        <v>699.0</v>
      </c>
      <c r="E717" s="9">
        <v>0.36</v>
      </c>
      <c r="F717" s="10">
        <v>3.9</v>
      </c>
      <c r="G717" s="11">
        <v>17348.0</v>
      </c>
      <c r="I717" s="7"/>
      <c r="J717" s="7"/>
      <c r="K717" s="13" t="str">
        <f>IF(discount&gt;50%, product, "")</f>
        <v/>
      </c>
      <c r="L717" s="7"/>
      <c r="M717" s="7"/>
      <c r="N717" s="7"/>
      <c r="O717" s="14"/>
      <c r="P717" s="14"/>
    </row>
    <row r="718">
      <c r="A718" s="7" t="s">
        <v>763</v>
      </c>
      <c r="B718" s="7" t="s">
        <v>393</v>
      </c>
      <c r="C718" s="8">
        <v>1499.0</v>
      </c>
      <c r="D718" s="8">
        <v>2999.0</v>
      </c>
      <c r="E718" s="9">
        <v>0.5</v>
      </c>
      <c r="F718" s="10">
        <v>3.7</v>
      </c>
      <c r="G718" s="11">
        <v>87798.0</v>
      </c>
      <c r="I718" s="7"/>
      <c r="J718" s="7"/>
      <c r="K718" s="13" t="str">
        <f>IF(discount&gt;50%, product, "")</f>
        <v/>
      </c>
      <c r="L718" s="7"/>
      <c r="M718" s="7"/>
      <c r="N718" s="7"/>
      <c r="O718" s="14"/>
      <c r="P718" s="14"/>
    </row>
    <row r="719">
      <c r="A719" s="7" t="s">
        <v>764</v>
      </c>
      <c r="B719" s="7" t="s">
        <v>765</v>
      </c>
      <c r="C719" s="8">
        <v>299.0</v>
      </c>
      <c r="D719" s="8">
        <v>499.0</v>
      </c>
      <c r="E719" s="9">
        <v>0.4</v>
      </c>
      <c r="F719" s="10">
        <v>4.2</v>
      </c>
      <c r="G719" s="11">
        <v>24432.0</v>
      </c>
      <c r="I719" s="7"/>
      <c r="J719" s="7"/>
      <c r="K719" s="13" t="str">
        <f>IF(discount&gt;50%, product, "")</f>
        <v/>
      </c>
      <c r="L719" s="7"/>
      <c r="M719" s="7"/>
      <c r="N719" s="7"/>
      <c r="O719" s="14"/>
      <c r="P719" s="14"/>
    </row>
    <row r="720">
      <c r="A720" s="7" t="s">
        <v>766</v>
      </c>
      <c r="B720" s="7" t="s">
        <v>622</v>
      </c>
      <c r="C720" s="8">
        <v>579.0</v>
      </c>
      <c r="D720" s="8">
        <v>1400.0</v>
      </c>
      <c r="E720" s="9">
        <v>0.59</v>
      </c>
      <c r="F720" s="10">
        <v>4.3</v>
      </c>
      <c r="G720" s="7" t="s">
        <v>767</v>
      </c>
      <c r="I720" s="7"/>
      <c r="J720" s="7"/>
      <c r="K720" s="13" t="str">
        <f>IF(discount&gt;50%, product, "")</f>
        <v>SanDisk Ultra Dual 64 GB USB 3.0 OTG Pen Drive (Black)</v>
      </c>
      <c r="L720" s="7"/>
      <c r="M720" s="7"/>
      <c r="N720" s="7"/>
      <c r="O720" s="14"/>
      <c r="P720" s="14"/>
    </row>
    <row r="721">
      <c r="A721" s="7" t="s">
        <v>768</v>
      </c>
      <c r="B721" s="7" t="s">
        <v>769</v>
      </c>
      <c r="C721" s="8">
        <v>2499.0</v>
      </c>
      <c r="D721" s="8">
        <v>3299.0</v>
      </c>
      <c r="E721" s="9">
        <v>0.24</v>
      </c>
      <c r="F721" s="10">
        <v>4.2</v>
      </c>
      <c r="G721" s="11">
        <v>93112.0</v>
      </c>
      <c r="I721" s="7"/>
      <c r="J721" s="7"/>
      <c r="K721" s="13" t="str">
        <f>IF(discount&gt;50%, product, "")</f>
        <v/>
      </c>
      <c r="L721" s="7"/>
      <c r="M721" s="7"/>
      <c r="N721" s="7"/>
      <c r="O721" s="14"/>
      <c r="P721" s="14"/>
    </row>
    <row r="722">
      <c r="A722" s="7" t="s">
        <v>770</v>
      </c>
      <c r="B722" s="7" t="s">
        <v>393</v>
      </c>
      <c r="C722" s="8">
        <v>1199.0</v>
      </c>
      <c r="D722" s="8">
        <v>5999.0</v>
      </c>
      <c r="E722" s="9">
        <v>0.8</v>
      </c>
      <c r="F722" s="10">
        <v>3.9</v>
      </c>
      <c r="G722" s="11">
        <v>47521.0</v>
      </c>
      <c r="I722" s="7"/>
      <c r="J722" s="7"/>
      <c r="K722" s="13" t="str">
        <f>IF(discount&gt;50%, product, "")</f>
        <v>boAt Airdopes 171 in Ear Bluetooth True Wireless Earbuds with Upto 13 Hours Battery, IPX4, Bluetooth v5.0, Dual Tone Finish with Mic (Mysterious Blue)</v>
      </c>
      <c r="L722" s="7"/>
      <c r="M722" s="7"/>
      <c r="N722" s="7"/>
      <c r="O722" s="14"/>
      <c r="P722" s="14"/>
    </row>
    <row r="723">
      <c r="A723" s="7" t="s">
        <v>771</v>
      </c>
      <c r="B723" s="7" t="s">
        <v>735</v>
      </c>
      <c r="C723" s="8">
        <v>399.0</v>
      </c>
      <c r="D723" s="8">
        <v>499.0</v>
      </c>
      <c r="E723" s="9">
        <v>0.2</v>
      </c>
      <c r="F723" s="10">
        <v>4.3</v>
      </c>
      <c r="G723" s="11">
        <v>27201.0</v>
      </c>
      <c r="I723" s="7"/>
      <c r="J723" s="7"/>
      <c r="K723" s="13" t="str">
        <f>IF(discount&gt;50%, product, "")</f>
        <v/>
      </c>
      <c r="L723" s="7"/>
      <c r="M723" s="7"/>
      <c r="N723" s="7"/>
      <c r="O723" s="14"/>
      <c r="P723" s="14"/>
    </row>
    <row r="724">
      <c r="A724" s="7" t="s">
        <v>42</v>
      </c>
      <c r="B724" s="7" t="s">
        <v>31</v>
      </c>
      <c r="C724" s="8">
        <v>279.0</v>
      </c>
      <c r="D724" s="8">
        <v>499.0</v>
      </c>
      <c r="E724" s="9">
        <v>0.44</v>
      </c>
      <c r="F724" s="10">
        <v>3.7</v>
      </c>
      <c r="G724" s="11">
        <v>10962.0</v>
      </c>
      <c r="I724" s="7"/>
      <c r="J724" s="7"/>
      <c r="K724" s="13" t="str">
        <f>IF(discount&gt;50%, product, "")</f>
        <v/>
      </c>
      <c r="L724" s="7"/>
      <c r="M724" s="7"/>
      <c r="N724" s="7"/>
      <c r="O724" s="14"/>
      <c r="P724" s="14"/>
    </row>
    <row r="725">
      <c r="A725" s="7" t="s">
        <v>43</v>
      </c>
      <c r="B725" s="7" t="s">
        <v>37</v>
      </c>
      <c r="C725" s="8">
        <v>13490.0</v>
      </c>
      <c r="D725" s="8">
        <v>22900.0</v>
      </c>
      <c r="E725" s="9">
        <v>0.41</v>
      </c>
      <c r="F725" s="10">
        <v>4.3</v>
      </c>
      <c r="G725" s="11">
        <v>16299.0</v>
      </c>
      <c r="I725" s="7"/>
      <c r="J725" s="7"/>
      <c r="K725" s="13" t="str">
        <f>IF(discount&gt;50%, product, "")</f>
        <v/>
      </c>
      <c r="L725" s="7"/>
      <c r="M725" s="7"/>
      <c r="N725" s="7"/>
      <c r="O725" s="14"/>
      <c r="P725" s="14"/>
    </row>
    <row r="726">
      <c r="A726" s="7" t="s">
        <v>772</v>
      </c>
      <c r="B726" s="7" t="s">
        <v>625</v>
      </c>
      <c r="C726" s="8">
        <v>279.0</v>
      </c>
      <c r="D726" s="8">
        <v>375.0</v>
      </c>
      <c r="E726" s="9">
        <v>0.26</v>
      </c>
      <c r="F726" s="10">
        <v>4.3</v>
      </c>
      <c r="G726" s="11">
        <v>31534.0</v>
      </c>
      <c r="I726" s="7"/>
      <c r="J726" s="7"/>
      <c r="K726" s="13" t="str">
        <f>IF(discount&gt;50%, product, "")</f>
        <v/>
      </c>
      <c r="L726" s="7"/>
      <c r="M726" s="7"/>
      <c r="N726" s="7"/>
      <c r="O726" s="14"/>
      <c r="P726" s="14"/>
    </row>
    <row r="727">
      <c r="A727" s="7" t="s">
        <v>773</v>
      </c>
      <c r="B727" s="7" t="s">
        <v>373</v>
      </c>
      <c r="C727" s="8">
        <v>2499.0</v>
      </c>
      <c r="D727" s="8">
        <v>4999.0</v>
      </c>
      <c r="E727" s="9">
        <v>0.5</v>
      </c>
      <c r="F727" s="10">
        <v>3.9</v>
      </c>
      <c r="G727" s="11">
        <v>7571.0</v>
      </c>
      <c r="I727" s="7"/>
      <c r="J727" s="7"/>
      <c r="K727" s="13" t="str">
        <f>IF(discount&gt;50%, product, "")</f>
        <v/>
      </c>
      <c r="L727" s="7"/>
      <c r="M727" s="7"/>
      <c r="N727" s="7"/>
      <c r="O727" s="14"/>
      <c r="P727" s="14"/>
    </row>
    <row r="728">
      <c r="A728" s="7" t="s">
        <v>774</v>
      </c>
      <c r="B728" s="7" t="s">
        <v>732</v>
      </c>
      <c r="C728" s="8">
        <v>137.0</v>
      </c>
      <c r="D728" s="8">
        <v>160.0</v>
      </c>
      <c r="E728" s="9">
        <v>0.14</v>
      </c>
      <c r="F728" s="10">
        <v>4.4</v>
      </c>
      <c r="G728" s="11">
        <v>6537.0</v>
      </c>
      <c r="I728" s="7"/>
      <c r="J728" s="7"/>
      <c r="K728" s="13" t="str">
        <f>IF(discount&gt;50%, product, "")</f>
        <v/>
      </c>
      <c r="L728" s="7"/>
      <c r="M728" s="7"/>
      <c r="N728" s="7"/>
      <c r="O728" s="14"/>
      <c r="P728" s="14"/>
    </row>
    <row r="729">
      <c r="A729" s="7" t="s">
        <v>44</v>
      </c>
      <c r="B729" s="7" t="s">
        <v>15</v>
      </c>
      <c r="C729" s="8">
        <v>59.0</v>
      </c>
      <c r="D729" s="8">
        <v>199.0</v>
      </c>
      <c r="E729" s="9">
        <v>0.7</v>
      </c>
      <c r="F729" s="10">
        <v>4.0</v>
      </c>
      <c r="G729" s="11">
        <v>9377.0</v>
      </c>
      <c r="I729" s="7"/>
      <c r="J729" s="7"/>
      <c r="K729" s="13" t="str">
        <f>IF(discount&gt;50%, product, "")</f>
        <v>Flix Micro Usb Cable For Smartphone (Black)</v>
      </c>
      <c r="L729" s="7"/>
      <c r="M729" s="7"/>
      <c r="N729" s="7"/>
      <c r="O729" s="14"/>
      <c r="P729" s="14"/>
    </row>
    <row r="730">
      <c r="A730" s="7" t="s">
        <v>775</v>
      </c>
      <c r="B730" s="7" t="s">
        <v>698</v>
      </c>
      <c r="C730" s="8">
        <v>299.0</v>
      </c>
      <c r="D730" s="8">
        <v>499.0</v>
      </c>
      <c r="E730" s="9">
        <v>0.4</v>
      </c>
      <c r="F730" s="10">
        <v>4.5</v>
      </c>
      <c r="G730" s="11">
        <v>21010.0</v>
      </c>
      <c r="I730" s="7"/>
      <c r="J730" s="7"/>
      <c r="K730" s="13" t="str">
        <f>IF(discount&gt;50%, product, "")</f>
        <v/>
      </c>
      <c r="L730" s="7"/>
      <c r="M730" s="7"/>
      <c r="N730" s="7"/>
      <c r="O730" s="14"/>
      <c r="P730" s="14"/>
    </row>
    <row r="731">
      <c r="A731" s="7" t="s">
        <v>776</v>
      </c>
      <c r="B731" s="7" t="s">
        <v>393</v>
      </c>
      <c r="C731" s="8">
        <v>1799.0</v>
      </c>
      <c r="D731" s="8">
        <v>3999.0</v>
      </c>
      <c r="E731" s="9">
        <v>0.55</v>
      </c>
      <c r="F731" s="10">
        <v>3.9</v>
      </c>
      <c r="G731" s="11">
        <v>3517.0</v>
      </c>
      <c r="I731" s="7"/>
      <c r="J731" s="7"/>
      <c r="K731" s="13" t="str">
        <f>IF(discount&gt;50%, product, "")</f>
        <v>Noise Buds VS402 Truly Wireless in Ear Earbuds, 35-Hours of Playtime, Instacharge, Quad Mic with ENC, Hyper Sync, Low Latency, 10mm Driver, Bluetooth v5.3 and Breathing LED Lights (Neon Black)</v>
      </c>
      <c r="L731" s="7"/>
      <c r="M731" s="7"/>
      <c r="N731" s="7"/>
      <c r="O731" s="14"/>
      <c r="P731" s="14"/>
    </row>
    <row r="732">
      <c r="A732" s="7" t="s">
        <v>777</v>
      </c>
      <c r="B732" s="7" t="s">
        <v>719</v>
      </c>
      <c r="C732" s="8">
        <v>1999.0</v>
      </c>
      <c r="D732" s="8">
        <v>2999.0</v>
      </c>
      <c r="E732" s="9">
        <v>0.33</v>
      </c>
      <c r="F732" s="10">
        <v>4.3</v>
      </c>
      <c r="G732" s="11">
        <v>63899.0</v>
      </c>
      <c r="I732" s="7"/>
      <c r="J732" s="7"/>
      <c r="K732" s="13" t="str">
        <f>IF(discount&gt;50%, product, "")</f>
        <v/>
      </c>
      <c r="L732" s="7"/>
      <c r="M732" s="7"/>
      <c r="N732" s="7"/>
      <c r="O732" s="14"/>
      <c r="P732" s="14"/>
    </row>
    <row r="733">
      <c r="A733" s="7" t="s">
        <v>46</v>
      </c>
      <c r="B733" s="7" t="s">
        <v>31</v>
      </c>
      <c r="C733" s="8">
        <v>199.0</v>
      </c>
      <c r="D733" s="8">
        <v>699.0</v>
      </c>
      <c r="E733" s="9">
        <v>0.72</v>
      </c>
      <c r="F733" s="10">
        <v>4.2</v>
      </c>
      <c r="G733" s="11">
        <v>12153.0</v>
      </c>
      <c r="I733" s="7"/>
      <c r="J733" s="7"/>
      <c r="K733" s="13" t="str">
        <f>IF(discount&gt;50%, product, "")</f>
        <v>Tizum High Speed HDMI Cable with Ethernet | Supports 3D 4K | for All HDMI Devices Laptop Computer Gaming Console TV Set Top Box (1.5 Meter/ 5 Feet)</v>
      </c>
      <c r="L733" s="7"/>
      <c r="M733" s="7"/>
      <c r="N733" s="7"/>
      <c r="O733" s="14"/>
      <c r="P733" s="14"/>
    </row>
    <row r="734">
      <c r="A734" s="7" t="s">
        <v>778</v>
      </c>
      <c r="B734" s="7" t="s">
        <v>779</v>
      </c>
      <c r="C734" s="8">
        <v>399.0</v>
      </c>
      <c r="D734" s="8">
        <v>1499.0</v>
      </c>
      <c r="E734" s="9">
        <v>0.73</v>
      </c>
      <c r="F734" s="10">
        <v>4.1</v>
      </c>
      <c r="G734" s="11">
        <v>5730.0</v>
      </c>
      <c r="I734" s="7"/>
      <c r="J734" s="7"/>
      <c r="K734" s="13" t="str">
        <f>IF(discount&gt;50%, product, "")</f>
        <v>Robustrion Tempered Glass Screen Protector for iPad 10.2 inch 9th Gen Generation 2021 8th Gen 2020 7th Gen 2019</v>
      </c>
      <c r="L734" s="7"/>
      <c r="M734" s="7"/>
      <c r="N734" s="7"/>
      <c r="O734" s="14"/>
      <c r="P734" s="14"/>
    </row>
    <row r="735">
      <c r="A735" s="7" t="s">
        <v>780</v>
      </c>
      <c r="B735" s="7" t="s">
        <v>781</v>
      </c>
      <c r="C735" s="8">
        <v>1699.0</v>
      </c>
      <c r="D735" s="8">
        <v>3999.0</v>
      </c>
      <c r="E735" s="9">
        <v>0.58</v>
      </c>
      <c r="F735" s="10">
        <v>4.2</v>
      </c>
      <c r="G735" s="11">
        <v>25488.0</v>
      </c>
      <c r="I735" s="7"/>
      <c r="J735" s="7"/>
      <c r="K735" s="13" t="str">
        <f>IF(discount&gt;50%, product, "")</f>
        <v>Redgear Pro Wireless Gamepad with 2.4GHz Wireless Technology, Integrated Dual Intensity Motor, Illuminated Keys for PC(Compatible with Windows 7/8/8.1/10 only)</v>
      </c>
      <c r="L735" s="7"/>
      <c r="M735" s="7"/>
      <c r="N735" s="7"/>
      <c r="O735" s="14"/>
      <c r="P735" s="14"/>
    </row>
    <row r="736">
      <c r="A736" s="7" t="s">
        <v>782</v>
      </c>
      <c r="B736" s="7" t="s">
        <v>625</v>
      </c>
      <c r="C736" s="8">
        <v>699.0</v>
      </c>
      <c r="D736" s="8">
        <v>995.0</v>
      </c>
      <c r="E736" s="9">
        <v>0.3</v>
      </c>
      <c r="F736" s="10">
        <v>4.5</v>
      </c>
      <c r="G736" s="11">
        <v>54405.0</v>
      </c>
      <c r="I736" s="7"/>
      <c r="J736" s="7"/>
      <c r="K736" s="13" t="str">
        <f>IF(discount&gt;50%, product, "")</f>
        <v/>
      </c>
      <c r="L736" s="7"/>
      <c r="M736" s="7"/>
      <c r="N736" s="7"/>
      <c r="O736" s="14"/>
      <c r="P736" s="14"/>
    </row>
    <row r="737">
      <c r="A737" s="7" t="s">
        <v>524</v>
      </c>
      <c r="B737" s="7" t="s">
        <v>469</v>
      </c>
      <c r="C737" s="8">
        <v>95.0</v>
      </c>
      <c r="D737" s="8">
        <v>499.0</v>
      </c>
      <c r="E737" s="9">
        <v>0.81</v>
      </c>
      <c r="F737" s="10">
        <v>4.2</v>
      </c>
      <c r="G737" s="11">
        <v>1949.0</v>
      </c>
      <c r="I737" s="7"/>
      <c r="J737" s="7"/>
      <c r="K737" s="13" t="str">
        <f>IF(discount&gt;50%, product, "")</f>
        <v>STRIFF 12 Pieces Highly Flexible Silicone Micro USB Protector, Mouse Cable Protector, Suit for All Cell Phones, Computers and Chargers (White)</v>
      </c>
      <c r="L737" s="7"/>
      <c r="M737" s="7"/>
      <c r="N737" s="7"/>
      <c r="O737" s="14"/>
      <c r="P737" s="14"/>
    </row>
    <row r="738">
      <c r="A738" s="7" t="s">
        <v>783</v>
      </c>
      <c r="B738" s="7" t="s">
        <v>709</v>
      </c>
      <c r="C738" s="8">
        <v>1149.0</v>
      </c>
      <c r="D738" s="8">
        <v>1699.0</v>
      </c>
      <c r="E738" s="9">
        <v>0.32</v>
      </c>
      <c r="F738" s="10">
        <v>4.2</v>
      </c>
      <c r="G738" s="7" t="s">
        <v>784</v>
      </c>
      <c r="I738" s="7"/>
      <c r="J738" s="7"/>
      <c r="K738" s="13" t="str">
        <f>IF(discount&gt;50%, product, "")</f>
        <v/>
      </c>
      <c r="L738" s="7"/>
      <c r="M738" s="7"/>
      <c r="N738" s="7"/>
      <c r="O738" s="14"/>
      <c r="P738" s="14"/>
    </row>
    <row r="739">
      <c r="A739" s="7" t="s">
        <v>785</v>
      </c>
      <c r="B739" s="7" t="s">
        <v>660</v>
      </c>
      <c r="C739" s="8">
        <v>1495.0</v>
      </c>
      <c r="D739" s="8">
        <v>1995.0</v>
      </c>
      <c r="E739" s="9">
        <v>0.25</v>
      </c>
      <c r="F739" s="10">
        <v>4.3</v>
      </c>
      <c r="G739" s="11">
        <v>7241.0</v>
      </c>
      <c r="I739" s="7"/>
      <c r="J739" s="7"/>
      <c r="K739" s="13" t="str">
        <f>IF(discount&gt;50%, product, "")</f>
        <v/>
      </c>
      <c r="L739" s="7"/>
      <c r="M739" s="7"/>
      <c r="N739" s="7"/>
      <c r="O739" s="14"/>
      <c r="P739" s="14"/>
    </row>
    <row r="740">
      <c r="A740" s="7" t="s">
        <v>786</v>
      </c>
      <c r="B740" s="7" t="s">
        <v>631</v>
      </c>
      <c r="C740" s="8">
        <v>849.0</v>
      </c>
      <c r="D740" s="8">
        <v>4999.0</v>
      </c>
      <c r="E740" s="9">
        <v>0.83</v>
      </c>
      <c r="F740" s="10">
        <v>4.0</v>
      </c>
      <c r="G740" s="11">
        <v>20457.0</v>
      </c>
      <c r="I740" s="7"/>
      <c r="J740" s="7"/>
      <c r="K740" s="13" t="str">
        <f>IF(discount&gt;50%, product, "")</f>
        <v>Callas Multipurpose Foldable Laptop Table with Cup Holder | Drawer | Mac Holder | Table Holder Study Table, Breakfast Table, Foldable and Portable/Ergonomic &amp; Rounded Edges/Non-Slip Legs (WA-27-Black)</v>
      </c>
      <c r="L740" s="7"/>
      <c r="M740" s="7"/>
      <c r="N740" s="7"/>
      <c r="O740" s="14"/>
      <c r="P740" s="14"/>
    </row>
    <row r="741">
      <c r="A741" s="7" t="s">
        <v>787</v>
      </c>
      <c r="B741" s="7" t="s">
        <v>788</v>
      </c>
      <c r="C741" s="8">
        <v>440.0</v>
      </c>
      <c r="D741" s="8">
        <v>440.0</v>
      </c>
      <c r="E741" s="9">
        <v>0.0</v>
      </c>
      <c r="F741" s="10">
        <v>4.5</v>
      </c>
      <c r="G741" s="11">
        <v>8610.0</v>
      </c>
      <c r="I741" s="7"/>
      <c r="J741" s="7"/>
      <c r="K741" s="13" t="str">
        <f>IF(discount&gt;50%, product, "")</f>
        <v/>
      </c>
      <c r="L741" s="7"/>
      <c r="M741" s="7"/>
      <c r="N741" s="7"/>
      <c r="O741" s="14"/>
      <c r="P741" s="14"/>
    </row>
    <row r="742">
      <c r="A742" s="7" t="s">
        <v>521</v>
      </c>
      <c r="B742" s="7" t="s">
        <v>502</v>
      </c>
      <c r="C742" s="8">
        <v>349.0</v>
      </c>
      <c r="D742" s="8">
        <v>999.0</v>
      </c>
      <c r="E742" s="9">
        <v>0.65</v>
      </c>
      <c r="F742" s="10">
        <v>3.8</v>
      </c>
      <c r="G742" s="11">
        <v>16557.0</v>
      </c>
      <c r="I742" s="7"/>
      <c r="J742" s="7"/>
      <c r="K742" s="13" t="str">
        <f>IF(discount&gt;50%, product, "")</f>
        <v>Tukzer Capacitive Stylus Pen for Touch Screens Devices, Fine Point, Lightweight Metal Body with Magnetism Cover Cap for Smartphones/Tablets/iPad/iPad Pro/iPhone (Grey)</v>
      </c>
      <c r="L742" s="7"/>
      <c r="M742" s="7"/>
      <c r="N742" s="7"/>
      <c r="O742" s="14"/>
      <c r="P742" s="14"/>
    </row>
    <row r="743">
      <c r="A743" s="7" t="s">
        <v>789</v>
      </c>
      <c r="B743" s="7" t="s">
        <v>631</v>
      </c>
      <c r="C743" s="8">
        <v>599.0</v>
      </c>
      <c r="D743" s="8">
        <v>3999.0</v>
      </c>
      <c r="E743" s="9">
        <v>0.85</v>
      </c>
      <c r="F743" s="10">
        <v>3.9</v>
      </c>
      <c r="G743" s="11">
        <v>1087.0</v>
      </c>
      <c r="I743" s="7"/>
      <c r="J743" s="7"/>
      <c r="K743" s="13" t="str">
        <f>IF(discount&gt;50%, product, "")</f>
        <v>Amazon Basics Multipurpose Foldable Laptop Table with Cup Holder, Brown</v>
      </c>
      <c r="L743" s="7"/>
      <c r="M743" s="7"/>
      <c r="N743" s="7"/>
      <c r="O743" s="14"/>
      <c r="P743" s="14"/>
    </row>
    <row r="744">
      <c r="A744" s="7" t="s">
        <v>790</v>
      </c>
      <c r="B744" s="7" t="s">
        <v>741</v>
      </c>
      <c r="C744" s="8">
        <v>149.0</v>
      </c>
      <c r="D744" s="8">
        <v>399.0</v>
      </c>
      <c r="E744" s="9">
        <v>0.63</v>
      </c>
      <c r="F744" s="10">
        <v>4.0</v>
      </c>
      <c r="G744" s="11">
        <v>1540.0</v>
      </c>
      <c r="I744" s="7"/>
      <c r="J744" s="7"/>
      <c r="K744" s="13" t="str">
        <f>IF(discount&gt;50%, product, "")</f>
        <v>Kanget [2 Pack] Type C Female to USB A Male Charger | Charging Cable Adapter Converter compatible for iPhone 14, 13, 12,11 Pro Max/Mini/XR/XS/X/SE, Samsung S20 ultra/S21/S10/S8/S9/MacBook Pro iPad (Grey)</v>
      </c>
      <c r="L744" s="7"/>
      <c r="M744" s="7"/>
      <c r="N744" s="7"/>
      <c r="O744" s="14"/>
      <c r="P744" s="14"/>
    </row>
    <row r="745">
      <c r="A745" s="7" t="s">
        <v>791</v>
      </c>
      <c r="B745" s="7" t="s">
        <v>627</v>
      </c>
      <c r="C745" s="8">
        <v>289.0</v>
      </c>
      <c r="D745" s="8">
        <v>999.0</v>
      </c>
      <c r="E745" s="9">
        <v>0.71</v>
      </c>
      <c r="F745" s="10">
        <v>4.1</v>
      </c>
      <c r="G745" s="10">
        <v>401.0</v>
      </c>
      <c r="I745" s="7"/>
      <c r="J745" s="7"/>
      <c r="K745" s="13" t="str">
        <f>IF(discount&gt;50%, product, "")</f>
        <v>Amazon Basics Magic Slate 8.5-inch LCD Writing Tablet with Stylus Pen, for Drawing, Playing, Noting by Kids &amp; Adults, Black</v>
      </c>
      <c r="L745" s="7"/>
      <c r="M745" s="7"/>
      <c r="N745" s="7"/>
      <c r="O745" s="14"/>
      <c r="P745" s="14"/>
    </row>
    <row r="746">
      <c r="A746" s="7" t="s">
        <v>792</v>
      </c>
      <c r="B746" s="7" t="s">
        <v>793</v>
      </c>
      <c r="C746" s="8">
        <v>179.0</v>
      </c>
      <c r="D746" s="8">
        <v>499.0</v>
      </c>
      <c r="E746" s="9">
        <v>0.64</v>
      </c>
      <c r="F746" s="10">
        <v>3.4</v>
      </c>
      <c r="G746" s="11">
        <v>9385.0</v>
      </c>
      <c r="I746" s="7"/>
      <c r="J746" s="7"/>
      <c r="K746" s="13" t="str">
        <f>IF(discount&gt;50%, product, "")</f>
        <v>Zebronics ZEB-90HB USB Hub, 4 Ports, Pocket Sized, Plug &amp; Play, for Laptop &amp; Computers</v>
      </c>
      <c r="L746" s="7"/>
      <c r="M746" s="7"/>
      <c r="N746" s="7"/>
      <c r="O746" s="14"/>
      <c r="P746" s="14"/>
    </row>
    <row r="747">
      <c r="A747" s="7" t="s">
        <v>794</v>
      </c>
      <c r="B747" s="7" t="s">
        <v>373</v>
      </c>
      <c r="C747" s="8">
        <v>1499.0</v>
      </c>
      <c r="D747" s="8">
        <v>4999.0</v>
      </c>
      <c r="E747" s="9">
        <v>0.7</v>
      </c>
      <c r="F747" s="10">
        <v>4.0</v>
      </c>
      <c r="G747" s="11">
        <v>92588.0</v>
      </c>
      <c r="I747" s="7"/>
      <c r="J747" s="7"/>
      <c r="K747" s="13" t="str">
        <f>IF(discount&gt;50%, product, "")</f>
        <v>Noise ColorFit Pro 2 Full Touch Control Smart Watch with 35g Weight &amp; Upgraded LCD Display,IP68 Waterproof,Heart Rate Monitor,Sleep &amp; Step Tracker,Call &amp; Message Alerts &amp; Long Battery Life (Jet Black)</v>
      </c>
      <c r="L747" s="7"/>
      <c r="M747" s="7"/>
      <c r="N747" s="7"/>
      <c r="O747" s="14"/>
      <c r="P747" s="14"/>
    </row>
    <row r="748">
      <c r="A748" s="7" t="s">
        <v>795</v>
      </c>
      <c r="B748" s="7" t="s">
        <v>393</v>
      </c>
      <c r="C748" s="8">
        <v>399.0</v>
      </c>
      <c r="D748" s="8">
        <v>699.0</v>
      </c>
      <c r="E748" s="9">
        <v>0.43</v>
      </c>
      <c r="F748" s="10">
        <v>3.4</v>
      </c>
      <c r="G748" s="11">
        <v>3454.0</v>
      </c>
      <c r="I748" s="7"/>
      <c r="J748" s="7"/>
      <c r="K748" s="13" t="str">
        <f>IF(discount&gt;50%, product, "")</f>
        <v/>
      </c>
      <c r="L748" s="7"/>
      <c r="M748" s="7"/>
      <c r="N748" s="7"/>
      <c r="O748" s="14"/>
      <c r="P748" s="14"/>
    </row>
    <row r="749">
      <c r="A749" s="7" t="s">
        <v>796</v>
      </c>
      <c r="B749" s="7" t="s">
        <v>692</v>
      </c>
      <c r="C749" s="8">
        <v>599.0</v>
      </c>
      <c r="D749" s="8">
        <v>799.0</v>
      </c>
      <c r="E749" s="9">
        <v>0.25</v>
      </c>
      <c r="F749" s="10">
        <v>4.3</v>
      </c>
      <c r="G749" s="11">
        <v>15790.0</v>
      </c>
      <c r="I749" s="7"/>
      <c r="J749" s="7"/>
      <c r="K749" s="13" t="str">
        <f>IF(discount&gt;50%, product, "")</f>
        <v/>
      </c>
      <c r="L749" s="7"/>
      <c r="M749" s="7"/>
      <c r="N749" s="7"/>
      <c r="O749" s="14"/>
      <c r="P749" s="14"/>
    </row>
    <row r="750">
      <c r="A750" s="7" t="s">
        <v>797</v>
      </c>
      <c r="B750" s="7" t="s">
        <v>798</v>
      </c>
      <c r="C750" s="8">
        <v>949.0</v>
      </c>
      <c r="D750" s="8">
        <v>2000.0</v>
      </c>
      <c r="E750" s="9">
        <v>0.53</v>
      </c>
      <c r="F750" s="10">
        <v>3.9</v>
      </c>
      <c r="G750" s="11">
        <v>14969.0</v>
      </c>
      <c r="I750" s="7"/>
      <c r="J750" s="7"/>
      <c r="K750" s="13" t="str">
        <f>IF(discount&gt;50%, product, "")</f>
        <v>JBL Commercial CSLM20B Auxiliary Omnidirectional Lavalier Microphone with Battery for Content Creation, Voiceover/Dubbing, Recording (Black,Small)</v>
      </c>
      <c r="L750" s="7"/>
      <c r="M750" s="7"/>
      <c r="N750" s="7"/>
      <c r="O750" s="14"/>
      <c r="P750" s="14"/>
    </row>
    <row r="751">
      <c r="A751" s="7" t="s">
        <v>799</v>
      </c>
      <c r="B751" s="7" t="s">
        <v>373</v>
      </c>
      <c r="C751" s="8">
        <v>2499.0</v>
      </c>
      <c r="D751" s="8">
        <v>9999.0</v>
      </c>
      <c r="E751" s="9">
        <v>0.75</v>
      </c>
      <c r="F751" s="10">
        <v>4.1</v>
      </c>
      <c r="G751" s="11">
        <v>42139.0</v>
      </c>
      <c r="I751" s="7"/>
      <c r="J751" s="7"/>
      <c r="K751" s="13" t="str">
        <f>IF(discount&gt;50%, product, "")</f>
        <v>Fire-Boltt India's No 1 Smartwatch Brand Ring Bluetooth Calling with SpO2 &amp; 1.7” Metal Body with Blood Oxygen Monitoring, Continuous Heart Rate, Full Touch &amp; Multiple Watch Faces</v>
      </c>
      <c r="L751" s="7"/>
      <c r="M751" s="7"/>
      <c r="N751" s="7"/>
      <c r="O751" s="14"/>
      <c r="P751" s="14"/>
    </row>
    <row r="752">
      <c r="A752" s="7" t="s">
        <v>800</v>
      </c>
      <c r="B752" s="7" t="s">
        <v>652</v>
      </c>
      <c r="C752" s="8">
        <v>159.0</v>
      </c>
      <c r="D752" s="8">
        <v>180.0</v>
      </c>
      <c r="E752" s="9">
        <v>0.12</v>
      </c>
      <c r="F752" s="10">
        <v>4.3</v>
      </c>
      <c r="G752" s="10">
        <v>989.0</v>
      </c>
      <c r="I752" s="7"/>
      <c r="J752" s="7"/>
      <c r="K752" s="13" t="str">
        <f>IF(discount&gt;50%, product, "")</f>
        <v/>
      </c>
      <c r="L752" s="7"/>
      <c r="M752" s="7"/>
      <c r="N752" s="7"/>
      <c r="O752" s="14"/>
      <c r="P752" s="14"/>
    </row>
    <row r="753">
      <c r="A753" s="7" t="s">
        <v>801</v>
      </c>
      <c r="B753" s="7" t="s">
        <v>386</v>
      </c>
      <c r="C753" s="8">
        <v>1329.0</v>
      </c>
      <c r="D753" s="8">
        <v>2900.0</v>
      </c>
      <c r="E753" s="9">
        <v>0.54</v>
      </c>
      <c r="F753" s="10">
        <v>4.5</v>
      </c>
      <c r="G753" s="11">
        <v>19624.0</v>
      </c>
      <c r="I753" s="7"/>
      <c r="J753" s="7"/>
      <c r="K753" s="13" t="str">
        <f>IF(discount&gt;50%, product, "")</f>
        <v>SanDisk Extreme microSD UHS I Card 128GB for 4K Video on Smartphones,Action Cams 190MB/s Read,90MB/s Write</v>
      </c>
      <c r="L753" s="7"/>
      <c r="M753" s="7"/>
      <c r="N753" s="7"/>
      <c r="O753" s="14"/>
      <c r="P753" s="14"/>
    </row>
    <row r="754">
      <c r="A754" s="7" t="s">
        <v>802</v>
      </c>
      <c r="B754" s="7" t="s">
        <v>793</v>
      </c>
      <c r="C754" s="8">
        <v>570.0</v>
      </c>
      <c r="D754" s="8">
        <v>999.0</v>
      </c>
      <c r="E754" s="9">
        <v>0.43</v>
      </c>
      <c r="F754" s="10">
        <v>4.2</v>
      </c>
      <c r="G754" s="11">
        <v>3201.0</v>
      </c>
      <c r="I754" s="7"/>
      <c r="J754" s="7"/>
      <c r="K754" s="13" t="str">
        <f>IF(discount&gt;50%, product, "")</f>
        <v/>
      </c>
      <c r="L754" s="7"/>
      <c r="M754" s="7"/>
      <c r="N754" s="7"/>
      <c r="O754" s="14"/>
      <c r="P754" s="14"/>
    </row>
    <row r="755">
      <c r="A755" s="7" t="s">
        <v>803</v>
      </c>
      <c r="B755" s="7" t="s">
        <v>804</v>
      </c>
      <c r="C755" s="8">
        <v>899.0</v>
      </c>
      <c r="D755" s="8">
        <v>1999.0</v>
      </c>
      <c r="E755" s="9">
        <v>0.55</v>
      </c>
      <c r="F755" s="10">
        <v>4.1</v>
      </c>
      <c r="G755" s="11">
        <v>30469.0</v>
      </c>
      <c r="I755" s="7"/>
      <c r="J755" s="7"/>
      <c r="K755" s="13" t="str">
        <f>IF(discount&gt;50%, product, "")</f>
        <v>Infinity (JBL Fuze Pint, Wireless Ultra Portable Mini Speaker with Mic, Deep Bass, Dual Equalizer, Bluetooth 5.0 with Voice Assistant Support for Mobiles (Black)</v>
      </c>
      <c r="L755" s="7"/>
      <c r="M755" s="7"/>
      <c r="N755" s="7"/>
      <c r="O755" s="14"/>
      <c r="P755" s="14"/>
    </row>
    <row r="756">
      <c r="A756" s="7" t="s">
        <v>805</v>
      </c>
      <c r="B756" s="7" t="s">
        <v>806</v>
      </c>
      <c r="C756" s="8">
        <v>449.0</v>
      </c>
      <c r="D756" s="8">
        <v>999.0</v>
      </c>
      <c r="E756" s="9">
        <v>0.55</v>
      </c>
      <c r="F756" s="10">
        <v>4.4</v>
      </c>
      <c r="G756" s="11">
        <v>9940.0</v>
      </c>
      <c r="I756" s="7"/>
      <c r="J756" s="7"/>
      <c r="K756" s="13" t="str">
        <f>IF(discount&gt;50%, product, "")</f>
        <v>AirCase Protective Laptop Bag Sleeve fits Upto 13.3" Laptop/ MacBook, Wrinkle Free, Padded, Waterproof Light Neoprene case Cover Pouch, for Men &amp; Women, Black- 6 Months Warranty</v>
      </c>
      <c r="L756" s="7"/>
      <c r="M756" s="7"/>
      <c r="N756" s="7"/>
      <c r="O756" s="14"/>
      <c r="P756" s="14"/>
    </row>
    <row r="757">
      <c r="A757" s="7" t="s">
        <v>807</v>
      </c>
      <c r="B757" s="7" t="s">
        <v>808</v>
      </c>
      <c r="C757" s="8">
        <v>549.0</v>
      </c>
      <c r="D757" s="8">
        <v>999.0</v>
      </c>
      <c r="E757" s="9">
        <v>0.45</v>
      </c>
      <c r="F757" s="10">
        <v>4.3</v>
      </c>
      <c r="G757" s="11">
        <v>7758.0</v>
      </c>
      <c r="I757" s="7"/>
      <c r="J757" s="7"/>
      <c r="K757" s="13" t="str">
        <f>IF(discount&gt;50%, product, "")</f>
        <v/>
      </c>
      <c r="L757" s="7"/>
      <c r="M757" s="7"/>
      <c r="N757" s="7"/>
      <c r="O757" s="14"/>
      <c r="P757" s="14"/>
    </row>
    <row r="758">
      <c r="A758" s="7" t="s">
        <v>809</v>
      </c>
      <c r="B758" s="7" t="s">
        <v>709</v>
      </c>
      <c r="C758" s="8">
        <v>1529.0</v>
      </c>
      <c r="D758" s="8">
        <v>2399.0</v>
      </c>
      <c r="E758" s="9">
        <v>0.36</v>
      </c>
      <c r="F758" s="10">
        <v>4.3</v>
      </c>
      <c r="G758" s="11">
        <v>68409.0</v>
      </c>
      <c r="I758" s="7"/>
      <c r="J758" s="7"/>
      <c r="K758" s="13" t="str">
        <f>IF(discount&gt;50%, product, "")</f>
        <v/>
      </c>
      <c r="L758" s="7"/>
      <c r="M758" s="7"/>
      <c r="N758" s="7"/>
      <c r="O758" s="14"/>
      <c r="P758" s="14"/>
    </row>
    <row r="759">
      <c r="A759" s="7" t="s">
        <v>810</v>
      </c>
      <c r="B759" s="7" t="s">
        <v>811</v>
      </c>
      <c r="C759" s="8">
        <v>100.0</v>
      </c>
      <c r="D759" s="8">
        <v>100.0</v>
      </c>
      <c r="E759" s="9">
        <v>0.0</v>
      </c>
      <c r="F759" s="10">
        <v>4.3</v>
      </c>
      <c r="G759" s="11">
        <v>3095.0</v>
      </c>
      <c r="I759" s="7"/>
      <c r="J759" s="7"/>
      <c r="K759" s="13" t="str">
        <f>IF(discount&gt;50%, product, "")</f>
        <v/>
      </c>
      <c r="L759" s="7"/>
      <c r="M759" s="7"/>
      <c r="N759" s="7"/>
      <c r="O759" s="14"/>
      <c r="P759" s="14"/>
    </row>
    <row r="760">
      <c r="A760" s="7" t="s">
        <v>812</v>
      </c>
      <c r="B760" s="7" t="s">
        <v>635</v>
      </c>
      <c r="C760" s="8">
        <v>299.0</v>
      </c>
      <c r="D760" s="8">
        <v>1499.0</v>
      </c>
      <c r="E760" s="9">
        <v>0.8</v>
      </c>
      <c r="F760" s="10">
        <v>4.2</v>
      </c>
      <c r="G760" s="10">
        <v>903.0</v>
      </c>
      <c r="I760" s="7"/>
      <c r="J760" s="7"/>
      <c r="K760" s="13" t="str">
        <f>IF(discount&gt;50%, product, "")</f>
        <v>STRIFF Laptop Stand Adjustable Laptop Computer Stand Multi-Angle Stand Phone Stand Portable Foldable Laptop Riser Notebook Holder Stand Compatible for 9 to 15.6” Laptops Black(Black)</v>
      </c>
      <c r="L760" s="7"/>
      <c r="M760" s="7"/>
      <c r="N760" s="7"/>
      <c r="O760" s="14"/>
      <c r="P760" s="14"/>
    </row>
    <row r="761">
      <c r="A761" s="7" t="s">
        <v>813</v>
      </c>
      <c r="B761" s="7" t="s">
        <v>660</v>
      </c>
      <c r="C761" s="8">
        <v>1295.0</v>
      </c>
      <c r="D761" s="8">
        <v>1795.0</v>
      </c>
      <c r="E761" s="9">
        <v>0.28</v>
      </c>
      <c r="F761" s="10">
        <v>4.1</v>
      </c>
      <c r="G761" s="11">
        <v>25771.0</v>
      </c>
      <c r="I761" s="7"/>
      <c r="J761" s="7"/>
      <c r="K761" s="13" t="str">
        <f>IF(discount&gt;50%, product, "")</f>
        <v/>
      </c>
      <c r="L761" s="7"/>
      <c r="M761" s="7"/>
      <c r="N761" s="7"/>
      <c r="O761" s="14"/>
      <c r="P761" s="14"/>
    </row>
    <row r="762">
      <c r="A762" s="7" t="s">
        <v>814</v>
      </c>
      <c r="B762" s="7" t="s">
        <v>393</v>
      </c>
      <c r="C762" s="8">
        <v>699.0</v>
      </c>
      <c r="D762" s="8">
        <v>999.0</v>
      </c>
      <c r="E762" s="9">
        <v>0.3</v>
      </c>
      <c r="F762" s="10">
        <v>4.1</v>
      </c>
      <c r="G762" s="7" t="s">
        <v>815</v>
      </c>
      <c r="I762" s="7"/>
      <c r="J762" s="7"/>
      <c r="K762" s="13" t="str">
        <f>IF(discount&gt;50%, product, "")</f>
        <v/>
      </c>
      <c r="L762" s="7"/>
      <c r="M762" s="7"/>
      <c r="N762" s="7"/>
      <c r="O762" s="14"/>
      <c r="P762" s="14"/>
    </row>
    <row r="763">
      <c r="A763" s="7" t="s">
        <v>816</v>
      </c>
      <c r="B763" s="7" t="s">
        <v>817</v>
      </c>
      <c r="C763" s="8">
        <v>252.0</v>
      </c>
      <c r="D763" s="8">
        <v>315.0</v>
      </c>
      <c r="E763" s="9">
        <v>0.2</v>
      </c>
      <c r="F763" s="10">
        <v>4.5</v>
      </c>
      <c r="G763" s="11">
        <v>3785.0</v>
      </c>
      <c r="I763" s="7"/>
      <c r="J763" s="7"/>
      <c r="K763" s="13" t="str">
        <f>IF(discount&gt;50%, product, "")</f>
        <v/>
      </c>
      <c r="L763" s="7"/>
      <c r="M763" s="7"/>
      <c r="N763" s="7"/>
      <c r="O763" s="14"/>
      <c r="P763" s="14"/>
    </row>
    <row r="764">
      <c r="A764" s="7" t="s">
        <v>818</v>
      </c>
      <c r="B764" s="7" t="s">
        <v>652</v>
      </c>
      <c r="C764" s="8">
        <v>190.0</v>
      </c>
      <c r="D764" s="8">
        <v>220.0</v>
      </c>
      <c r="E764" s="9">
        <v>0.14</v>
      </c>
      <c r="F764" s="10">
        <v>4.4</v>
      </c>
      <c r="G764" s="11">
        <v>2866.0</v>
      </c>
      <c r="I764" s="7"/>
      <c r="J764" s="7"/>
      <c r="K764" s="13" t="str">
        <f>IF(discount&gt;50%, product, "")</f>
        <v/>
      </c>
      <c r="L764" s="7"/>
      <c r="M764" s="7"/>
      <c r="N764" s="7"/>
      <c r="O764" s="14"/>
      <c r="P764" s="14"/>
    </row>
    <row r="765">
      <c r="A765" s="7" t="s">
        <v>819</v>
      </c>
      <c r="B765" s="7" t="s">
        <v>660</v>
      </c>
      <c r="C765" s="8">
        <v>1299.0</v>
      </c>
      <c r="D765" s="8">
        <v>1599.0</v>
      </c>
      <c r="E765" s="9">
        <v>0.19</v>
      </c>
      <c r="F765" s="10">
        <v>4.3</v>
      </c>
      <c r="G765" s="11">
        <v>27223.0</v>
      </c>
      <c r="I765" s="7"/>
      <c r="J765" s="7"/>
      <c r="K765" s="13" t="str">
        <f>IF(discount&gt;50%, product, "")</f>
        <v/>
      </c>
      <c r="L765" s="7"/>
      <c r="M765" s="7"/>
      <c r="N765" s="7"/>
      <c r="O765" s="14"/>
      <c r="P765" s="14"/>
    </row>
    <row r="766">
      <c r="A766" s="7" t="s">
        <v>820</v>
      </c>
      <c r="B766" s="7" t="s">
        <v>622</v>
      </c>
      <c r="C766" s="8">
        <v>729.0</v>
      </c>
      <c r="D766" s="8">
        <v>1650.0</v>
      </c>
      <c r="E766" s="9">
        <v>0.56</v>
      </c>
      <c r="F766" s="10">
        <v>4.3</v>
      </c>
      <c r="G766" s="11">
        <v>82356.0</v>
      </c>
      <c r="I766" s="7"/>
      <c r="J766" s="7"/>
      <c r="K766" s="13" t="str">
        <f>IF(discount&gt;50%, product, "")</f>
        <v>SanDisk Ultra 64 GB USB Pen Drives (SDDDC2-064G-I35, Black, Silver)</v>
      </c>
      <c r="L766" s="7"/>
      <c r="M766" s="7"/>
      <c r="N766" s="7"/>
      <c r="O766" s="14"/>
      <c r="P766" s="14"/>
    </row>
    <row r="767">
      <c r="A767" s="7" t="s">
        <v>821</v>
      </c>
      <c r="B767" s="7" t="s">
        <v>822</v>
      </c>
      <c r="C767" s="8">
        <v>480.0</v>
      </c>
      <c r="D767" s="8">
        <v>600.0</v>
      </c>
      <c r="E767" s="9">
        <v>0.2</v>
      </c>
      <c r="F767" s="10">
        <v>4.3</v>
      </c>
      <c r="G767" s="11">
        <v>5719.0</v>
      </c>
      <c r="I767" s="7"/>
      <c r="J767" s="7"/>
      <c r="K767" s="13" t="str">
        <f>IF(discount&gt;50%, product, "")</f>
        <v/>
      </c>
      <c r="L767" s="7"/>
      <c r="M767" s="7"/>
      <c r="N767" s="7"/>
      <c r="O767" s="14"/>
      <c r="P767" s="14"/>
    </row>
    <row r="768">
      <c r="A768" s="7" t="s">
        <v>534</v>
      </c>
      <c r="B768" s="7" t="s">
        <v>373</v>
      </c>
      <c r="C768" s="8">
        <v>1799.0</v>
      </c>
      <c r="D768" s="8">
        <v>6990.0</v>
      </c>
      <c r="E768" s="9">
        <v>0.74</v>
      </c>
      <c r="F768" s="10">
        <v>4.0</v>
      </c>
      <c r="G768" s="11">
        <v>26880.0</v>
      </c>
      <c r="I768" s="7"/>
      <c r="J768" s="7"/>
      <c r="K768" s="13" t="str">
        <f>IF(discount&gt;50%, product, "")</f>
        <v>boAt Flash Edition Smart Watch with Activity Tracker, Multiple Sports Modes, 1.3" Screen, 170+ Watch Faces, Sleep Monitor, Gesture, Camera &amp; Music Control, IP68 &amp; 7 Days Battery Life(Lightning Black)</v>
      </c>
      <c r="L768" s="7"/>
      <c r="M768" s="7"/>
      <c r="N768" s="7"/>
      <c r="O768" s="14"/>
      <c r="P768" s="14"/>
    </row>
    <row r="769">
      <c r="A769" s="7" t="s">
        <v>823</v>
      </c>
      <c r="B769" s="7" t="s">
        <v>631</v>
      </c>
      <c r="C769" s="8">
        <v>999.0</v>
      </c>
      <c r="D769" s="8">
        <v>2499.0</v>
      </c>
      <c r="E769" s="9">
        <v>0.6</v>
      </c>
      <c r="F769" s="10">
        <v>4.3</v>
      </c>
      <c r="G769" s="11">
        <v>1690.0</v>
      </c>
      <c r="I769" s="7"/>
      <c r="J769" s="7"/>
      <c r="K769" s="13" t="str">
        <f>IF(discount&gt;50%, product, "")</f>
        <v>Tarkan Portable Folding Laptop Desk for Bed, Lapdesk with Handle, Drawer, Cup &amp; Mobile/Tablet Holder for Study, Eating, Work (Black)</v>
      </c>
      <c r="L769" s="7"/>
      <c r="M769" s="7"/>
      <c r="N769" s="7"/>
      <c r="O769" s="14"/>
      <c r="P769" s="14"/>
    </row>
    <row r="770">
      <c r="A770" s="7" t="s">
        <v>48</v>
      </c>
      <c r="B770" s="7" t="s">
        <v>15</v>
      </c>
      <c r="C770" s="8">
        <v>299.0</v>
      </c>
      <c r="D770" s="8">
        <v>399.0</v>
      </c>
      <c r="E770" s="9">
        <v>0.25</v>
      </c>
      <c r="F770" s="10">
        <v>4.0</v>
      </c>
      <c r="G770" s="11">
        <v>2766.0</v>
      </c>
      <c r="I770" s="7"/>
      <c r="J770" s="7"/>
      <c r="K770" s="13" t="str">
        <f>IF(discount&gt;50%, product, "")</f>
        <v/>
      </c>
      <c r="L770" s="7"/>
      <c r="M770" s="7"/>
      <c r="N770" s="7"/>
      <c r="O770" s="14"/>
      <c r="P770" s="14"/>
    </row>
    <row r="771">
      <c r="A771" s="7" t="s">
        <v>824</v>
      </c>
      <c r="B771" s="7" t="s">
        <v>825</v>
      </c>
      <c r="C771" s="8">
        <v>238.0</v>
      </c>
      <c r="D771" s="8">
        <v>699.0</v>
      </c>
      <c r="E771" s="9">
        <v>0.66</v>
      </c>
      <c r="F771" s="10">
        <v>4.4</v>
      </c>
      <c r="G771" s="11">
        <v>8372.0</v>
      </c>
      <c r="I771" s="7"/>
      <c r="J771" s="7"/>
      <c r="K771" s="13" t="str">
        <f>IF(discount&gt;50%, product, "")</f>
        <v>Quantum RJ45 Ethernet Patch Cable/LAN Router Cable with Heavy Duty Gold Plated Connectors Supports Hi-Speed Gigabit Upto 1000Mbps, Waterproof and Durable,1-Year Warranty-32.8 Feet (10 Meters)(White)</v>
      </c>
      <c r="L771" s="7"/>
      <c r="M771" s="7"/>
      <c r="N771" s="7"/>
      <c r="O771" s="14"/>
      <c r="P771" s="14"/>
    </row>
    <row r="772">
      <c r="A772" s="7" t="s">
        <v>826</v>
      </c>
      <c r="B772" s="7" t="s">
        <v>660</v>
      </c>
      <c r="C772" s="8">
        <v>1349.0</v>
      </c>
      <c r="D772" s="8">
        <v>2198.0</v>
      </c>
      <c r="E772" s="9">
        <v>0.39</v>
      </c>
      <c r="F772" s="10">
        <v>4.0</v>
      </c>
      <c r="G772" s="11">
        <v>7113.0</v>
      </c>
      <c r="I772" s="7"/>
      <c r="J772" s="7"/>
      <c r="K772" s="13" t="str">
        <f>IF(discount&gt;50%, product, "")</f>
        <v/>
      </c>
      <c r="L772" s="7"/>
      <c r="M772" s="7"/>
      <c r="N772" s="7"/>
      <c r="O772" s="14"/>
      <c r="P772" s="14"/>
    </row>
    <row r="773">
      <c r="A773" s="7" t="s">
        <v>50</v>
      </c>
      <c r="B773" s="7" t="s">
        <v>15</v>
      </c>
      <c r="C773" s="8">
        <v>299.0</v>
      </c>
      <c r="D773" s="8">
        <v>999.0</v>
      </c>
      <c r="E773" s="9">
        <v>0.7</v>
      </c>
      <c r="F773" s="10">
        <v>4.3</v>
      </c>
      <c r="G773" s="11">
        <v>20850.0</v>
      </c>
      <c r="I773" s="7"/>
      <c r="J773" s="7"/>
      <c r="K773" s="13" t="str">
        <f>IF(discount&gt;50%, product, "")</f>
        <v>boAt A400 USB Type-C to USB-A 2.0 Male Data Cable, 2 Meter (Black)</v>
      </c>
      <c r="L773" s="7"/>
      <c r="M773" s="7"/>
      <c r="N773" s="7"/>
      <c r="O773" s="14"/>
      <c r="P773" s="14"/>
    </row>
    <row r="774">
      <c r="A774" s="7" t="s">
        <v>827</v>
      </c>
      <c r="B774" s="7" t="s">
        <v>798</v>
      </c>
      <c r="C774" s="8">
        <v>199.0</v>
      </c>
      <c r="D774" s="8">
        <v>499.0</v>
      </c>
      <c r="E774" s="9">
        <v>0.6</v>
      </c>
      <c r="F774" s="10">
        <v>3.3</v>
      </c>
      <c r="G774" s="11">
        <v>2804.0</v>
      </c>
      <c r="I774" s="7"/>
      <c r="J774" s="7"/>
      <c r="K774" s="13" t="str">
        <f>IF(discount&gt;50%, product, "")</f>
        <v>HUMBLE Dynamic Lapel Collar Mic Voice Recording Filter Microphone for Singing Youtube SmartPhones, Black</v>
      </c>
      <c r="L774" s="7"/>
      <c r="M774" s="7"/>
      <c r="N774" s="7"/>
      <c r="O774" s="14"/>
      <c r="P774" s="14"/>
    </row>
    <row r="775">
      <c r="A775" s="7" t="s">
        <v>828</v>
      </c>
      <c r="B775" s="7" t="s">
        <v>393</v>
      </c>
      <c r="C775" s="8">
        <v>1999.0</v>
      </c>
      <c r="D775" s="8">
        <v>9999.0</v>
      </c>
      <c r="E775" s="9">
        <v>0.8</v>
      </c>
      <c r="F775" s="10">
        <v>3.7</v>
      </c>
      <c r="G775" s="11">
        <v>1986.0</v>
      </c>
      <c r="I775" s="7"/>
      <c r="J775" s="7"/>
      <c r="K775" s="13" t="str">
        <f>IF(discount&gt;50%, product, "")</f>
        <v>Boult Audio Omega with 30dB ANC+ ENC, 32H Playtime, 45ms Latency Gaming Mode, Quad Mic Zen ENC, 3 Equalizer Modes, ANC, Type-C Fast Charging, IPX5 True Wireless in Ear Bluetooth Earbuds (Black)</v>
      </c>
      <c r="L775" s="7"/>
      <c r="M775" s="7"/>
      <c r="N775" s="7"/>
      <c r="O775" s="14"/>
      <c r="P775" s="14"/>
    </row>
    <row r="776">
      <c r="A776" s="7" t="s">
        <v>829</v>
      </c>
      <c r="B776" s="7" t="s">
        <v>450</v>
      </c>
      <c r="C776" s="8">
        <v>99.0</v>
      </c>
      <c r="D776" s="8">
        <v>499.0</v>
      </c>
      <c r="E776" s="9">
        <v>0.8</v>
      </c>
      <c r="F776" s="10">
        <v>4.1</v>
      </c>
      <c r="G776" s="11">
        <v>2451.0</v>
      </c>
      <c r="I776" s="7"/>
      <c r="J776" s="7"/>
      <c r="K776" s="13" t="str">
        <f>IF(discount&gt;50%, product, "")</f>
        <v>STRIFF UPH2W Multi Angle Tablet/Mobile Stand. Holder for iPhone, Android, Samsung, OnePlus, Xiaomi. Portable,Foldable Stand.Perfect for Bed,Office, Home,Gift and Desktop (White)</v>
      </c>
      <c r="L776" s="7"/>
      <c r="M776" s="7"/>
      <c r="N776" s="7"/>
      <c r="O776" s="14"/>
      <c r="P776" s="14"/>
    </row>
    <row r="777">
      <c r="A777" s="7" t="s">
        <v>830</v>
      </c>
      <c r="B777" s="7" t="s">
        <v>625</v>
      </c>
      <c r="C777" s="8">
        <v>499.0</v>
      </c>
      <c r="D777" s="8">
        <v>1000.0</v>
      </c>
      <c r="E777" s="9">
        <v>0.5</v>
      </c>
      <c r="F777" s="10">
        <v>5.0</v>
      </c>
      <c r="G777" s="10">
        <v>23.0</v>
      </c>
      <c r="I777" s="7"/>
      <c r="J777" s="7"/>
      <c r="K777" s="13" t="str">
        <f>IF(discount&gt;50%, product, "")</f>
        <v/>
      </c>
      <c r="L777" s="7"/>
      <c r="M777" s="7"/>
      <c r="N777" s="7"/>
      <c r="O777" s="14"/>
      <c r="P777" s="14"/>
    </row>
    <row r="778">
      <c r="A778" s="7" t="s">
        <v>831</v>
      </c>
      <c r="B778" s="7" t="s">
        <v>832</v>
      </c>
      <c r="C778" s="8">
        <v>1792.0</v>
      </c>
      <c r="D778" s="8">
        <v>3500.0</v>
      </c>
      <c r="E778" s="9">
        <v>0.49</v>
      </c>
      <c r="F778" s="10">
        <v>4.5</v>
      </c>
      <c r="G778" s="11">
        <v>26194.0</v>
      </c>
      <c r="I778" s="7"/>
      <c r="J778" s="7"/>
      <c r="K778" s="13" t="str">
        <f>IF(discount&gt;50%, product, "")</f>
        <v/>
      </c>
      <c r="L778" s="7"/>
      <c r="M778" s="7"/>
      <c r="N778" s="7"/>
      <c r="O778" s="14"/>
      <c r="P778" s="14"/>
    </row>
    <row r="779">
      <c r="A779" s="7" t="s">
        <v>833</v>
      </c>
      <c r="B779" s="7" t="s">
        <v>834</v>
      </c>
      <c r="C779" s="8">
        <v>3299.0</v>
      </c>
      <c r="D779" s="8">
        <v>4100.0</v>
      </c>
      <c r="E779" s="9">
        <v>0.2</v>
      </c>
      <c r="F779" s="10">
        <v>3.9</v>
      </c>
      <c r="G779" s="11">
        <v>15783.0</v>
      </c>
      <c r="I779" s="7"/>
      <c r="J779" s="7"/>
      <c r="K779" s="13" t="str">
        <f>IF(discount&gt;50%, product, "")</f>
        <v/>
      </c>
      <c r="L779" s="7"/>
      <c r="M779" s="7"/>
      <c r="N779" s="7"/>
      <c r="O779" s="14"/>
      <c r="P779" s="14"/>
    </row>
    <row r="780">
      <c r="A780" s="7" t="s">
        <v>835</v>
      </c>
      <c r="B780" s="7" t="s">
        <v>817</v>
      </c>
      <c r="C780" s="8">
        <v>125.0</v>
      </c>
      <c r="D780" s="8">
        <v>180.0</v>
      </c>
      <c r="E780" s="9">
        <v>0.31</v>
      </c>
      <c r="F780" s="10">
        <v>4.4</v>
      </c>
      <c r="G780" s="11">
        <v>8053.0</v>
      </c>
      <c r="I780" s="7"/>
      <c r="J780" s="7"/>
      <c r="K780" s="13" t="str">
        <f>IF(discount&gt;50%, product, "")</f>
        <v/>
      </c>
      <c r="L780" s="7"/>
      <c r="M780" s="7"/>
      <c r="N780" s="7"/>
      <c r="O780" s="14"/>
      <c r="P780" s="14"/>
    </row>
    <row r="781">
      <c r="A781" s="7" t="s">
        <v>836</v>
      </c>
      <c r="B781" s="7" t="s">
        <v>625</v>
      </c>
      <c r="C781" s="8">
        <v>399.0</v>
      </c>
      <c r="D781" s="8">
        <v>1190.0</v>
      </c>
      <c r="E781" s="9">
        <v>0.66</v>
      </c>
      <c r="F781" s="10">
        <v>4.1</v>
      </c>
      <c r="G781" s="11">
        <v>2809.0</v>
      </c>
      <c r="I781" s="7"/>
      <c r="J781" s="7"/>
      <c r="K781" s="13" t="str">
        <f>IF(discount&gt;50%, product, "")</f>
        <v>Zebronics Zeb-Jaguar Wireless Mouse, 2.4GHz with USB Nano Receiver, High Precision Optical Tracking, 4 Buttons, Plug &amp; Play, Ambidextrous, for PC/Mac/Laptop (Black+Grey)</v>
      </c>
      <c r="L781" s="7"/>
      <c r="M781" s="7"/>
      <c r="N781" s="7"/>
      <c r="O781" s="14"/>
      <c r="P781" s="14"/>
    </row>
    <row r="782">
      <c r="A782" s="7" t="s">
        <v>837</v>
      </c>
      <c r="B782" s="7" t="s">
        <v>393</v>
      </c>
      <c r="C782" s="8">
        <v>1199.0</v>
      </c>
      <c r="D782" s="8">
        <v>7999.0</v>
      </c>
      <c r="E782" s="9">
        <v>0.85</v>
      </c>
      <c r="F782" s="10">
        <v>3.6</v>
      </c>
      <c r="G782" s="11">
        <v>25910.0</v>
      </c>
      <c r="I782" s="7"/>
      <c r="J782" s="7"/>
      <c r="K782" s="13" t="str">
        <f>IF(discount&gt;50%, product, "")</f>
        <v>Boult Audio Truebuds with 30H Playtime, IPX7 Waterproof, Lightning Boult™ Type C Fast Charging (10 Min=100Mins), BoomX™ Tech Rich Bass, Pro+ Calling HD Mic, Touch Controls in Ear Earbuds TWS (Grey)</v>
      </c>
      <c r="L782" s="7"/>
      <c r="M782" s="7"/>
      <c r="N782" s="7"/>
      <c r="O782" s="14"/>
      <c r="P782" s="14"/>
    </row>
    <row r="783">
      <c r="A783" s="7" t="s">
        <v>838</v>
      </c>
      <c r="B783" s="7" t="s">
        <v>627</v>
      </c>
      <c r="C783" s="8">
        <v>235.0</v>
      </c>
      <c r="D783" s="8">
        <v>1599.0</v>
      </c>
      <c r="E783" s="9">
        <v>0.85</v>
      </c>
      <c r="F783" s="10">
        <v>3.8</v>
      </c>
      <c r="G783" s="11">
        <v>1173.0</v>
      </c>
      <c r="I783" s="7"/>
      <c r="J783" s="7"/>
      <c r="K783" s="13" t="str">
        <f>IF(discount&gt;50%, product, "")</f>
        <v>Wembley LCD Writing Pad/Tab | Writing, Drawing, Reusable, Portable Pad with Colorful Letters | 9 Inch Graphic Tablet (Assorted)</v>
      </c>
      <c r="L783" s="7"/>
      <c r="M783" s="7"/>
      <c r="N783" s="7"/>
      <c r="O783" s="14"/>
      <c r="P783" s="14"/>
    </row>
    <row r="784">
      <c r="A784" s="7" t="s">
        <v>839</v>
      </c>
      <c r="B784" s="7" t="s">
        <v>631</v>
      </c>
      <c r="C784" s="8">
        <v>549.0</v>
      </c>
      <c r="D784" s="8">
        <v>1999.0</v>
      </c>
      <c r="E784" s="9">
        <v>0.73</v>
      </c>
      <c r="F784" s="10">
        <v>3.6</v>
      </c>
      <c r="G784" s="11">
        <v>6422.0</v>
      </c>
      <c r="I784" s="7"/>
      <c r="J784" s="7"/>
      <c r="K784" s="13" t="str">
        <f>IF(discount&gt;50%, product, "")</f>
        <v>Gizga Essentials Multi-Purpose Portable &amp; Foldable Wooden Desk for Bed Tray, Laptop Table, Study Table (Black)</v>
      </c>
      <c r="L784" s="7"/>
      <c r="M784" s="7"/>
      <c r="N784" s="7"/>
      <c r="O784" s="14"/>
      <c r="P784" s="14"/>
    </row>
    <row r="785">
      <c r="A785" s="7" t="s">
        <v>840</v>
      </c>
      <c r="B785" s="7" t="s">
        <v>759</v>
      </c>
      <c r="C785" s="8">
        <v>89.0</v>
      </c>
      <c r="D785" s="8">
        <v>99.0</v>
      </c>
      <c r="E785" s="9">
        <v>0.1</v>
      </c>
      <c r="F785" s="10">
        <v>4.2</v>
      </c>
      <c r="G785" s="10">
        <v>241.0</v>
      </c>
      <c r="I785" s="7"/>
      <c r="J785" s="7"/>
      <c r="K785" s="13" t="str">
        <f>IF(discount&gt;50%, product, "")</f>
        <v/>
      </c>
      <c r="L785" s="7"/>
      <c r="M785" s="7"/>
      <c r="N785" s="7"/>
      <c r="O785" s="14"/>
      <c r="P785" s="14"/>
    </row>
    <row r="786">
      <c r="A786" s="7" t="s">
        <v>49</v>
      </c>
      <c r="B786" s="7" t="s">
        <v>15</v>
      </c>
      <c r="C786" s="8">
        <v>970.0</v>
      </c>
      <c r="D786" s="8">
        <v>1999.0</v>
      </c>
      <c r="E786" s="9">
        <v>0.51</v>
      </c>
      <c r="F786" s="10">
        <v>4.4</v>
      </c>
      <c r="G786" s="10">
        <v>184.0</v>
      </c>
      <c r="I786" s="7"/>
      <c r="J786" s="7"/>
      <c r="K786" s="13" t="str">
        <f>IF(discount&gt;50%, product, "")</f>
        <v>Duracell USB C To Lightning Apple Certified (Mfi) Braided Sync &amp; Charge Cable For Iphone, Ipad And Ipod. Fast Charging Lightning Cable, 3.9 Feet (1.2M) - Black</v>
      </c>
      <c r="L786" s="7"/>
      <c r="M786" s="7"/>
      <c r="N786" s="7"/>
      <c r="O786" s="14"/>
      <c r="P786" s="14"/>
    </row>
    <row r="787">
      <c r="A787" s="7" t="s">
        <v>841</v>
      </c>
      <c r="B787" s="7" t="s">
        <v>393</v>
      </c>
      <c r="C787" s="8">
        <v>1299.0</v>
      </c>
      <c r="D787" s="8">
        <v>2999.0</v>
      </c>
      <c r="E787" s="9">
        <v>0.57</v>
      </c>
      <c r="F787" s="10">
        <v>3.8</v>
      </c>
      <c r="G787" s="11">
        <v>14629.0</v>
      </c>
      <c r="I787" s="7"/>
      <c r="J787" s="7"/>
      <c r="K787" s="13" t="str">
        <f>IF(discount&gt;50%, product, "")</f>
        <v>Noise Buds VS201 V2 in-Ear Truly Wireless Earbuds with Dual Equalizer | with Mic | Total 14-Hour Playtime | Full Touch Control | IPX5 Water Resistance and Bluetooth v5.1 (Olive Green)</v>
      </c>
      <c r="L787" s="7"/>
      <c r="M787" s="7"/>
      <c r="N787" s="7"/>
      <c r="O787" s="14"/>
      <c r="P787" s="14"/>
    </row>
    <row r="788">
      <c r="A788" s="7" t="s">
        <v>842</v>
      </c>
      <c r="B788" s="7" t="s">
        <v>696</v>
      </c>
      <c r="C788" s="8">
        <v>230.0</v>
      </c>
      <c r="D788" s="8">
        <v>999.0</v>
      </c>
      <c r="E788" s="9">
        <v>0.77</v>
      </c>
      <c r="F788" s="10">
        <v>4.2</v>
      </c>
      <c r="G788" s="11">
        <v>1528.0</v>
      </c>
      <c r="I788" s="7"/>
      <c r="J788" s="7"/>
      <c r="K788" s="13" t="str">
        <f>IF(discount&gt;50%, product, "")</f>
        <v>Lapster Gel Mouse pad with Wrist Rest , Gaming Mouse Pad with Lycra Cloth Nonslip for Laptop , Computer, , Home &amp; Office (Black)</v>
      </c>
      <c r="L788" s="7"/>
      <c r="M788" s="7"/>
      <c r="N788" s="7"/>
      <c r="O788" s="14"/>
      <c r="P788" s="14"/>
    </row>
    <row r="789">
      <c r="A789" s="7" t="s">
        <v>843</v>
      </c>
      <c r="B789" s="7" t="s">
        <v>844</v>
      </c>
      <c r="C789" s="8">
        <v>119.0</v>
      </c>
      <c r="D789" s="8">
        <v>499.0</v>
      </c>
      <c r="E789" s="9">
        <v>0.76</v>
      </c>
      <c r="F789" s="10">
        <v>4.3</v>
      </c>
      <c r="G789" s="11">
        <v>15032.0</v>
      </c>
      <c r="I789" s="7"/>
      <c r="J789" s="7"/>
      <c r="K789" s="13" t="str">
        <f>IF(discount&gt;50%, product, "")</f>
        <v>Gizga Essentials Earphone Carrying Case, Multi-Purpose Pocket Storage Travel Organizer for Earphones, Headset, Pen Drives, SD Cards, Shock-Proof Ballistic Nylon, Soft Fabric, Mesh Pocket, Green</v>
      </c>
      <c r="L789" s="7"/>
      <c r="M789" s="7"/>
      <c r="N789" s="7"/>
      <c r="O789" s="14"/>
      <c r="P789" s="14"/>
    </row>
    <row r="790">
      <c r="A790" s="7" t="s">
        <v>845</v>
      </c>
      <c r="B790" s="7" t="s">
        <v>846</v>
      </c>
      <c r="C790" s="8">
        <v>449.0</v>
      </c>
      <c r="D790" s="8">
        <v>800.0</v>
      </c>
      <c r="E790" s="9">
        <v>0.44</v>
      </c>
      <c r="F790" s="10">
        <v>4.4</v>
      </c>
      <c r="G790" s="11">
        <v>69585.0</v>
      </c>
      <c r="I790" s="7"/>
      <c r="J790" s="7"/>
      <c r="K790" s="13" t="str">
        <f>IF(discount&gt;50%, product, "")</f>
        <v/>
      </c>
      <c r="L790" s="7"/>
      <c r="M790" s="7"/>
      <c r="N790" s="7"/>
      <c r="O790" s="14"/>
      <c r="P790" s="14"/>
    </row>
    <row r="791">
      <c r="A791" s="7" t="s">
        <v>847</v>
      </c>
      <c r="B791" s="7" t="s">
        <v>848</v>
      </c>
      <c r="C791" s="8">
        <v>1699.0</v>
      </c>
      <c r="D791" s="8">
        <v>3495.0</v>
      </c>
      <c r="E791" s="9">
        <v>0.51</v>
      </c>
      <c r="F791" s="10">
        <v>4.1</v>
      </c>
      <c r="G791" s="11">
        <v>14371.0</v>
      </c>
      <c r="I791" s="7"/>
      <c r="J791" s="7"/>
      <c r="K791" s="13" t="str">
        <f>IF(discount&gt;50%, product, "")</f>
        <v>DIGITEK® (DRL-14C) Professional (31cm) Dual Temperature LED Ring Light with Tripod Stand &amp; Mini Tripod for YouTube, Photo-Shoot, Video Shoot, Live Stream, Makeup, Vlogging &amp; More</v>
      </c>
      <c r="L791" s="7"/>
      <c r="M791" s="7"/>
      <c r="N791" s="7"/>
      <c r="O791" s="14"/>
      <c r="P791" s="14"/>
    </row>
    <row r="792">
      <c r="A792" s="7" t="s">
        <v>849</v>
      </c>
      <c r="B792" s="7" t="s">
        <v>817</v>
      </c>
      <c r="C792" s="8">
        <v>561.0</v>
      </c>
      <c r="D792" s="8">
        <v>720.0</v>
      </c>
      <c r="E792" s="9">
        <v>0.22</v>
      </c>
      <c r="F792" s="10">
        <v>4.4</v>
      </c>
      <c r="G792" s="11">
        <v>3182.0</v>
      </c>
      <c r="I792" s="7"/>
      <c r="J792" s="7"/>
      <c r="K792" s="13" t="str">
        <f>IF(discount&gt;50%, product, "")</f>
        <v/>
      </c>
      <c r="L792" s="7"/>
      <c r="M792" s="7"/>
      <c r="N792" s="7"/>
      <c r="O792" s="14"/>
      <c r="P792" s="14"/>
    </row>
    <row r="793">
      <c r="A793" s="7" t="s">
        <v>850</v>
      </c>
      <c r="B793" s="7" t="s">
        <v>625</v>
      </c>
      <c r="C793" s="8">
        <v>289.0</v>
      </c>
      <c r="D793" s="8">
        <v>590.0</v>
      </c>
      <c r="E793" s="9">
        <v>0.51</v>
      </c>
      <c r="F793" s="10">
        <v>4.4</v>
      </c>
      <c r="G793" s="11">
        <v>25886.0</v>
      </c>
      <c r="I793" s="7"/>
      <c r="J793" s="7"/>
      <c r="K793" s="13" t="str">
        <f>IF(discount&gt;50%, product, "")</f>
        <v>Lenovo 300 Wired Plug &amp; Play USB Mouse, High Resolution 1600 DPI Optical Sensor, 3-Button Design with clickable Scroll Wheel, Ambidextrous, Ergonomic Mouse for Comfortable All-Day Grip (GX30M39704)</v>
      </c>
      <c r="L793" s="7"/>
      <c r="M793" s="7"/>
      <c r="N793" s="7"/>
      <c r="O793" s="14"/>
      <c r="P793" s="14"/>
    </row>
    <row r="794">
      <c r="A794" s="7" t="s">
        <v>851</v>
      </c>
      <c r="B794" s="7" t="s">
        <v>635</v>
      </c>
      <c r="C794" s="8">
        <v>599.0</v>
      </c>
      <c r="D794" s="8">
        <v>1999.0</v>
      </c>
      <c r="E794" s="9">
        <v>0.7</v>
      </c>
      <c r="F794" s="10">
        <v>4.4</v>
      </c>
      <c r="G794" s="11">
        <v>4736.0</v>
      </c>
      <c r="I794" s="7"/>
      <c r="J794" s="7"/>
      <c r="K794" s="13" t="str">
        <f>IF(discount&gt;50%, product, "")</f>
        <v>Dyazo 6 Angles Adjustable Aluminum Ergonomic Foldable Portable Tabletop Laptop/Desktop Riser Stand Holder Compatible for MacBook, HP, Dell, Lenovo &amp; All Other Notebook (Silver)</v>
      </c>
      <c r="L794" s="7"/>
      <c r="M794" s="7"/>
      <c r="N794" s="7"/>
      <c r="O794" s="14"/>
      <c r="P794" s="14"/>
    </row>
    <row r="795">
      <c r="A795" s="7" t="s">
        <v>852</v>
      </c>
      <c r="B795" s="7" t="s">
        <v>662</v>
      </c>
      <c r="C795" s="8">
        <v>5599.0</v>
      </c>
      <c r="D795" s="8">
        <v>7350.0</v>
      </c>
      <c r="E795" s="9">
        <v>0.24</v>
      </c>
      <c r="F795" s="10">
        <v>4.4</v>
      </c>
      <c r="G795" s="11">
        <v>73005.0</v>
      </c>
      <c r="I795" s="7"/>
      <c r="J795" s="7"/>
      <c r="K795" s="13" t="str">
        <f>IF(discount&gt;50%, product, "")</f>
        <v/>
      </c>
      <c r="L795" s="7"/>
      <c r="M795" s="7"/>
      <c r="N795" s="7"/>
      <c r="O795" s="14"/>
      <c r="P795" s="14"/>
    </row>
    <row r="796">
      <c r="A796" s="7" t="s">
        <v>853</v>
      </c>
      <c r="B796" s="7" t="s">
        <v>854</v>
      </c>
      <c r="C796" s="8">
        <v>1990.0</v>
      </c>
      <c r="D796" s="8">
        <v>2595.0</v>
      </c>
      <c r="E796" s="9">
        <v>0.23</v>
      </c>
      <c r="F796" s="10">
        <v>4.3</v>
      </c>
      <c r="G796" s="11">
        <v>20398.0</v>
      </c>
      <c r="I796" s="7"/>
      <c r="J796" s="7"/>
      <c r="K796" s="13" t="str">
        <f>IF(discount&gt;50%, product, "")</f>
        <v/>
      </c>
      <c r="L796" s="7"/>
      <c r="M796" s="7"/>
      <c r="N796" s="7"/>
      <c r="O796" s="14"/>
      <c r="P796" s="14"/>
    </row>
    <row r="797">
      <c r="A797" s="7" t="s">
        <v>855</v>
      </c>
      <c r="B797" s="7" t="s">
        <v>793</v>
      </c>
      <c r="C797" s="8">
        <v>499.0</v>
      </c>
      <c r="D797" s="8">
        <v>799.0</v>
      </c>
      <c r="E797" s="9">
        <v>0.38</v>
      </c>
      <c r="F797" s="10">
        <v>4.3</v>
      </c>
      <c r="G797" s="11">
        <v>2125.0</v>
      </c>
      <c r="I797" s="7"/>
      <c r="J797" s="7"/>
      <c r="K797" s="13" t="str">
        <f>IF(discount&gt;50%, product, "")</f>
        <v/>
      </c>
      <c r="L797" s="7"/>
      <c r="M797" s="7"/>
      <c r="N797" s="7"/>
      <c r="O797" s="14"/>
      <c r="P797" s="14"/>
    </row>
    <row r="798">
      <c r="A798" s="7" t="s">
        <v>856</v>
      </c>
      <c r="B798" s="7" t="s">
        <v>806</v>
      </c>
      <c r="C798" s="8">
        <v>449.0</v>
      </c>
      <c r="D798" s="8">
        <v>999.0</v>
      </c>
      <c r="E798" s="9">
        <v>0.55</v>
      </c>
      <c r="F798" s="10">
        <v>4.3</v>
      </c>
      <c r="G798" s="11">
        <v>11330.0</v>
      </c>
      <c r="I798" s="7"/>
      <c r="J798" s="7"/>
      <c r="K798" s="13" t="str">
        <f>IF(discount&gt;50%, product, "")</f>
        <v>AirCase Protective Laptop Bag Sleeve fits Upto 15.6" Laptop/ MacBook, Wrinkle Free, Padded, Waterproof Light Neoprene case Cover Pouch, for Men &amp; Women, Black- 6 Months Warranty</v>
      </c>
      <c r="L798" s="7"/>
      <c r="M798" s="7"/>
      <c r="N798" s="7"/>
      <c r="O798" s="14"/>
      <c r="P798" s="14"/>
    </row>
    <row r="799">
      <c r="A799" s="7" t="s">
        <v>857</v>
      </c>
      <c r="B799" s="7" t="s">
        <v>858</v>
      </c>
      <c r="C799" s="8">
        <v>999.0</v>
      </c>
      <c r="D799" s="8">
        <v>1999.0</v>
      </c>
      <c r="E799" s="9">
        <v>0.5</v>
      </c>
      <c r="F799" s="10">
        <v>4.2</v>
      </c>
      <c r="G799" s="11">
        <v>27441.0</v>
      </c>
      <c r="I799" s="7"/>
      <c r="J799" s="7"/>
      <c r="K799" s="13" t="str">
        <f>IF(discount&gt;50%, product, "")</f>
        <v/>
      </c>
      <c r="L799" s="7"/>
      <c r="M799" s="7"/>
      <c r="N799" s="7"/>
      <c r="O799" s="14"/>
      <c r="P799" s="14"/>
    </row>
    <row r="800">
      <c r="A800" s="7" t="s">
        <v>859</v>
      </c>
      <c r="B800" s="7" t="s">
        <v>576</v>
      </c>
      <c r="C800" s="8">
        <v>69.0</v>
      </c>
      <c r="D800" s="8">
        <v>299.0</v>
      </c>
      <c r="E800" s="9">
        <v>0.77</v>
      </c>
      <c r="F800" s="10">
        <v>4.3</v>
      </c>
      <c r="G800" s="10">
        <v>255.0</v>
      </c>
      <c r="I800" s="7"/>
      <c r="J800" s="7"/>
      <c r="K800" s="13" t="str">
        <f>IF(discount&gt;50%, product, "")</f>
        <v>Gizga Essentials Webcam Cover, Privacy Protector Webcam Cover Slide, Compatible with Laptop, Desktop, PC, Smartphone, Protect Your Privacy and Security, Strong Adhesive, Set of 3, Black</v>
      </c>
      <c r="L800" s="7"/>
      <c r="M800" s="7"/>
      <c r="N800" s="7"/>
      <c r="O800" s="14"/>
      <c r="P800" s="14"/>
    </row>
    <row r="801">
      <c r="A801" s="7" t="s">
        <v>860</v>
      </c>
      <c r="B801" s="7" t="s">
        <v>625</v>
      </c>
      <c r="C801" s="8">
        <v>899.0</v>
      </c>
      <c r="D801" s="8">
        <v>1499.0</v>
      </c>
      <c r="E801" s="9">
        <v>0.4</v>
      </c>
      <c r="F801" s="10">
        <v>4.2</v>
      </c>
      <c r="G801" s="11">
        <v>23174.0</v>
      </c>
      <c r="I801" s="7"/>
      <c r="J801" s="7"/>
      <c r="K801" s="13" t="str">
        <f>IF(discount&gt;50%, product, "")</f>
        <v/>
      </c>
      <c r="L801" s="7"/>
      <c r="M801" s="7"/>
      <c r="N801" s="7"/>
      <c r="O801" s="14"/>
      <c r="P801" s="14"/>
    </row>
    <row r="802">
      <c r="A802" s="7" t="s">
        <v>861</v>
      </c>
      <c r="B802" s="7" t="s">
        <v>650</v>
      </c>
      <c r="C802" s="8">
        <v>478.0</v>
      </c>
      <c r="D802" s="8">
        <v>699.0</v>
      </c>
      <c r="E802" s="9">
        <v>0.32</v>
      </c>
      <c r="F802" s="10">
        <v>3.8</v>
      </c>
      <c r="G802" s="11">
        <v>20218.0</v>
      </c>
      <c r="I802" s="7"/>
      <c r="J802" s="7"/>
      <c r="K802" s="13" t="str">
        <f>IF(discount&gt;50%, product, "")</f>
        <v/>
      </c>
      <c r="L802" s="7"/>
      <c r="M802" s="7"/>
      <c r="N802" s="7"/>
      <c r="O802" s="14"/>
      <c r="P802" s="14"/>
    </row>
    <row r="803">
      <c r="A803" s="7" t="s">
        <v>862</v>
      </c>
      <c r="B803" s="7" t="s">
        <v>863</v>
      </c>
      <c r="C803" s="8">
        <v>1399.0</v>
      </c>
      <c r="D803" s="8">
        <v>2490.0</v>
      </c>
      <c r="E803" s="9">
        <v>0.44</v>
      </c>
      <c r="F803" s="10">
        <v>4.3</v>
      </c>
      <c r="G803" s="11">
        <v>11074.0</v>
      </c>
      <c r="I803" s="7"/>
      <c r="J803" s="7"/>
      <c r="K803" s="13" t="str">
        <f>IF(discount&gt;50%, product, "")</f>
        <v/>
      </c>
      <c r="L803" s="7"/>
      <c r="M803" s="7"/>
      <c r="N803" s="7"/>
      <c r="O803" s="14"/>
      <c r="P803" s="14"/>
    </row>
    <row r="804">
      <c r="A804" s="7" t="s">
        <v>51</v>
      </c>
      <c r="B804" s="7" t="s">
        <v>15</v>
      </c>
      <c r="C804" s="8">
        <v>199.0</v>
      </c>
      <c r="D804" s="8">
        <v>750.0</v>
      </c>
      <c r="E804" s="9">
        <v>0.73</v>
      </c>
      <c r="F804" s="10">
        <v>4.5</v>
      </c>
      <c r="G804" s="11">
        <v>74976.0</v>
      </c>
      <c r="I804" s="7"/>
      <c r="J804" s="7"/>
      <c r="K804" s="13" t="str">
        <f>IF(discount&gt;50%, product, "")</f>
        <v>AmazonBasics USB 2.0 - A-Male to A-Female Extension Cable for Personal Computer, Printer (Black, 9.8 Feet/3 Meters)</v>
      </c>
      <c r="L804" s="7"/>
      <c r="M804" s="7"/>
      <c r="N804" s="7"/>
      <c r="O804" s="14"/>
      <c r="P804" s="14"/>
    </row>
    <row r="805">
      <c r="A805" s="7" t="s">
        <v>864</v>
      </c>
      <c r="B805" s="7" t="s">
        <v>865</v>
      </c>
      <c r="C805" s="8">
        <v>149.0</v>
      </c>
      <c r="D805" s="8">
        <v>499.0</v>
      </c>
      <c r="E805" s="9">
        <v>0.7</v>
      </c>
      <c r="F805" s="10">
        <v>4.1</v>
      </c>
      <c r="G805" s="11">
        <v>25607.0</v>
      </c>
      <c r="I805" s="7"/>
      <c r="J805" s="7"/>
      <c r="K805" s="13" t="str">
        <f>IF(discount&gt;50%, product, "")</f>
        <v>GIZGA Essentials Portable Tabletop Tablet Stand Mobile Holder, Desktop Stand, Cradle, Dock for iPad, Smartphone, Kindle, E-Reader, Fully Foldable, Adjustable Angle, Anti-Slip Pads, Black</v>
      </c>
      <c r="L805" s="7"/>
      <c r="M805" s="7"/>
      <c r="N805" s="7"/>
      <c r="O805" s="14"/>
      <c r="P805" s="14"/>
    </row>
    <row r="806">
      <c r="A806" s="7" t="s">
        <v>866</v>
      </c>
      <c r="B806" s="7" t="s">
        <v>719</v>
      </c>
      <c r="C806" s="8">
        <v>1799.0</v>
      </c>
      <c r="D806" s="8">
        <v>4990.0</v>
      </c>
      <c r="E806" s="9">
        <v>0.64</v>
      </c>
      <c r="F806" s="10">
        <v>4.2</v>
      </c>
      <c r="G806" s="11">
        <v>41226.0</v>
      </c>
      <c r="I806" s="7"/>
      <c r="J806" s="7"/>
      <c r="K806" s="13" t="str">
        <f>IF(discount&gt;50%, product, "")</f>
        <v>boAt Stone 650 10W Bluetooth Speaker with Upto 7 Hours Playback, IPX5 and Integrated Controls (Blue)</v>
      </c>
      <c r="L806" s="7"/>
      <c r="M806" s="7"/>
      <c r="N806" s="7"/>
      <c r="O806" s="14"/>
      <c r="P806" s="14"/>
    </row>
    <row r="807">
      <c r="A807" s="7" t="s">
        <v>867</v>
      </c>
      <c r="B807" s="7" t="s">
        <v>868</v>
      </c>
      <c r="C807" s="8">
        <v>425.0</v>
      </c>
      <c r="D807" s="8">
        <v>999.0</v>
      </c>
      <c r="E807" s="9">
        <v>0.57</v>
      </c>
      <c r="F807" s="10">
        <v>4.0</v>
      </c>
      <c r="G807" s="11">
        <v>2581.0</v>
      </c>
      <c r="I807" s="7"/>
      <c r="J807" s="7"/>
      <c r="K807" s="13" t="str">
        <f>IF(discount&gt;50%, product, "")</f>
        <v>ESnipe Mart Worldwide Travel Adapter with Build in Dual USB Charger Ports with 125V 6A, 250V Protected Electrical Plug for Laptops, Cameras (White)</v>
      </c>
      <c r="L807" s="7"/>
      <c r="M807" s="7"/>
      <c r="N807" s="7"/>
      <c r="O807" s="14"/>
      <c r="P807" s="14"/>
    </row>
    <row r="808">
      <c r="A808" s="7" t="s">
        <v>869</v>
      </c>
      <c r="B808" s="7" t="s">
        <v>804</v>
      </c>
      <c r="C808" s="8">
        <v>999.0</v>
      </c>
      <c r="D808" s="8">
        <v>2490.0</v>
      </c>
      <c r="E808" s="9">
        <v>0.6</v>
      </c>
      <c r="F808" s="10">
        <v>4.1</v>
      </c>
      <c r="G808" s="11">
        <v>18331.0</v>
      </c>
      <c r="I808" s="7"/>
      <c r="J808" s="7"/>
      <c r="K808" s="13" t="str">
        <f>IF(discount&gt;50%, product, "")</f>
        <v>boAt Stone 180 5W Bluetooth Speaker with Upto 10 Hours Playback, 1.75" Driver, IPX7 &amp; TWS Feature(Black)</v>
      </c>
      <c r="L808" s="7"/>
      <c r="M808" s="7"/>
      <c r="N808" s="7"/>
      <c r="O808" s="14"/>
      <c r="P808" s="14"/>
    </row>
    <row r="809">
      <c r="A809" s="7" t="s">
        <v>870</v>
      </c>
      <c r="B809" s="7" t="s">
        <v>627</v>
      </c>
      <c r="C809" s="8">
        <v>378.0</v>
      </c>
      <c r="D809" s="8">
        <v>999.0</v>
      </c>
      <c r="E809" s="9">
        <v>0.62</v>
      </c>
      <c r="F809" s="10">
        <v>4.1</v>
      </c>
      <c r="G809" s="11">
        <v>1779.0</v>
      </c>
      <c r="I809" s="7"/>
      <c r="J809" s="7"/>
      <c r="K809" s="13" t="str">
        <f>IF(discount&gt;50%, product, "")</f>
        <v>Portronics Ruffpad 8.5M Multicolor LCD Writing Pad with Screen 21.5cm (8.5-inch) for Drawing, Playing, Handwriting Gifts for Kids &amp; Adults, India's first notepad to save and share your child's first creatives via Ruffpad app on your Smartphone(Black)</v>
      </c>
      <c r="L809" s="7"/>
      <c r="M809" s="7"/>
      <c r="N809" s="7"/>
      <c r="O809" s="14"/>
      <c r="P809" s="14"/>
    </row>
    <row r="810">
      <c r="A810" s="7" t="s">
        <v>871</v>
      </c>
      <c r="B810" s="7" t="s">
        <v>872</v>
      </c>
      <c r="C810" s="8">
        <v>99.0</v>
      </c>
      <c r="D810" s="8">
        <v>99.0</v>
      </c>
      <c r="E810" s="9">
        <v>0.0</v>
      </c>
      <c r="F810" s="10">
        <v>4.3</v>
      </c>
      <c r="G810" s="10">
        <v>388.0</v>
      </c>
      <c r="I810" s="7"/>
      <c r="J810" s="7"/>
      <c r="K810" s="13" t="str">
        <f>IF(discount&gt;50%, product, "")</f>
        <v/>
      </c>
      <c r="L810" s="7"/>
      <c r="M810" s="7"/>
      <c r="N810" s="7"/>
      <c r="O810" s="14"/>
      <c r="P810" s="14"/>
    </row>
    <row r="811">
      <c r="A811" s="7" t="s">
        <v>873</v>
      </c>
      <c r="B811" s="7" t="s">
        <v>709</v>
      </c>
      <c r="C811" s="8">
        <v>1499.0</v>
      </c>
      <c r="D811" s="8">
        <v>2999.0</v>
      </c>
      <c r="E811" s="9">
        <v>0.5</v>
      </c>
      <c r="F811" s="10">
        <v>4.5</v>
      </c>
      <c r="G811" s="11">
        <v>8656.0</v>
      </c>
      <c r="I811" s="7"/>
      <c r="J811" s="7"/>
      <c r="K811" s="13" t="str">
        <f>IF(discount&gt;50%, product, "")</f>
        <v/>
      </c>
      <c r="L811" s="7"/>
      <c r="M811" s="7"/>
      <c r="N811" s="7"/>
      <c r="O811" s="14"/>
      <c r="P811" s="14"/>
    </row>
    <row r="812">
      <c r="A812" s="7" t="s">
        <v>874</v>
      </c>
      <c r="B812" s="7" t="s">
        <v>875</v>
      </c>
      <c r="C812" s="8">
        <v>1815.0</v>
      </c>
      <c r="D812" s="8">
        <v>3100.0</v>
      </c>
      <c r="E812" s="9">
        <v>0.41</v>
      </c>
      <c r="F812" s="10">
        <v>4.5</v>
      </c>
      <c r="G812" s="11">
        <v>92925.0</v>
      </c>
      <c r="I812" s="7"/>
      <c r="J812" s="7"/>
      <c r="K812" s="13" t="str">
        <f>IF(discount&gt;50%, product, "")</f>
        <v/>
      </c>
      <c r="L812" s="7"/>
      <c r="M812" s="7"/>
      <c r="N812" s="7"/>
      <c r="O812" s="14"/>
      <c r="P812" s="14"/>
    </row>
    <row r="813">
      <c r="A813" s="7" t="s">
        <v>876</v>
      </c>
      <c r="B813" s="7" t="s">
        <v>817</v>
      </c>
      <c r="C813" s="8">
        <v>67.0</v>
      </c>
      <c r="D813" s="8">
        <v>75.0</v>
      </c>
      <c r="E813" s="9">
        <v>0.11</v>
      </c>
      <c r="F813" s="10">
        <v>4.1</v>
      </c>
      <c r="G813" s="11">
        <v>1269.0</v>
      </c>
      <c r="I813" s="7"/>
      <c r="J813" s="7"/>
      <c r="K813" s="13" t="str">
        <f>IF(discount&gt;50%, product, "")</f>
        <v/>
      </c>
      <c r="L813" s="7"/>
      <c r="M813" s="7"/>
      <c r="N813" s="7"/>
      <c r="O813" s="14"/>
      <c r="P813" s="14"/>
    </row>
    <row r="814">
      <c r="A814" s="7" t="s">
        <v>877</v>
      </c>
      <c r="B814" s="7" t="s">
        <v>631</v>
      </c>
      <c r="C814" s="8">
        <v>1889.0</v>
      </c>
      <c r="D814" s="8">
        <v>2699.0</v>
      </c>
      <c r="E814" s="9">
        <v>0.3</v>
      </c>
      <c r="F814" s="10">
        <v>4.3</v>
      </c>
      <c r="G814" s="11">
        <v>17394.0</v>
      </c>
      <c r="I814" s="7"/>
      <c r="J814" s="7"/>
      <c r="K814" s="13" t="str">
        <f>IF(discount&gt;50%, product, "")</f>
        <v/>
      </c>
      <c r="L814" s="7"/>
      <c r="M814" s="7"/>
      <c r="N814" s="7"/>
      <c r="O814" s="14"/>
      <c r="P814" s="14"/>
    </row>
    <row r="815">
      <c r="A815" s="7" t="s">
        <v>878</v>
      </c>
      <c r="B815" s="7" t="s">
        <v>393</v>
      </c>
      <c r="C815" s="8">
        <v>499.0</v>
      </c>
      <c r="D815" s="8">
        <v>1499.0</v>
      </c>
      <c r="E815" s="9">
        <v>0.67</v>
      </c>
      <c r="F815" s="10">
        <v>3.6</v>
      </c>
      <c r="G815" s="11">
        <v>9169.0</v>
      </c>
      <c r="I815" s="7"/>
      <c r="J815" s="7"/>
      <c r="K815" s="13" t="str">
        <f>IF(discount&gt;50%, product, "")</f>
        <v>ZEBRONICS Zeb-Evolve Wireless in Ear Neckband Earphone with Supporting Bluetooth v5.0, Voice Assistant, Rapid Charge, Call Function &amp; Magnetic Earpiece, with mic (Metallic Blue)</v>
      </c>
      <c r="L815" s="7"/>
      <c r="M815" s="7"/>
      <c r="N815" s="7"/>
      <c r="O815" s="14"/>
      <c r="P815" s="14"/>
    </row>
    <row r="816">
      <c r="A816" s="7" t="s">
        <v>879</v>
      </c>
      <c r="B816" s="7" t="s">
        <v>696</v>
      </c>
      <c r="C816" s="8">
        <v>499.0</v>
      </c>
      <c r="D816" s="8">
        <v>999.0</v>
      </c>
      <c r="E816" s="9">
        <v>0.5</v>
      </c>
      <c r="F816" s="10">
        <v>4.4</v>
      </c>
      <c r="G816" s="11">
        <v>1030.0</v>
      </c>
      <c r="I816" s="7"/>
      <c r="J816" s="7"/>
      <c r="K816" s="13" t="str">
        <f>IF(discount&gt;50%, product, "")</f>
        <v/>
      </c>
      <c r="L816" s="7"/>
      <c r="M816" s="7"/>
      <c r="N816" s="7"/>
      <c r="O816" s="14"/>
      <c r="P816" s="14"/>
    </row>
    <row r="817">
      <c r="A817" s="7" t="s">
        <v>880</v>
      </c>
      <c r="B817" s="7" t="s">
        <v>662</v>
      </c>
      <c r="C817" s="8">
        <v>5799.0</v>
      </c>
      <c r="D817" s="8">
        <v>7999.0</v>
      </c>
      <c r="E817" s="9">
        <v>0.28</v>
      </c>
      <c r="F817" s="10">
        <v>4.5</v>
      </c>
      <c r="G817" s="11">
        <v>50273.0</v>
      </c>
      <c r="I817" s="7"/>
      <c r="J817" s="7"/>
      <c r="K817" s="13" t="str">
        <f>IF(discount&gt;50%, product, "")</f>
        <v/>
      </c>
      <c r="L817" s="7"/>
      <c r="M817" s="7"/>
      <c r="N817" s="7"/>
      <c r="O817" s="14"/>
      <c r="P817" s="14"/>
    </row>
    <row r="818">
      <c r="A818" s="7" t="s">
        <v>881</v>
      </c>
      <c r="B818" s="7" t="s">
        <v>882</v>
      </c>
      <c r="C818" s="8">
        <v>499.0</v>
      </c>
      <c r="D818" s="8">
        <v>799.0</v>
      </c>
      <c r="E818" s="9">
        <v>0.38</v>
      </c>
      <c r="F818" s="10">
        <v>3.9</v>
      </c>
      <c r="G818" s="11">
        <v>6742.0</v>
      </c>
      <c r="I818" s="7"/>
      <c r="J818" s="7"/>
      <c r="K818" s="13" t="str">
        <f>IF(discount&gt;50%, product, "")</f>
        <v/>
      </c>
      <c r="L818" s="7"/>
      <c r="M818" s="7"/>
      <c r="N818" s="7"/>
      <c r="O818" s="14"/>
      <c r="P818" s="14"/>
    </row>
    <row r="819">
      <c r="A819" s="7" t="s">
        <v>883</v>
      </c>
      <c r="B819" s="7" t="s">
        <v>627</v>
      </c>
      <c r="C819" s="8">
        <v>249.0</v>
      </c>
      <c r="D819" s="8">
        <v>600.0</v>
      </c>
      <c r="E819" s="9">
        <v>0.59</v>
      </c>
      <c r="F819" s="10">
        <v>4.0</v>
      </c>
      <c r="G819" s="11">
        <v>1208.0</v>
      </c>
      <c r="I819" s="7"/>
      <c r="J819" s="7"/>
      <c r="K819" s="13" t="str">
        <f>IF(discount&gt;50%, product, "")</f>
        <v>TVARA LCD Writing Tablet 8.5 Inch E-Note Pad LCD Writing Tablet, Kids Drawing Pad 8.5 Inch Doodle Board, Toddler Boy and Girl Learning Gift for 3 4 5 6 Years Old, Black</v>
      </c>
      <c r="L819" s="7"/>
      <c r="M819" s="7"/>
      <c r="N819" s="7"/>
      <c r="O819" s="14"/>
      <c r="P819" s="14"/>
    </row>
    <row r="820">
      <c r="A820" s="7" t="s">
        <v>52</v>
      </c>
      <c r="B820" s="7" t="s">
        <v>15</v>
      </c>
      <c r="C820" s="8">
        <v>179.0</v>
      </c>
      <c r="D820" s="8">
        <v>499.0</v>
      </c>
      <c r="E820" s="9">
        <v>0.64</v>
      </c>
      <c r="F820" s="10">
        <v>4.0</v>
      </c>
      <c r="G820" s="11">
        <v>1933.0</v>
      </c>
      <c r="I820" s="7"/>
      <c r="J820" s="7"/>
      <c r="K820" s="13" t="str">
        <f>IF(discount&gt;50%, product, "")</f>
        <v>Ambrane 60W / 3A Type C Fast Charging Unbreakable 1.5m L Shaped Braided Cable, PD Technology, 480Mbps Data Transfer for Smartphones, Tablet, Laptops &amp; other type c devices (ABLC10, Black)</v>
      </c>
      <c r="L820" s="7"/>
      <c r="M820" s="7"/>
      <c r="N820" s="7"/>
      <c r="O820" s="14"/>
      <c r="P820" s="14"/>
    </row>
    <row r="821">
      <c r="A821" s="7" t="s">
        <v>884</v>
      </c>
      <c r="B821" s="7" t="s">
        <v>662</v>
      </c>
      <c r="C821" s="8">
        <v>4449.0</v>
      </c>
      <c r="D821" s="8">
        <v>5734.0</v>
      </c>
      <c r="E821" s="9">
        <v>0.22</v>
      </c>
      <c r="F821" s="10">
        <v>4.4</v>
      </c>
      <c r="G821" s="11">
        <v>25006.0</v>
      </c>
      <c r="I821" s="7"/>
      <c r="J821" s="7"/>
      <c r="K821" s="13" t="str">
        <f>IF(discount&gt;50%, product, "")</f>
        <v/>
      </c>
      <c r="L821" s="7"/>
      <c r="M821" s="7"/>
      <c r="N821" s="7"/>
      <c r="O821" s="14"/>
      <c r="P821" s="14"/>
    </row>
    <row r="822">
      <c r="A822" s="7" t="s">
        <v>885</v>
      </c>
      <c r="B822" s="7" t="s">
        <v>781</v>
      </c>
      <c r="C822" s="8">
        <v>299.0</v>
      </c>
      <c r="D822" s="8">
        <v>550.0</v>
      </c>
      <c r="E822" s="9">
        <v>0.46</v>
      </c>
      <c r="F822" s="10">
        <v>4.6</v>
      </c>
      <c r="G822" s="11">
        <v>33434.0</v>
      </c>
      <c r="I822" s="7"/>
      <c r="J822" s="7"/>
      <c r="K822" s="13" t="str">
        <f>IF(discount&gt;50%, product, "")</f>
        <v/>
      </c>
      <c r="L822" s="7"/>
      <c r="M822" s="7"/>
      <c r="N822" s="7"/>
      <c r="O822" s="14"/>
      <c r="P822" s="14"/>
    </row>
    <row r="823">
      <c r="A823" s="7" t="s">
        <v>886</v>
      </c>
      <c r="B823" s="7" t="s">
        <v>625</v>
      </c>
      <c r="C823" s="8">
        <v>629.0</v>
      </c>
      <c r="D823" s="8">
        <v>1390.0</v>
      </c>
      <c r="E823" s="9">
        <v>0.55</v>
      </c>
      <c r="F823" s="10">
        <v>4.4</v>
      </c>
      <c r="G823" s="11">
        <v>6301.0</v>
      </c>
      <c r="I823" s="7"/>
      <c r="J823" s="7"/>
      <c r="K823" s="13" t="str">
        <f>IF(discount&gt;50%, product, "")</f>
        <v>Lenovo 400 Wireless Mouse, 1200DPI Optical Sensor, 2.4GHz Wireless Nano USB, 3-Button (Left,Right,Scroll) Upto 8M Left/Right &amp; 100K Scroll clicks &amp; 1yr Battery, Ambidextrous, Ergonomic GY50R91293</v>
      </c>
      <c r="L823" s="7"/>
      <c r="M823" s="7"/>
      <c r="N823" s="7"/>
      <c r="O823" s="14"/>
      <c r="P823" s="14"/>
    </row>
    <row r="824">
      <c r="A824" s="7" t="s">
        <v>887</v>
      </c>
      <c r="B824" s="7" t="s">
        <v>647</v>
      </c>
      <c r="C824" s="8">
        <v>2595.0</v>
      </c>
      <c r="D824" s="8">
        <v>3295.0</v>
      </c>
      <c r="E824" s="9">
        <v>0.21</v>
      </c>
      <c r="F824" s="10">
        <v>4.4</v>
      </c>
      <c r="G824" s="11">
        <v>22618.0</v>
      </c>
      <c r="I824" s="7"/>
      <c r="J824" s="7"/>
      <c r="K824" s="13" t="str">
        <f>IF(discount&gt;50%, product, "")</f>
        <v/>
      </c>
      <c r="L824" s="7"/>
      <c r="M824" s="7"/>
      <c r="N824" s="7"/>
      <c r="O824" s="14"/>
      <c r="P824" s="14"/>
    </row>
    <row r="825">
      <c r="A825" s="7" t="s">
        <v>53</v>
      </c>
      <c r="B825" s="7" t="s">
        <v>15</v>
      </c>
      <c r="C825" s="8">
        <v>389.0</v>
      </c>
      <c r="D825" s="8">
        <v>1099.0</v>
      </c>
      <c r="E825" s="9">
        <v>0.65</v>
      </c>
      <c r="F825" s="10">
        <v>4.3</v>
      </c>
      <c r="G825" s="10">
        <v>974.0</v>
      </c>
      <c r="I825" s="7"/>
      <c r="J825" s="7"/>
      <c r="K825" s="13" t="str">
        <f>IF(discount&gt;50%, product, "")</f>
        <v>Zoul USB C 60W Fast Charging 3A 6ft/2M Long Type C Nylon Braided Data Cable Quick Charger Cable QC 3.0 for Samsung Galaxy M31S M30 S10 S9 S20 Plus, Note 10 9 8, A20e A40 A50 A70 (2M, Grey)</v>
      </c>
      <c r="L825" s="7"/>
      <c r="M825" s="7"/>
      <c r="N825" s="7"/>
      <c r="O825" s="14"/>
      <c r="P825" s="14"/>
    </row>
    <row r="826">
      <c r="A826" s="7" t="s">
        <v>888</v>
      </c>
      <c r="B826" s="7" t="s">
        <v>709</v>
      </c>
      <c r="C826" s="8">
        <v>1799.0</v>
      </c>
      <c r="D826" s="8">
        <v>2911.0</v>
      </c>
      <c r="E826" s="9">
        <v>0.38</v>
      </c>
      <c r="F826" s="10">
        <v>4.3</v>
      </c>
      <c r="G826" s="11">
        <v>20342.0</v>
      </c>
      <c r="I826" s="7"/>
      <c r="J826" s="7"/>
      <c r="K826" s="13" t="str">
        <f>IF(discount&gt;50%, product, "")</f>
        <v/>
      </c>
      <c r="L826" s="7"/>
      <c r="M826" s="7"/>
      <c r="N826" s="7"/>
      <c r="O826" s="14"/>
      <c r="P826" s="14"/>
    </row>
    <row r="827">
      <c r="A827" s="7" t="s">
        <v>889</v>
      </c>
      <c r="B827" s="7" t="s">
        <v>749</v>
      </c>
      <c r="C827" s="8">
        <v>90.0</v>
      </c>
      <c r="D827" s="8">
        <v>175.0</v>
      </c>
      <c r="E827" s="9">
        <v>0.49</v>
      </c>
      <c r="F827" s="10">
        <v>4.4</v>
      </c>
      <c r="G827" s="11">
        <v>7429.0</v>
      </c>
      <c r="I827" s="7"/>
      <c r="J827" s="7"/>
      <c r="K827" s="13" t="str">
        <f>IF(discount&gt;50%, product, "")</f>
        <v/>
      </c>
      <c r="L827" s="7"/>
      <c r="M827" s="7"/>
      <c r="N827" s="7"/>
      <c r="O827" s="14"/>
      <c r="P827" s="14"/>
    </row>
    <row r="828">
      <c r="A828" s="7" t="s">
        <v>890</v>
      </c>
      <c r="B828" s="7" t="s">
        <v>631</v>
      </c>
      <c r="C828" s="8">
        <v>599.0</v>
      </c>
      <c r="D828" s="8">
        <v>599.0</v>
      </c>
      <c r="E828" s="9">
        <v>0.0</v>
      </c>
      <c r="F828" s="10">
        <v>4.0</v>
      </c>
      <c r="G828" s="11">
        <v>26423.0</v>
      </c>
      <c r="I828" s="7"/>
      <c r="J828" s="7"/>
      <c r="K828" s="13" t="str">
        <f>IF(discount&gt;50%, product, "")</f>
        <v/>
      </c>
      <c r="L828" s="7"/>
      <c r="M828" s="7"/>
      <c r="N828" s="7"/>
      <c r="O828" s="14"/>
      <c r="P828" s="14"/>
    </row>
    <row r="829">
      <c r="A829" s="7" t="s">
        <v>891</v>
      </c>
      <c r="B829" s="7" t="s">
        <v>373</v>
      </c>
      <c r="C829" s="8">
        <v>1999.0</v>
      </c>
      <c r="D829" s="8">
        <v>7999.0</v>
      </c>
      <c r="E829" s="9">
        <v>0.75</v>
      </c>
      <c r="F829" s="10">
        <v>4.2</v>
      </c>
      <c r="G829" s="11">
        <v>31305.0</v>
      </c>
      <c r="I829" s="7"/>
      <c r="J829" s="7"/>
      <c r="K829" s="13" t="str">
        <f>IF(discount&gt;50%, product, "")</f>
        <v>Fire-Boltt Ninja Calling 1.69" Bluetooth Calling Smart Watch, Dial Pad, Speaker, AI Voice Assistant with 450 NITS Peak Brightness, Wrist Gaming &amp; 100+ Watch Faces with SpO2, HR, Multiple Sports Mode</v>
      </c>
      <c r="L829" s="7"/>
      <c r="M829" s="7"/>
      <c r="N829" s="7"/>
      <c r="O829" s="14"/>
      <c r="P829" s="14"/>
    </row>
    <row r="830">
      <c r="A830" s="7" t="s">
        <v>892</v>
      </c>
      <c r="B830" s="7" t="s">
        <v>893</v>
      </c>
      <c r="C830" s="8">
        <v>2099.0</v>
      </c>
      <c r="D830" s="8">
        <v>3250.0</v>
      </c>
      <c r="E830" s="9">
        <v>0.35</v>
      </c>
      <c r="F830" s="10">
        <v>3.8</v>
      </c>
      <c r="G830" s="11">
        <v>11213.0</v>
      </c>
      <c r="I830" s="7"/>
      <c r="J830" s="7"/>
      <c r="K830" s="13" t="str">
        <f>IF(discount&gt;50%, product, "")</f>
        <v/>
      </c>
      <c r="L830" s="7"/>
      <c r="M830" s="7"/>
      <c r="N830" s="7"/>
      <c r="O830" s="14"/>
      <c r="P830" s="14"/>
    </row>
    <row r="831">
      <c r="A831" s="7" t="s">
        <v>894</v>
      </c>
      <c r="B831" s="7" t="s">
        <v>895</v>
      </c>
      <c r="C831" s="8">
        <v>179.0</v>
      </c>
      <c r="D831" s="8">
        <v>499.0</v>
      </c>
      <c r="E831" s="9">
        <v>0.64</v>
      </c>
      <c r="F831" s="10">
        <v>4.1</v>
      </c>
      <c r="G831" s="11">
        <v>10174.0</v>
      </c>
      <c r="I831" s="7"/>
      <c r="J831" s="7"/>
      <c r="K831" s="13" t="str">
        <f>IF(discount&gt;50%, product, "")</f>
        <v>Gizga Essentials Laptop Power Cable Cord- 3 Pin Adapter Isi Certified(1 Meter/3.3 Feet)</v>
      </c>
      <c r="L831" s="7"/>
      <c r="M831" s="7"/>
      <c r="N831" s="7"/>
      <c r="O831" s="14"/>
      <c r="P831" s="14"/>
    </row>
    <row r="832">
      <c r="A832" s="7" t="s">
        <v>896</v>
      </c>
      <c r="B832" s="7" t="s">
        <v>660</v>
      </c>
      <c r="C832" s="8">
        <v>1345.0</v>
      </c>
      <c r="D832" s="8">
        <v>2295.0</v>
      </c>
      <c r="E832" s="9">
        <v>0.41</v>
      </c>
      <c r="F832" s="10">
        <v>4.2</v>
      </c>
      <c r="G832" s="11">
        <v>17413.0</v>
      </c>
      <c r="I832" s="7"/>
      <c r="J832" s="7"/>
      <c r="K832" s="13" t="str">
        <f>IF(discount&gt;50%, product, "")</f>
        <v/>
      </c>
      <c r="L832" s="7"/>
      <c r="M832" s="7"/>
      <c r="N832" s="7"/>
      <c r="O832" s="14"/>
      <c r="P832" s="14"/>
    </row>
    <row r="833">
      <c r="A833" s="7" t="s">
        <v>897</v>
      </c>
      <c r="B833" s="7" t="s">
        <v>680</v>
      </c>
      <c r="C833" s="8">
        <v>349.0</v>
      </c>
      <c r="D833" s="8">
        <v>995.0</v>
      </c>
      <c r="E833" s="9">
        <v>0.65</v>
      </c>
      <c r="F833" s="10">
        <v>4.2</v>
      </c>
      <c r="G833" s="11">
        <v>6676.0</v>
      </c>
      <c r="I833" s="7"/>
      <c r="J833" s="7"/>
      <c r="K833" s="13" t="str">
        <f>IF(discount&gt;50%, product, "")</f>
        <v>DIGITEK® (DTR-200MT) (18 CM) Portable &amp; Flexible Mini Tripod with Mobile Holder &amp; 360 Degree Ball Head, For Smart Phones, Compact Cameras, GoPro, Maximum Operating Height: 7.87 Inch, Maximum Load Upto: 1 kgs</v>
      </c>
      <c r="L833" s="7"/>
      <c r="M833" s="7"/>
      <c r="N833" s="7"/>
      <c r="O833" s="14"/>
      <c r="P833" s="14"/>
    </row>
    <row r="834">
      <c r="A834" s="7" t="s">
        <v>898</v>
      </c>
      <c r="B834" s="7" t="s">
        <v>825</v>
      </c>
      <c r="C834" s="8">
        <v>287.0</v>
      </c>
      <c r="D834" s="8">
        <v>499.0</v>
      </c>
      <c r="E834" s="9">
        <v>0.42</v>
      </c>
      <c r="F834" s="10">
        <v>4.4</v>
      </c>
      <c r="G834" s="11">
        <v>8076.0</v>
      </c>
      <c r="I834" s="7"/>
      <c r="J834" s="7"/>
      <c r="K834" s="13" t="str">
        <f>IF(discount&gt;50%, product, "")</f>
        <v/>
      </c>
      <c r="L834" s="7"/>
      <c r="M834" s="7"/>
      <c r="N834" s="7"/>
      <c r="O834" s="14"/>
      <c r="P834" s="14"/>
    </row>
    <row r="835">
      <c r="A835" s="7" t="s">
        <v>54</v>
      </c>
      <c r="B835" s="7" t="s">
        <v>15</v>
      </c>
      <c r="C835" s="8">
        <v>599.0</v>
      </c>
      <c r="D835" s="8">
        <v>599.0</v>
      </c>
      <c r="E835" s="9">
        <v>0.0</v>
      </c>
      <c r="F835" s="10">
        <v>4.3</v>
      </c>
      <c r="G835" s="10">
        <v>355.0</v>
      </c>
      <c r="I835" s="7"/>
      <c r="J835" s="7"/>
      <c r="K835" s="13" t="str">
        <f>IF(discount&gt;50%, product, "")</f>
        <v/>
      </c>
      <c r="L835" s="7"/>
      <c r="M835" s="7"/>
      <c r="N835" s="7"/>
      <c r="O835" s="14"/>
      <c r="P835" s="14"/>
    </row>
    <row r="836">
      <c r="A836" s="7" t="s">
        <v>899</v>
      </c>
      <c r="B836" s="7" t="s">
        <v>622</v>
      </c>
      <c r="C836" s="8">
        <v>349.0</v>
      </c>
      <c r="D836" s="8">
        <v>450.0</v>
      </c>
      <c r="E836" s="9">
        <v>0.22</v>
      </c>
      <c r="F836" s="10">
        <v>4.1</v>
      </c>
      <c r="G836" s="11">
        <v>18656.0</v>
      </c>
      <c r="I836" s="7"/>
      <c r="J836" s="7"/>
      <c r="K836" s="13" t="str">
        <f>IF(discount&gt;50%, product, "")</f>
        <v/>
      </c>
      <c r="L836" s="7"/>
      <c r="M836" s="7"/>
      <c r="N836" s="7"/>
      <c r="O836" s="14"/>
      <c r="P836" s="14"/>
    </row>
    <row r="837">
      <c r="A837" s="7" t="s">
        <v>900</v>
      </c>
      <c r="B837" s="7" t="s">
        <v>652</v>
      </c>
      <c r="C837" s="8">
        <v>879.0</v>
      </c>
      <c r="D837" s="8">
        <v>1109.0</v>
      </c>
      <c r="E837" s="9">
        <v>0.21</v>
      </c>
      <c r="F837" s="10">
        <v>4.4</v>
      </c>
      <c r="G837" s="11">
        <v>31599.0</v>
      </c>
      <c r="I837" s="7"/>
      <c r="J837" s="7"/>
      <c r="K837" s="13" t="str">
        <f>IF(discount&gt;50%, product, "")</f>
        <v/>
      </c>
      <c r="L837" s="7"/>
      <c r="M837" s="7"/>
      <c r="N837" s="7"/>
      <c r="O837" s="14"/>
      <c r="P837" s="14"/>
    </row>
    <row r="838">
      <c r="A838" s="7" t="s">
        <v>55</v>
      </c>
      <c r="B838" s="7" t="s">
        <v>15</v>
      </c>
      <c r="C838" s="8">
        <v>199.0</v>
      </c>
      <c r="D838" s="8">
        <v>999.0</v>
      </c>
      <c r="E838" s="9">
        <v>0.8</v>
      </c>
      <c r="F838" s="10">
        <v>3.9</v>
      </c>
      <c r="G838" s="11">
        <v>1075.0</v>
      </c>
      <c r="I838" s="7"/>
      <c r="J838" s="7"/>
      <c r="K838" s="13" t="str">
        <f>IF(discount&gt;50%, product, "")</f>
        <v>pTron Solero T351 3.5Amps Fast Charging Type-C to Type-C PD Data &amp; Charging USB Cable, Made in India, 480Mbps Data Sync, Durable 1 Meter Long Cable for Type-C Smartphones, Tablets &amp; Laptops (Black)</v>
      </c>
      <c r="L838" s="7"/>
      <c r="M838" s="7"/>
      <c r="N838" s="7"/>
      <c r="O838" s="14"/>
      <c r="P838" s="14"/>
    </row>
    <row r="839">
      <c r="A839" s="7" t="s">
        <v>901</v>
      </c>
      <c r="B839" s="7" t="s">
        <v>735</v>
      </c>
      <c r="C839" s="8">
        <v>250.0</v>
      </c>
      <c r="D839" s="8">
        <v>250.0</v>
      </c>
      <c r="E839" s="9">
        <v>0.0</v>
      </c>
      <c r="F839" s="10">
        <v>3.9</v>
      </c>
      <c r="G839" s="11">
        <v>13971.0</v>
      </c>
      <c r="I839" s="7"/>
      <c r="J839" s="7"/>
      <c r="K839" s="13" t="str">
        <f>IF(discount&gt;50%, product, "")</f>
        <v/>
      </c>
      <c r="L839" s="7"/>
      <c r="M839" s="7"/>
      <c r="N839" s="7"/>
      <c r="O839" s="14"/>
      <c r="P839" s="14"/>
    </row>
    <row r="840">
      <c r="A840" s="7" t="s">
        <v>902</v>
      </c>
      <c r="B840" s="7" t="s">
        <v>393</v>
      </c>
      <c r="C840" s="8">
        <v>199.0</v>
      </c>
      <c r="D840" s="8">
        <v>499.0</v>
      </c>
      <c r="E840" s="9">
        <v>0.6</v>
      </c>
      <c r="F840" s="10">
        <v>3.6</v>
      </c>
      <c r="G840" s="11">
        <v>2492.0</v>
      </c>
      <c r="I840" s="7"/>
      <c r="J840" s="7"/>
      <c r="K840" s="13" t="str">
        <f>IF(discount&gt;50%, product, "")</f>
        <v>ZEBRONICS Zeb-Buds 30 3.5Mm Stereo Wired in Ear Earphones with Mic for Calling, Volume Control, Multifunction Button, 14Mm Drivers, Stylish Eartip,1.2 Meter Durable Cable and Lightweight Design(Red)</v>
      </c>
      <c r="L840" s="7"/>
      <c r="M840" s="7"/>
      <c r="N840" s="7"/>
      <c r="O840" s="14"/>
      <c r="P840" s="14"/>
    </row>
    <row r="841">
      <c r="A841" s="7" t="s">
        <v>57</v>
      </c>
      <c r="B841" s="7" t="s">
        <v>15</v>
      </c>
      <c r="C841" s="8">
        <v>899.0</v>
      </c>
      <c r="D841" s="8">
        <v>1900.0</v>
      </c>
      <c r="E841" s="9">
        <v>0.53</v>
      </c>
      <c r="F841" s="10">
        <v>4.4</v>
      </c>
      <c r="G841" s="11">
        <v>13552.0</v>
      </c>
      <c r="I841" s="7"/>
      <c r="J841" s="7"/>
      <c r="K841" s="13" t="str">
        <f>IF(discount&gt;50%, product, "")</f>
        <v>Amazonbasics Nylon Braided Usb-C To Lightning Cable, Fast Charging Mfi Certified Smartphone, Iphone Charger (6-Foot, Dark Grey)</v>
      </c>
      <c r="L841" s="7"/>
      <c r="M841" s="7"/>
      <c r="N841" s="7"/>
      <c r="O841" s="14"/>
      <c r="P841" s="14"/>
    </row>
    <row r="842">
      <c r="A842" s="7" t="s">
        <v>58</v>
      </c>
      <c r="B842" s="7" t="s">
        <v>15</v>
      </c>
      <c r="C842" s="8">
        <v>199.0</v>
      </c>
      <c r="D842" s="8">
        <v>999.0</v>
      </c>
      <c r="E842" s="9">
        <v>0.8</v>
      </c>
      <c r="F842" s="10">
        <v>4.0</v>
      </c>
      <c r="G842" s="10">
        <v>575.0</v>
      </c>
      <c r="I842" s="7"/>
      <c r="J842" s="7"/>
      <c r="K842" s="13" t="str">
        <f>IF(discount&gt;50%, product, "")</f>
        <v>Sounce 65W OnePlus Dash Warp Charge Cable, 6.5A Type-C to USB C PD Data Sync Fast Charging Cable Compatible with One Plus 8T/ 9/ 9R/ 9 pro/ 9RT/ 10R/ Nord &amp; for All Type C Devices – Red, 1 Meter</v>
      </c>
      <c r="L842" s="7"/>
      <c r="M842" s="7"/>
      <c r="N842" s="7"/>
      <c r="O842" s="14"/>
      <c r="P842" s="14"/>
    </row>
    <row r="843">
      <c r="A843" s="7" t="s">
        <v>903</v>
      </c>
      <c r="B843" s="7" t="s">
        <v>895</v>
      </c>
      <c r="C843" s="8">
        <v>149.0</v>
      </c>
      <c r="D843" s="8">
        <v>999.0</v>
      </c>
      <c r="E843" s="9">
        <v>0.85</v>
      </c>
      <c r="F843" s="10">
        <v>3.5</v>
      </c>
      <c r="G843" s="11">
        <v>2523.0</v>
      </c>
      <c r="I843" s="7"/>
      <c r="J843" s="7"/>
      <c r="K843" s="13" t="str">
        <f>IF(discount&gt;50%, product, "")</f>
        <v>LAPSTER Accessories Power Cable Cord 2 Pin Laptop Adapter and Tape Recorder 1.5M</v>
      </c>
      <c r="L843" s="7"/>
      <c r="M843" s="7"/>
      <c r="N843" s="7"/>
      <c r="O843" s="14"/>
      <c r="P843" s="14"/>
    </row>
    <row r="844">
      <c r="A844" s="7" t="s">
        <v>904</v>
      </c>
      <c r="B844" s="7" t="s">
        <v>627</v>
      </c>
      <c r="C844" s="8">
        <v>469.0</v>
      </c>
      <c r="D844" s="8">
        <v>1499.0</v>
      </c>
      <c r="E844" s="9">
        <v>0.69</v>
      </c>
      <c r="F844" s="10">
        <v>4.1</v>
      </c>
      <c r="G844" s="10">
        <v>352.0</v>
      </c>
      <c r="I844" s="7"/>
      <c r="J844" s="7"/>
      <c r="K844" s="13" t="str">
        <f>IF(discount&gt;50%, product, "")</f>
        <v>Portronics Ruffpad 12E Re-Writable LCD Writing Pad with 30.4cm (12 inch) Writing Area, Single Tap Erase, Smart Lock, Long Battery Life, India's first notepad to save and share your child's first creatives via Ruffpad app on your Smartphone(Black)</v>
      </c>
      <c r="L844" s="7"/>
      <c r="M844" s="7"/>
      <c r="N844" s="7"/>
      <c r="O844" s="14"/>
      <c r="P844" s="14"/>
    </row>
    <row r="845">
      <c r="A845" s="7" t="s">
        <v>905</v>
      </c>
      <c r="B845" s="7" t="s">
        <v>793</v>
      </c>
      <c r="C845" s="8">
        <v>1187.0</v>
      </c>
      <c r="D845" s="8">
        <v>1929.0</v>
      </c>
      <c r="E845" s="9">
        <v>0.38</v>
      </c>
      <c r="F845" s="10">
        <v>4.1</v>
      </c>
      <c r="G845" s="11">
        <v>1662.0</v>
      </c>
      <c r="I845" s="7"/>
      <c r="J845" s="7"/>
      <c r="K845" s="13" t="str">
        <f>IF(discount&gt;50%, product, "")</f>
        <v/>
      </c>
      <c r="L845" s="7"/>
      <c r="M845" s="7"/>
      <c r="N845" s="7"/>
      <c r="O845" s="14"/>
      <c r="P845" s="14"/>
    </row>
    <row r="846">
      <c r="A846" s="7" t="s">
        <v>906</v>
      </c>
      <c r="B846" s="7" t="s">
        <v>907</v>
      </c>
      <c r="C846" s="8">
        <v>849.0</v>
      </c>
      <c r="D846" s="8">
        <v>1499.0</v>
      </c>
      <c r="E846" s="9">
        <v>0.43</v>
      </c>
      <c r="F846" s="10">
        <v>4.0</v>
      </c>
      <c r="G846" s="11">
        <v>7352.0</v>
      </c>
      <c r="I846" s="7"/>
      <c r="J846" s="7"/>
      <c r="K846" s="13" t="str">
        <f>IF(discount&gt;50%, product, "")</f>
        <v/>
      </c>
      <c r="L846" s="7"/>
      <c r="M846" s="7"/>
      <c r="N846" s="7"/>
      <c r="O846" s="14"/>
      <c r="P846" s="14"/>
    </row>
    <row r="847">
      <c r="A847" s="7" t="s">
        <v>908</v>
      </c>
      <c r="B847" s="7" t="s">
        <v>625</v>
      </c>
      <c r="C847" s="8">
        <v>328.0</v>
      </c>
      <c r="D847" s="8">
        <v>399.0</v>
      </c>
      <c r="E847" s="9">
        <v>0.18</v>
      </c>
      <c r="F847" s="10">
        <v>4.1</v>
      </c>
      <c r="G847" s="11">
        <v>3441.0</v>
      </c>
      <c r="I847" s="7"/>
      <c r="J847" s="7"/>
      <c r="K847" s="13" t="str">
        <f>IF(discount&gt;50%, product, "")</f>
        <v/>
      </c>
      <c r="L847" s="7"/>
      <c r="M847" s="7"/>
      <c r="N847" s="7"/>
      <c r="O847" s="14"/>
      <c r="P847" s="14"/>
    </row>
    <row r="848">
      <c r="A848" s="7" t="s">
        <v>909</v>
      </c>
      <c r="B848" s="7" t="s">
        <v>631</v>
      </c>
      <c r="C848" s="8">
        <v>269.0</v>
      </c>
      <c r="D848" s="8">
        <v>699.0</v>
      </c>
      <c r="E848" s="9">
        <v>0.62</v>
      </c>
      <c r="F848" s="10">
        <v>4.0</v>
      </c>
      <c r="G848" s="10">
        <v>93.0</v>
      </c>
      <c r="I848" s="7"/>
      <c r="J848" s="7"/>
      <c r="K848" s="13" t="str">
        <f>IF(discount&gt;50%, product, "")</f>
        <v>Anjaney Enterprise Smart Multipurpose Foldable Laptop Table with Cup Holder, Study Table, Bed Table, Breakfast Table, Foldable and Portable/Ergonomic &amp; Rounded Edges/Non-Slip (Black)</v>
      </c>
      <c r="L848" s="7"/>
      <c r="M848" s="7"/>
      <c r="N848" s="7"/>
      <c r="O848" s="14"/>
      <c r="P848" s="14"/>
    </row>
    <row r="849">
      <c r="A849" s="7" t="s">
        <v>910</v>
      </c>
      <c r="B849" s="7" t="s">
        <v>911</v>
      </c>
      <c r="C849" s="8">
        <v>299.0</v>
      </c>
      <c r="D849" s="8">
        <v>400.0</v>
      </c>
      <c r="E849" s="9">
        <v>0.25</v>
      </c>
      <c r="F849" s="10">
        <v>3.8</v>
      </c>
      <c r="G849" s="11">
        <v>40895.0</v>
      </c>
      <c r="I849" s="7"/>
      <c r="J849" s="7"/>
      <c r="K849" s="13" t="str">
        <f>IF(discount&gt;50%, product, "")</f>
        <v/>
      </c>
      <c r="L849" s="7"/>
      <c r="M849" s="7"/>
      <c r="N849" s="7"/>
      <c r="O849" s="14"/>
      <c r="P849" s="14"/>
    </row>
    <row r="850">
      <c r="A850" s="7" t="s">
        <v>912</v>
      </c>
      <c r="B850" s="7" t="s">
        <v>913</v>
      </c>
      <c r="C850" s="8">
        <v>549.0</v>
      </c>
      <c r="D850" s="8">
        <v>1499.0</v>
      </c>
      <c r="E850" s="9">
        <v>0.63</v>
      </c>
      <c r="F850" s="10">
        <v>4.3</v>
      </c>
      <c r="G850" s="11">
        <v>11006.0</v>
      </c>
      <c r="I850" s="7"/>
      <c r="J850" s="7"/>
      <c r="K850" s="13" t="str">
        <f>IF(discount&gt;50%, product, "")</f>
        <v>ProElite Faux Leather Smart Flip Case Cover for Apple iPad 10.2" 9th Gen (2021) / 8th Gen / 7th Gen with Stylus Pen, Black</v>
      </c>
      <c r="L850" s="7"/>
      <c r="M850" s="7"/>
      <c r="N850" s="7"/>
      <c r="O850" s="14"/>
      <c r="P850" s="14"/>
    </row>
    <row r="851">
      <c r="A851" s="7" t="s">
        <v>914</v>
      </c>
      <c r="B851" s="7" t="s">
        <v>732</v>
      </c>
      <c r="C851" s="8">
        <v>114.0</v>
      </c>
      <c r="D851" s="8">
        <v>120.0</v>
      </c>
      <c r="E851" s="9">
        <v>0.05</v>
      </c>
      <c r="F851" s="10">
        <v>4.2</v>
      </c>
      <c r="G851" s="11">
        <v>8938.0</v>
      </c>
      <c r="I851" s="7"/>
      <c r="J851" s="7"/>
      <c r="K851" s="13" t="str">
        <f>IF(discount&gt;50%, product, "")</f>
        <v/>
      </c>
      <c r="L851" s="7"/>
      <c r="M851" s="7"/>
      <c r="N851" s="7"/>
      <c r="O851" s="14"/>
      <c r="P851" s="14"/>
    </row>
    <row r="852">
      <c r="A852" s="7" t="s">
        <v>915</v>
      </c>
      <c r="B852" s="7" t="s">
        <v>916</v>
      </c>
      <c r="C852" s="8">
        <v>120.0</v>
      </c>
      <c r="D852" s="8">
        <v>120.0</v>
      </c>
      <c r="E852" s="9">
        <v>0.0</v>
      </c>
      <c r="F852" s="10">
        <v>4.1</v>
      </c>
      <c r="G852" s="11">
        <v>4308.0</v>
      </c>
      <c r="I852" s="7"/>
      <c r="J852" s="7"/>
      <c r="K852" s="13" t="str">
        <f>IF(discount&gt;50%, product, "")</f>
        <v/>
      </c>
      <c r="L852" s="7"/>
      <c r="M852" s="7"/>
      <c r="N852" s="7"/>
      <c r="O852" s="14"/>
      <c r="P852" s="14"/>
    </row>
    <row r="853">
      <c r="A853" s="7" t="s">
        <v>60</v>
      </c>
      <c r="B853" s="7" t="s">
        <v>15</v>
      </c>
      <c r="C853" s="8">
        <v>970.0</v>
      </c>
      <c r="D853" s="8">
        <v>1999.0</v>
      </c>
      <c r="E853" s="9">
        <v>0.51</v>
      </c>
      <c r="F853" s="10">
        <v>4.2</v>
      </c>
      <c r="G853" s="10">
        <v>462.0</v>
      </c>
      <c r="I853" s="7"/>
      <c r="J853" s="7"/>
      <c r="K853" s="13" t="str">
        <f>IF(discount&gt;50%, product, "")</f>
        <v>Duracell Type C To Type C 5A (100W) Braided Sync &amp; Fast Charging Cable, 3.9 Feet (1.2M). USB C to C Cable, Supports PD &amp; QC 3.0 Charging, 5 GBPS Data Transmission – Black</v>
      </c>
      <c r="L853" s="7"/>
      <c r="M853" s="7"/>
      <c r="N853" s="7"/>
      <c r="O853" s="14"/>
      <c r="P853" s="14"/>
    </row>
    <row r="854">
      <c r="A854" s="7" t="s">
        <v>61</v>
      </c>
      <c r="B854" s="7" t="s">
        <v>15</v>
      </c>
      <c r="C854" s="8">
        <v>209.0</v>
      </c>
      <c r="D854" s="8">
        <v>695.0</v>
      </c>
      <c r="E854" s="9">
        <v>0.7</v>
      </c>
      <c r="F854" s="10">
        <v>4.5</v>
      </c>
      <c r="G854" s="7" t="s">
        <v>917</v>
      </c>
      <c r="I854" s="7"/>
      <c r="J854" s="7"/>
      <c r="K854" s="13" t="str">
        <f>IF(discount&gt;50%, product, "")</f>
        <v>AmazonBasics USB 2.0 Cable - A-Male to B-Male - for Personal Computer, Printer- 6 Feet (1.8 Meters), Black</v>
      </c>
      <c r="L854" s="7"/>
      <c r="M854" s="7"/>
      <c r="N854" s="7"/>
      <c r="O854" s="14"/>
      <c r="P854" s="14"/>
    </row>
    <row r="855">
      <c r="A855" s="7" t="s">
        <v>918</v>
      </c>
      <c r="B855" s="7" t="s">
        <v>625</v>
      </c>
      <c r="C855" s="8">
        <v>1490.0</v>
      </c>
      <c r="D855" s="8">
        <v>2295.0</v>
      </c>
      <c r="E855" s="9">
        <v>0.35</v>
      </c>
      <c r="F855" s="10">
        <v>4.6</v>
      </c>
      <c r="G855" s="11">
        <v>10652.0</v>
      </c>
      <c r="I855" s="7"/>
      <c r="J855" s="7"/>
      <c r="K855" s="13" t="str">
        <f>IF(discount&gt;50%, product, "")</f>
        <v/>
      </c>
      <c r="L855" s="7"/>
      <c r="M855" s="7"/>
      <c r="N855" s="7"/>
      <c r="O855" s="14"/>
      <c r="P855" s="14"/>
    </row>
    <row r="856">
      <c r="A856" s="7" t="s">
        <v>919</v>
      </c>
      <c r="B856" s="7" t="s">
        <v>920</v>
      </c>
      <c r="C856" s="8">
        <v>99.0</v>
      </c>
      <c r="D856" s="8">
        <v>99.0</v>
      </c>
      <c r="E856" s="9">
        <v>0.0</v>
      </c>
      <c r="F856" s="10">
        <v>4.3</v>
      </c>
      <c r="G856" s="11">
        <v>5036.0</v>
      </c>
      <c r="I856" s="7"/>
      <c r="J856" s="7"/>
      <c r="K856" s="13" t="str">
        <f>IF(discount&gt;50%, product, "")</f>
        <v/>
      </c>
      <c r="L856" s="7"/>
      <c r="M856" s="7"/>
      <c r="N856" s="7"/>
      <c r="O856" s="14"/>
      <c r="P856" s="14"/>
    </row>
    <row r="857">
      <c r="A857" s="7" t="s">
        <v>921</v>
      </c>
      <c r="B857" s="7" t="s">
        <v>625</v>
      </c>
      <c r="C857" s="8">
        <v>149.0</v>
      </c>
      <c r="D857" s="8">
        <v>249.0</v>
      </c>
      <c r="E857" s="9">
        <v>0.4</v>
      </c>
      <c r="F857" s="10">
        <v>4.0</v>
      </c>
      <c r="G857" s="11">
        <v>5057.0</v>
      </c>
      <c r="I857" s="7"/>
      <c r="J857" s="7"/>
      <c r="K857" s="13" t="str">
        <f>IF(discount&gt;50%, product, "")</f>
        <v/>
      </c>
      <c r="L857" s="7"/>
      <c r="M857" s="7"/>
      <c r="N857" s="7"/>
      <c r="O857" s="14"/>
      <c r="P857" s="14"/>
    </row>
    <row r="858">
      <c r="A858" s="7" t="s">
        <v>922</v>
      </c>
      <c r="B858" s="7" t="s">
        <v>692</v>
      </c>
      <c r="C858" s="8">
        <v>575.0</v>
      </c>
      <c r="D858" s="8">
        <v>2799.0</v>
      </c>
      <c r="E858" s="9">
        <v>0.79</v>
      </c>
      <c r="F858" s="10">
        <v>4.2</v>
      </c>
      <c r="G858" s="11">
        <v>8537.0</v>
      </c>
      <c r="I858" s="7"/>
      <c r="J858" s="7"/>
      <c r="K858" s="13" t="str">
        <f>IF(discount&gt;50%, product, "")</f>
        <v>Ant Esports GM320 RGB Optical Wired Gaming Mouse | 8 Programmable Buttons | 12800 DPI</v>
      </c>
      <c r="L858" s="7"/>
      <c r="M858" s="7"/>
      <c r="N858" s="7"/>
      <c r="O858" s="14"/>
      <c r="P858" s="14"/>
    </row>
    <row r="859">
      <c r="A859" s="7" t="s">
        <v>67</v>
      </c>
      <c r="B859" s="7" t="s">
        <v>15</v>
      </c>
      <c r="C859" s="8">
        <v>333.0</v>
      </c>
      <c r="D859" s="8">
        <v>999.0</v>
      </c>
      <c r="E859" s="9">
        <v>0.67</v>
      </c>
      <c r="F859" s="10">
        <v>3.3</v>
      </c>
      <c r="G859" s="11">
        <v>9792.0</v>
      </c>
      <c r="I859" s="7"/>
      <c r="J859" s="7"/>
      <c r="K859" s="13" t="str">
        <f>IF(discount&gt;50%, product, "")</f>
        <v>Wecool Nylon Braided Multifunction Fast Charging Cable For Android Smartphone, Ios And Type C Usb Devices, 3 In 1 Charging Cable, 3A, (3 Feet) (Black)</v>
      </c>
      <c r="L859" s="7"/>
      <c r="M859" s="7"/>
      <c r="N859" s="7"/>
      <c r="O859" s="14"/>
      <c r="P859" s="14"/>
    </row>
    <row r="860">
      <c r="A860" s="7" t="s">
        <v>923</v>
      </c>
      <c r="B860" s="7" t="s">
        <v>822</v>
      </c>
      <c r="C860" s="8">
        <v>178.0</v>
      </c>
      <c r="D860" s="8">
        <v>210.0</v>
      </c>
      <c r="E860" s="9">
        <v>0.15</v>
      </c>
      <c r="F860" s="10">
        <v>4.3</v>
      </c>
      <c r="G860" s="11">
        <v>2450.0</v>
      </c>
      <c r="I860" s="7"/>
      <c r="J860" s="7"/>
      <c r="K860" s="13" t="str">
        <f>IF(discount&gt;50%, product, "")</f>
        <v/>
      </c>
      <c r="L860" s="7"/>
      <c r="M860" s="7"/>
      <c r="N860" s="7"/>
      <c r="O860" s="14"/>
      <c r="P860" s="14"/>
    </row>
    <row r="861">
      <c r="A861" s="7" t="s">
        <v>924</v>
      </c>
      <c r="B861" s="7" t="s">
        <v>393</v>
      </c>
      <c r="C861" s="8">
        <v>1599.0</v>
      </c>
      <c r="D861" s="8">
        <v>3490.0</v>
      </c>
      <c r="E861" s="9">
        <v>0.54</v>
      </c>
      <c r="F861" s="10">
        <v>3.7</v>
      </c>
      <c r="G861" s="10">
        <v>676.0</v>
      </c>
      <c r="I861" s="7"/>
      <c r="J861" s="7"/>
      <c r="K861" s="13" t="str">
        <f>IF(discount&gt;50%, product, "")</f>
        <v>boAt Airdopes 191G True Wireless Earbuds with ENx™ Tech Equipped Quad Mics, Beast™ Mode(Low Latency- 65ms) for Gaming, 2x6mm Dual Drivers, 30H Playtime, IPX5, IWP™, Appealing Case LEDs(Sport Blue)</v>
      </c>
      <c r="L861" s="7"/>
      <c r="M861" s="7"/>
      <c r="N861" s="7"/>
      <c r="O861" s="14"/>
      <c r="P861" s="14"/>
    </row>
    <row r="862">
      <c r="A862" s="7" t="s">
        <v>925</v>
      </c>
      <c r="B862" s="7" t="s">
        <v>393</v>
      </c>
      <c r="C862" s="8">
        <v>499.0</v>
      </c>
      <c r="D862" s="8">
        <v>1299.0</v>
      </c>
      <c r="E862" s="9">
        <v>0.62</v>
      </c>
      <c r="F862" s="10">
        <v>3.9</v>
      </c>
      <c r="G862" s="11">
        <v>1173.0</v>
      </c>
      <c r="I862" s="7"/>
      <c r="J862" s="7"/>
      <c r="K862" s="13" t="str">
        <f>IF(discount&gt;50%, product, "")</f>
        <v>Boult Audio BassBuds Oak in-Ear Wired Earphones with 10mm Extra Bass Driver and HD Sound with mic(Brown)</v>
      </c>
      <c r="L862" s="7"/>
      <c r="M862" s="7"/>
      <c r="N862" s="7"/>
      <c r="O862" s="14"/>
      <c r="P862" s="14"/>
    </row>
    <row r="863">
      <c r="A863" s="7" t="s">
        <v>926</v>
      </c>
      <c r="B863" s="7" t="s">
        <v>696</v>
      </c>
      <c r="C863" s="8">
        <v>199.0</v>
      </c>
      <c r="D863" s="8">
        <v>499.0</v>
      </c>
      <c r="E863" s="9">
        <v>0.6</v>
      </c>
      <c r="F863" s="10">
        <v>4.3</v>
      </c>
      <c r="G863" s="11">
        <v>9998.0</v>
      </c>
      <c r="I863" s="7"/>
      <c r="J863" s="7"/>
      <c r="K863" s="13" t="str">
        <f>IF(discount&gt;50%, product, "")</f>
        <v>IT2M Designer Mouse Pad for Laptop/Computer (9.2 X 7.6 Inches, 12788)</v>
      </c>
      <c r="L863" s="7"/>
      <c r="M863" s="7"/>
      <c r="N863" s="7"/>
      <c r="O863" s="14"/>
      <c r="P863" s="14"/>
    </row>
    <row r="864">
      <c r="A864" s="7" t="s">
        <v>927</v>
      </c>
      <c r="B864" s="7" t="s">
        <v>373</v>
      </c>
      <c r="C864" s="8">
        <v>2499.0</v>
      </c>
      <c r="D864" s="8">
        <v>5999.0</v>
      </c>
      <c r="E864" s="9">
        <v>0.58</v>
      </c>
      <c r="F864" s="10">
        <v>4.1</v>
      </c>
      <c r="G864" s="11">
        <v>5852.0</v>
      </c>
      <c r="I864" s="7"/>
      <c r="J864" s="7"/>
      <c r="K864" s="13" t="str">
        <f>IF(discount&gt;50%, product, "")</f>
        <v>Noise ColorFit Ultra Buzz Bluetooth Calling Smart Watch with 1.75" HD Display, 320x385 px Resolution, 100 Sports Modes, Stock Market Info Smartwatch for Men &amp; Women (Olive Green)</v>
      </c>
      <c r="L864" s="7"/>
      <c r="M864" s="7"/>
      <c r="N864" s="7"/>
      <c r="O864" s="14"/>
      <c r="P864" s="14"/>
    </row>
    <row r="865">
      <c r="A865" s="7" t="s">
        <v>928</v>
      </c>
      <c r="B865" s="7" t="s">
        <v>929</v>
      </c>
      <c r="C865" s="8">
        <v>199.0</v>
      </c>
      <c r="D865" s="8">
        <v>999.0</v>
      </c>
      <c r="E865" s="9">
        <v>0.8</v>
      </c>
      <c r="F865" s="10">
        <v>4.2</v>
      </c>
      <c r="G865" s="10">
        <v>362.0</v>
      </c>
      <c r="I865" s="7"/>
      <c r="J865" s="7"/>
      <c r="K865" s="13" t="str">
        <f>IF(discount&gt;50%, product, "")</f>
        <v>Lapster Caddy for ssd and HDD, Optical Bay 2nd Hard Drive Caddy, Caddy 9.5mm for Laptop</v>
      </c>
      <c r="L865" s="7"/>
      <c r="M865" s="7"/>
      <c r="N865" s="7"/>
      <c r="O865" s="14"/>
      <c r="P865" s="14"/>
    </row>
    <row r="866">
      <c r="A866" s="7" t="s">
        <v>930</v>
      </c>
      <c r="B866" s="7" t="s">
        <v>386</v>
      </c>
      <c r="C866" s="8">
        <v>939.0</v>
      </c>
      <c r="D866" s="8">
        <v>1800.0</v>
      </c>
      <c r="E866" s="9">
        <v>0.48</v>
      </c>
      <c r="F866" s="10">
        <v>4.5</v>
      </c>
      <c r="G866" s="7" t="s">
        <v>931</v>
      </c>
      <c r="I866" s="7"/>
      <c r="J866" s="7"/>
      <c r="K866" s="13" t="str">
        <f>IF(discount&gt;50%, product, "")</f>
        <v/>
      </c>
      <c r="L866" s="7"/>
      <c r="M866" s="7"/>
      <c r="N866" s="7"/>
      <c r="O866" s="14"/>
      <c r="P866" s="14"/>
    </row>
    <row r="867">
      <c r="A867" s="7" t="s">
        <v>932</v>
      </c>
      <c r="B867" s="7" t="s">
        <v>373</v>
      </c>
      <c r="C867" s="8">
        <v>2499.0</v>
      </c>
      <c r="D867" s="8">
        <v>9999.0</v>
      </c>
      <c r="E867" s="9">
        <v>0.75</v>
      </c>
      <c r="F867" s="10">
        <v>4.0</v>
      </c>
      <c r="G867" s="11">
        <v>9090.0</v>
      </c>
      <c r="I867" s="7"/>
      <c r="J867" s="7"/>
      <c r="K867" s="13" t="str">
        <f>IF(discount&gt;50%, product, "")</f>
        <v>Fire-Boltt Ring Pro Bluetooth Calling, 1.75” 320*385px High Res, IP68 &amp; SpO2 Monitoring, Pin Code Locking Functionality &amp; Split Screen Access, Built in Mic &amp; Speaker for HD Calls, Black, Free Size</v>
      </c>
      <c r="L867" s="7"/>
      <c r="M867" s="7"/>
      <c r="N867" s="7"/>
      <c r="O867" s="14"/>
      <c r="P867" s="14"/>
    </row>
    <row r="868">
      <c r="A868" s="7" t="s">
        <v>933</v>
      </c>
      <c r="B868" s="7" t="s">
        <v>625</v>
      </c>
      <c r="C868" s="8">
        <v>1439.0</v>
      </c>
      <c r="D868" s="8">
        <v>2890.0</v>
      </c>
      <c r="E868" s="9">
        <v>0.5</v>
      </c>
      <c r="F868" s="10">
        <v>4.5</v>
      </c>
      <c r="G868" s="11">
        <v>4099.0</v>
      </c>
      <c r="I868" s="7"/>
      <c r="J868" s="7"/>
      <c r="K868" s="13" t="str">
        <f>IF(discount&gt;50%, product, "")</f>
        <v/>
      </c>
      <c r="L868" s="7"/>
      <c r="M868" s="7"/>
      <c r="N868" s="7"/>
      <c r="O868" s="14"/>
      <c r="P868" s="14"/>
    </row>
    <row r="869">
      <c r="A869" s="7" t="s">
        <v>934</v>
      </c>
      <c r="B869" s="7" t="s">
        <v>393</v>
      </c>
      <c r="C869" s="8">
        <v>1099.0</v>
      </c>
      <c r="D869" s="8">
        <v>5999.0</v>
      </c>
      <c r="E869" s="9">
        <v>0.82</v>
      </c>
      <c r="F869" s="10">
        <v>3.5</v>
      </c>
      <c r="G869" s="11">
        <v>12966.0</v>
      </c>
      <c r="I869" s="7"/>
      <c r="J869" s="7"/>
      <c r="K869" s="13" t="str">
        <f>IF(discount&gt;50%, product, "")</f>
        <v>Boult Audio Airbass Propods X TWS Bluetooth Truly Wireless in Ear Earbuds with Mic, 32H Playtime, Fast Charging Type-C, Ipx5 Water Resistant, Touch Controls and Voice Assistant (Red)</v>
      </c>
      <c r="L869" s="7"/>
      <c r="M869" s="7"/>
      <c r="N869" s="7"/>
      <c r="O869" s="14"/>
      <c r="P869" s="14"/>
    </row>
    <row r="870">
      <c r="A870" s="7" t="s">
        <v>935</v>
      </c>
      <c r="B870" s="7" t="s">
        <v>732</v>
      </c>
      <c r="C870" s="8">
        <v>157.0</v>
      </c>
      <c r="D870" s="8">
        <v>160.0</v>
      </c>
      <c r="E870" s="9">
        <v>0.02</v>
      </c>
      <c r="F870" s="10">
        <v>4.5</v>
      </c>
      <c r="G870" s="11">
        <v>4428.0</v>
      </c>
      <c r="I870" s="7"/>
      <c r="J870" s="7"/>
      <c r="K870" s="13" t="str">
        <f>IF(discount&gt;50%, product, "")</f>
        <v/>
      </c>
      <c r="L870" s="7"/>
      <c r="M870" s="7"/>
      <c r="N870" s="7"/>
      <c r="O870" s="14"/>
      <c r="P870" s="14"/>
    </row>
    <row r="871">
      <c r="A871" s="7" t="s">
        <v>65</v>
      </c>
      <c r="B871" s="7" t="s">
        <v>25</v>
      </c>
      <c r="C871" s="8">
        <v>999.0</v>
      </c>
      <c r="D871" s="8">
        <v>1599.0</v>
      </c>
      <c r="E871" s="9">
        <v>0.38</v>
      </c>
      <c r="F871" s="10">
        <v>4.3</v>
      </c>
      <c r="G871" s="11">
        <v>12093.0</v>
      </c>
      <c r="I871" s="7"/>
      <c r="J871" s="7"/>
      <c r="K871" s="13" t="str">
        <f>IF(discount&gt;50%, product, "")</f>
        <v/>
      </c>
      <c r="L871" s="7"/>
      <c r="M871" s="7"/>
      <c r="N871" s="7"/>
      <c r="O871" s="14"/>
      <c r="P871" s="14"/>
    </row>
    <row r="872">
      <c r="A872" s="7" t="s">
        <v>936</v>
      </c>
      <c r="B872" s="7" t="s">
        <v>685</v>
      </c>
      <c r="C872" s="8">
        <v>115.0</v>
      </c>
      <c r="D872" s="8">
        <v>999.0</v>
      </c>
      <c r="E872" s="9">
        <v>0.88</v>
      </c>
      <c r="F872" s="10">
        <v>3.3</v>
      </c>
      <c r="G872" s="11">
        <v>5692.0</v>
      </c>
      <c r="I872" s="7"/>
      <c r="J872" s="7"/>
      <c r="K872" s="13" t="str">
        <f>IF(discount&gt;50%, product, "")</f>
        <v>LS LAPSTER Quality Assured Universal Silicone 15.6" Keyboard Protector Skin|| Keyboard Dust Cover|| Keyboard Skin for 15.6" Laptop| 15.6" Keyguard| (3.93 x 11.81 x 0.39 inches)</v>
      </c>
      <c r="L872" s="7"/>
      <c r="M872" s="7"/>
      <c r="N872" s="7"/>
      <c r="O872" s="14"/>
      <c r="P872" s="14"/>
    </row>
    <row r="873">
      <c r="A873" s="7" t="s">
        <v>937</v>
      </c>
      <c r="B873" s="7" t="s">
        <v>627</v>
      </c>
      <c r="C873" s="8">
        <v>175.0</v>
      </c>
      <c r="D873" s="8">
        <v>499.0</v>
      </c>
      <c r="E873" s="9">
        <v>0.65</v>
      </c>
      <c r="F873" s="10">
        <v>4.1</v>
      </c>
      <c r="G873" s="10">
        <v>21.0</v>
      </c>
      <c r="I873" s="7"/>
      <c r="J873" s="7"/>
      <c r="K873" s="13" t="str">
        <f>IF(discount&gt;50%, product, "")</f>
        <v>KLAM LCD Writing Tablet Screenwriting Toys Board Smart Digital E-Note Pad 8.5 Inch Light Weight Magic Slate for Drawing Playing Noting by Kids and Adults Best Birthday Gift Girls Boys, Multicolor</v>
      </c>
      <c r="L873" s="7"/>
      <c r="M873" s="7"/>
      <c r="N873" s="7"/>
      <c r="O873" s="14"/>
      <c r="P873" s="14"/>
    </row>
    <row r="874">
      <c r="A874" s="7" t="s">
        <v>938</v>
      </c>
      <c r="B874" s="7" t="s">
        <v>769</v>
      </c>
      <c r="C874" s="8">
        <v>1999.0</v>
      </c>
      <c r="D874" s="8">
        <v>4700.0</v>
      </c>
      <c r="E874" s="9">
        <v>0.57</v>
      </c>
      <c r="F874" s="10">
        <v>3.8</v>
      </c>
      <c r="G874" s="11">
        <v>1880.0</v>
      </c>
      <c r="I874" s="7"/>
      <c r="J874" s="7"/>
      <c r="K874" s="13" t="str">
        <f>IF(discount&gt;50%, product, "")</f>
        <v>CP PLUS 2MP Full HD Smart Wi-fi CCTV Security Camera | 360° with Pan Tilt | Two Way Talk | Cloud Monitor | Motion Detect | Night Vision | Supports SD Card (Up to 128 GB) | Alexa &amp; Ok Google | CP-E21A</v>
      </c>
      <c r="L874" s="7"/>
      <c r="M874" s="7"/>
      <c r="N874" s="7"/>
      <c r="O874" s="14"/>
      <c r="P874" s="14"/>
    </row>
    <row r="875">
      <c r="A875" s="7" t="s">
        <v>939</v>
      </c>
      <c r="B875" s="7" t="s">
        <v>940</v>
      </c>
      <c r="C875" s="8">
        <v>3999.0</v>
      </c>
      <c r="D875" s="8">
        <v>4332.96</v>
      </c>
      <c r="E875" s="9">
        <v>0.08</v>
      </c>
      <c r="F875" s="10">
        <v>3.5</v>
      </c>
      <c r="G875" s="11">
        <v>21762.0</v>
      </c>
      <c r="I875" s="7"/>
      <c r="J875" s="7"/>
      <c r="K875" s="13" t="str">
        <f>IF(discount&gt;50%, product, "")</f>
        <v/>
      </c>
      <c r="L875" s="7"/>
      <c r="M875" s="7"/>
      <c r="N875" s="7"/>
      <c r="O875" s="14"/>
      <c r="P875" s="14"/>
    </row>
    <row r="876">
      <c r="A876" s="7" t="s">
        <v>941</v>
      </c>
      <c r="B876" s="7" t="s">
        <v>709</v>
      </c>
      <c r="C876" s="8">
        <v>899.0</v>
      </c>
      <c r="D876" s="8">
        <v>1800.0</v>
      </c>
      <c r="E876" s="9">
        <v>0.5</v>
      </c>
      <c r="F876" s="10">
        <v>4.1</v>
      </c>
      <c r="G876" s="11">
        <v>22375.0</v>
      </c>
      <c r="I876" s="7"/>
      <c r="J876" s="7"/>
      <c r="K876" s="13" t="str">
        <f>IF(discount&gt;50%, product, "")</f>
        <v/>
      </c>
      <c r="L876" s="7"/>
      <c r="M876" s="7"/>
      <c r="N876" s="7"/>
      <c r="O876" s="14"/>
      <c r="P876" s="14"/>
    </row>
    <row r="877">
      <c r="A877" s="7" t="s">
        <v>942</v>
      </c>
      <c r="B877" s="7" t="s">
        <v>696</v>
      </c>
      <c r="C877" s="8">
        <v>299.0</v>
      </c>
      <c r="D877" s="8">
        <v>990.0</v>
      </c>
      <c r="E877" s="9">
        <v>0.7</v>
      </c>
      <c r="F877" s="10">
        <v>4.5</v>
      </c>
      <c r="G877" s="11">
        <v>2453.0</v>
      </c>
      <c r="I877" s="7"/>
      <c r="J877" s="7"/>
      <c r="K877" s="13" t="str">
        <f>IF(discount&gt;50%, product, "")</f>
        <v>RPM Euro Games Gaming Mousepad Speed Type Extended Large (Size - 800 mm x 300 mm x 3 mm)</v>
      </c>
      <c r="L877" s="7"/>
      <c r="M877" s="7"/>
      <c r="N877" s="7"/>
      <c r="O877" s="14"/>
      <c r="P877" s="14"/>
    </row>
    <row r="878">
      <c r="A878" s="7" t="s">
        <v>943</v>
      </c>
      <c r="B878" s="7" t="s">
        <v>627</v>
      </c>
      <c r="C878" s="8">
        <v>3303.0</v>
      </c>
      <c r="D878" s="8">
        <v>4699.0</v>
      </c>
      <c r="E878" s="9">
        <v>0.3</v>
      </c>
      <c r="F878" s="10">
        <v>4.4</v>
      </c>
      <c r="G878" s="11">
        <v>13544.0</v>
      </c>
      <c r="I878" s="7"/>
      <c r="J878" s="7"/>
      <c r="K878" s="13" t="str">
        <f>IF(discount&gt;50%, product, "")</f>
        <v/>
      </c>
      <c r="L878" s="7"/>
      <c r="M878" s="7"/>
      <c r="N878" s="7"/>
      <c r="O878" s="14"/>
      <c r="P878" s="14"/>
    </row>
    <row r="879">
      <c r="A879" s="7" t="s">
        <v>944</v>
      </c>
      <c r="B879" s="7" t="s">
        <v>854</v>
      </c>
      <c r="C879" s="8">
        <v>1890.0</v>
      </c>
      <c r="D879" s="8">
        <v>5490.0</v>
      </c>
      <c r="E879" s="9">
        <v>0.66</v>
      </c>
      <c r="F879" s="10">
        <v>4.1</v>
      </c>
      <c r="G879" s="11">
        <v>10976.0</v>
      </c>
      <c r="I879" s="7"/>
      <c r="J879" s="7"/>
      <c r="K879" s="13" t="str">
        <f>IF(discount&gt;50%, product, "")</f>
        <v>Lenovo 300 FHD Webcam with Full Stereo Dual Built-in mics | FHD 1080P 2.1 Megapixel CMOS Camera |Privacy Shutter | Ultra-Wide 95 Lens | 360 Rotation | Flexible Mount, Plug-n-Play | Cloud Grey</v>
      </c>
      <c r="L879" s="7"/>
      <c r="M879" s="7"/>
      <c r="N879" s="7"/>
      <c r="O879" s="14"/>
      <c r="P879" s="14"/>
    </row>
    <row r="880">
      <c r="A880" s="7" t="s">
        <v>945</v>
      </c>
      <c r="B880" s="7" t="s">
        <v>811</v>
      </c>
      <c r="C880" s="8">
        <v>90.0</v>
      </c>
      <c r="D880" s="8">
        <v>100.0</v>
      </c>
      <c r="E880" s="9">
        <v>0.1</v>
      </c>
      <c r="F880" s="10">
        <v>4.3</v>
      </c>
      <c r="G880" s="11">
        <v>3061.0</v>
      </c>
      <c r="I880" s="7"/>
      <c r="J880" s="7"/>
      <c r="K880" s="13" t="str">
        <f>IF(discount&gt;50%, product, "")</f>
        <v/>
      </c>
      <c r="L880" s="7"/>
      <c r="M880" s="7"/>
      <c r="N880" s="7"/>
      <c r="O880" s="14"/>
      <c r="P880" s="14"/>
    </row>
    <row r="881">
      <c r="A881" s="7" t="s">
        <v>946</v>
      </c>
      <c r="B881" s="7" t="s">
        <v>393</v>
      </c>
      <c r="C881" s="8">
        <v>1599.0</v>
      </c>
      <c r="D881" s="8">
        <v>2790.0</v>
      </c>
      <c r="E881" s="9">
        <v>0.43</v>
      </c>
      <c r="F881" s="10">
        <v>3.6</v>
      </c>
      <c r="G881" s="11">
        <v>2272.0</v>
      </c>
      <c r="I881" s="7"/>
      <c r="J881" s="7"/>
      <c r="K881" s="13" t="str">
        <f>IF(discount&gt;50%, product, "")</f>
        <v/>
      </c>
      <c r="L881" s="7"/>
      <c r="M881" s="7"/>
      <c r="N881" s="7"/>
      <c r="O881" s="14"/>
      <c r="P881" s="14"/>
    </row>
    <row r="882">
      <c r="A882" s="7" t="s">
        <v>947</v>
      </c>
      <c r="B882" s="7" t="s">
        <v>858</v>
      </c>
      <c r="C882" s="8">
        <v>599.0</v>
      </c>
      <c r="D882" s="8">
        <v>999.0</v>
      </c>
      <c r="E882" s="9">
        <v>0.4</v>
      </c>
      <c r="F882" s="10">
        <v>4.0</v>
      </c>
      <c r="G882" s="11">
        <v>7601.0</v>
      </c>
      <c r="I882" s="7"/>
      <c r="J882" s="7"/>
      <c r="K882" s="13" t="str">
        <f>IF(discount&gt;50%, product, "")</f>
        <v/>
      </c>
      <c r="L882" s="7"/>
      <c r="M882" s="7"/>
      <c r="N882" s="7"/>
      <c r="O882" s="14"/>
      <c r="P882" s="14"/>
    </row>
    <row r="883">
      <c r="A883" s="7" t="s">
        <v>68</v>
      </c>
      <c r="B883" s="7" t="s">
        <v>25</v>
      </c>
      <c r="C883" s="8">
        <v>507.0</v>
      </c>
      <c r="D883" s="8">
        <v>1208.0</v>
      </c>
      <c r="E883" s="9">
        <v>0.58</v>
      </c>
      <c r="F883" s="10">
        <v>4.1</v>
      </c>
      <c r="G883" s="11">
        <v>8131.0</v>
      </c>
      <c r="I883" s="7"/>
      <c r="J883" s="7"/>
      <c r="K883" s="13" t="str">
        <f>IF(discount&gt;50%, product, "")</f>
        <v>D-Link DWA-131 300 Mbps Wireless Nano USB Adapter (Black)</v>
      </c>
      <c r="L883" s="7"/>
      <c r="M883" s="7"/>
      <c r="N883" s="7"/>
      <c r="O883" s="14"/>
      <c r="P883" s="14"/>
    </row>
    <row r="884">
      <c r="A884" s="7" t="s">
        <v>948</v>
      </c>
      <c r="B884" s="7" t="s">
        <v>696</v>
      </c>
      <c r="C884" s="8">
        <v>425.0</v>
      </c>
      <c r="D884" s="8">
        <v>899.0</v>
      </c>
      <c r="E884" s="9">
        <v>0.53</v>
      </c>
      <c r="F884" s="10">
        <v>4.5</v>
      </c>
      <c r="G884" s="11">
        <v>4219.0</v>
      </c>
      <c r="I884" s="7"/>
      <c r="J884" s="7"/>
      <c r="K884" s="13" t="str">
        <f>IF(discount&gt;50%, product, "")</f>
        <v>Tukzer Gel Mouse Pad Wrist Rest Memory-Foam Ergonomic Mousepad| Cushion Wrist Support &amp; Pain Relief| Suitable for Gaming, Computer, Laptop, Home &amp; Office Non-Slip Rubber Base (Blue)</v>
      </c>
      <c r="L884" s="7"/>
      <c r="M884" s="7"/>
      <c r="N884" s="7"/>
      <c r="O884" s="14"/>
      <c r="P884" s="14"/>
    </row>
    <row r="885">
      <c r="A885" s="7" t="s">
        <v>949</v>
      </c>
      <c r="B885" s="7" t="s">
        <v>572</v>
      </c>
      <c r="C885" s="8">
        <v>1499.0</v>
      </c>
      <c r="D885" s="8">
        <v>3999.0</v>
      </c>
      <c r="E885" s="9">
        <v>0.63</v>
      </c>
      <c r="F885" s="10">
        <v>4.2</v>
      </c>
      <c r="G885" s="11">
        <v>42775.0</v>
      </c>
      <c r="I885" s="7"/>
      <c r="J885" s="7"/>
      <c r="K885" s="13" t="str">
        <f>IF(discount&gt;50%, product, "")</f>
        <v>Infinity (JBL Glide 510, 72 Hrs Playtime with Quick Charge, Wireless On Ear Headphone with Mic, Deep Bass, Dual Equalizer, Bluetooth 5.0 with Voice Assistant Support (Black)</v>
      </c>
      <c r="L885" s="7"/>
      <c r="M885" s="7"/>
      <c r="N885" s="7"/>
      <c r="O885" s="14"/>
      <c r="P885" s="14"/>
    </row>
    <row r="886">
      <c r="A886" s="7" t="s">
        <v>950</v>
      </c>
      <c r="B886" s="7" t="s">
        <v>913</v>
      </c>
      <c r="C886" s="8">
        <v>549.0</v>
      </c>
      <c r="D886" s="8">
        <v>2499.0</v>
      </c>
      <c r="E886" s="9">
        <v>0.78</v>
      </c>
      <c r="F886" s="10">
        <v>4.3</v>
      </c>
      <c r="G886" s="11">
        <v>5556.0</v>
      </c>
      <c r="I886" s="7"/>
      <c r="J886" s="7"/>
      <c r="K886" s="13" t="str">
        <f>IF(discount&gt;50%, product, "")</f>
        <v>Robustrion Smart Trifold Hard Back Flip Stand Case Cover for Apple iPad 10.2 Cover iPad 9th Generation Cover 2021 8th Gen 2020 7th Gen 2019 Generation Case - Black</v>
      </c>
      <c r="L886" s="7"/>
      <c r="M886" s="7"/>
      <c r="N886" s="7"/>
      <c r="O886" s="14"/>
      <c r="P886" s="14"/>
    </row>
    <row r="887">
      <c r="A887" s="7" t="s">
        <v>72</v>
      </c>
      <c r="B887" s="7" t="s">
        <v>15</v>
      </c>
      <c r="C887" s="8">
        <v>199.0</v>
      </c>
      <c r="D887" s="8">
        <v>395.0</v>
      </c>
      <c r="E887" s="9">
        <v>0.5</v>
      </c>
      <c r="F887" s="10">
        <v>4.2</v>
      </c>
      <c r="G887" s="11">
        <v>92595.0</v>
      </c>
      <c r="I887" s="7"/>
      <c r="J887" s="7"/>
      <c r="K887" s="13" t="str">
        <f>IF(discount&gt;50%, product, "")</f>
        <v/>
      </c>
      <c r="L887" s="7"/>
      <c r="M887" s="7"/>
      <c r="N887" s="7"/>
      <c r="O887" s="14"/>
      <c r="P887" s="14"/>
    </row>
    <row r="888">
      <c r="A888" s="7" t="s">
        <v>951</v>
      </c>
      <c r="B888" s="7" t="s">
        <v>625</v>
      </c>
      <c r="C888" s="8">
        <v>1295.0</v>
      </c>
      <c r="D888" s="8">
        <v>1645.0</v>
      </c>
      <c r="E888" s="9">
        <v>0.21</v>
      </c>
      <c r="F888" s="10">
        <v>4.6</v>
      </c>
      <c r="G888" s="11">
        <v>12375.0</v>
      </c>
      <c r="I888" s="7"/>
      <c r="J888" s="7"/>
      <c r="K888" s="13" t="str">
        <f>IF(discount&gt;50%, product, "")</f>
        <v/>
      </c>
      <c r="L888" s="7"/>
      <c r="M888" s="7"/>
      <c r="N888" s="7"/>
      <c r="O888" s="14"/>
      <c r="P888" s="14"/>
    </row>
    <row r="889">
      <c r="A889" s="7" t="s">
        <v>952</v>
      </c>
      <c r="B889" s="7" t="s">
        <v>694</v>
      </c>
      <c r="C889" s="8">
        <v>310.0</v>
      </c>
      <c r="D889" s="8">
        <v>310.0</v>
      </c>
      <c r="E889" s="9">
        <v>0.0</v>
      </c>
      <c r="F889" s="10">
        <v>4.5</v>
      </c>
      <c r="G889" s="11">
        <v>5882.0</v>
      </c>
      <c r="I889" s="7"/>
      <c r="J889" s="7"/>
      <c r="K889" s="13" t="str">
        <f>IF(discount&gt;50%, product, "")</f>
        <v/>
      </c>
      <c r="L889" s="7"/>
      <c r="M889" s="7"/>
      <c r="N889" s="7"/>
      <c r="O889" s="14"/>
      <c r="P889" s="14"/>
    </row>
    <row r="890">
      <c r="A890" s="7" t="s">
        <v>575</v>
      </c>
      <c r="B890" s="7" t="s">
        <v>576</v>
      </c>
      <c r="C890" s="8">
        <v>149.0</v>
      </c>
      <c r="D890" s="8">
        <v>149.0</v>
      </c>
      <c r="E890" s="9">
        <v>0.0</v>
      </c>
      <c r="F890" s="10">
        <v>4.3</v>
      </c>
      <c r="G890" s="11">
        <v>10833.0</v>
      </c>
      <c r="I890" s="7"/>
      <c r="J890" s="7"/>
      <c r="K890" s="13" t="str">
        <f>IF(discount&gt;50%, product, "")</f>
        <v/>
      </c>
      <c r="L890" s="7"/>
      <c r="M890" s="7"/>
      <c r="N890" s="7"/>
      <c r="O890" s="14"/>
      <c r="P890" s="14"/>
    </row>
    <row r="891">
      <c r="A891" s="7" t="s">
        <v>953</v>
      </c>
      <c r="B891" s="7" t="s">
        <v>660</v>
      </c>
      <c r="C891" s="8">
        <v>1149.0</v>
      </c>
      <c r="D891" s="8">
        <v>1499.0</v>
      </c>
      <c r="E891" s="9">
        <v>0.23</v>
      </c>
      <c r="F891" s="10">
        <v>4.1</v>
      </c>
      <c r="G891" s="11">
        <v>10443.0</v>
      </c>
      <c r="I891" s="7"/>
      <c r="J891" s="7"/>
      <c r="K891" s="13" t="str">
        <f>IF(discount&gt;50%, product, "")</f>
        <v/>
      </c>
      <c r="L891" s="7"/>
      <c r="M891" s="7"/>
      <c r="N891" s="7"/>
      <c r="O891" s="14"/>
      <c r="P891" s="14"/>
    </row>
    <row r="892">
      <c r="A892" s="7" t="s">
        <v>954</v>
      </c>
      <c r="B892" s="7" t="s">
        <v>631</v>
      </c>
      <c r="C892" s="8">
        <v>499.0</v>
      </c>
      <c r="D892" s="8">
        <v>1299.0</v>
      </c>
      <c r="E892" s="9">
        <v>0.62</v>
      </c>
      <c r="F892" s="10">
        <v>4.5</v>
      </c>
      <c r="G892" s="10">
        <v>434.0</v>
      </c>
      <c r="I892" s="7"/>
      <c r="J892" s="7"/>
      <c r="K892" s="13" t="str">
        <f>IF(discount&gt;50%, product, "")</f>
        <v>SupCares Laptop Stand 7 Height Adjustable, Aluminium, Ventilated, Foldable, Portable Laptop Holder for Desk &amp; Table Mount Upto 15.6 inch Laptop with Carry Pouch (Silver)</v>
      </c>
      <c r="L892" s="7"/>
      <c r="M892" s="7"/>
      <c r="N892" s="7"/>
      <c r="O892" s="14"/>
      <c r="P892" s="14"/>
    </row>
    <row r="893">
      <c r="A893" s="7" t="s">
        <v>955</v>
      </c>
      <c r="B893" s="7" t="s">
        <v>393</v>
      </c>
      <c r="C893" s="8">
        <v>999.0</v>
      </c>
      <c r="D893" s="8">
        <v>4199.0</v>
      </c>
      <c r="E893" s="9">
        <v>0.76</v>
      </c>
      <c r="F893" s="10">
        <v>3.5</v>
      </c>
      <c r="G893" s="11">
        <v>1913.0</v>
      </c>
      <c r="I893" s="7"/>
      <c r="J893" s="7"/>
      <c r="K893" s="13" t="str">
        <f>IF(discount&gt;50%, product, "")</f>
        <v>ZEBRONICS Zeb-Sound Bomb N1 True Wireless in Ear Earbuds with Mic ENC, Gaming Mode (up to 50ms), up to 18H Playback, BT V5.2, Fidget Case, Voice Assistant, Splash Proof, Type C (Midnight Black)</v>
      </c>
      <c r="L893" s="7"/>
      <c r="M893" s="7"/>
      <c r="N893" s="7"/>
      <c r="O893" s="14"/>
      <c r="P893" s="14"/>
    </row>
    <row r="894">
      <c r="A894" s="7" t="s">
        <v>956</v>
      </c>
      <c r="B894" s="7" t="s">
        <v>875</v>
      </c>
      <c r="C894" s="8">
        <v>1709.0</v>
      </c>
      <c r="D894" s="8">
        <v>4000.0</v>
      </c>
      <c r="E894" s="9">
        <v>0.57</v>
      </c>
      <c r="F894" s="10">
        <v>4.4</v>
      </c>
      <c r="G894" s="11">
        <v>3029.0</v>
      </c>
      <c r="I894" s="7"/>
      <c r="J894" s="7"/>
      <c r="K894" s="13" t="str">
        <f>IF(discount&gt;50%, product, "")</f>
        <v>Western Digital WD Green SATA 240GB Internal SSD Solid State Drive - SATA 6Gb/s 2.5 inches - WDS240G3G0A</v>
      </c>
      <c r="L894" s="7"/>
      <c r="M894" s="7"/>
      <c r="N894" s="7"/>
      <c r="O894" s="14"/>
      <c r="P894" s="14"/>
    </row>
    <row r="895">
      <c r="A895" s="7" t="s">
        <v>957</v>
      </c>
      <c r="B895" s="7" t="s">
        <v>654</v>
      </c>
      <c r="C895" s="8">
        <v>250.0</v>
      </c>
      <c r="D895" s="8">
        <v>250.0</v>
      </c>
      <c r="E895" s="9">
        <v>0.0</v>
      </c>
      <c r="F895" s="10">
        <v>4.2</v>
      </c>
      <c r="G895" s="11">
        <v>2628.0</v>
      </c>
      <c r="I895" s="7"/>
      <c r="J895" s="7"/>
      <c r="K895" s="13" t="str">
        <f>IF(discount&gt;50%, product, "")</f>
        <v/>
      </c>
      <c r="L895" s="7"/>
      <c r="M895" s="7"/>
      <c r="N895" s="7"/>
      <c r="O895" s="14"/>
      <c r="P895" s="14"/>
    </row>
    <row r="896">
      <c r="A896" s="7" t="s">
        <v>73</v>
      </c>
      <c r="B896" s="7" t="s">
        <v>25</v>
      </c>
      <c r="C896" s="8">
        <v>1199.0</v>
      </c>
      <c r="D896" s="8">
        <v>2199.0</v>
      </c>
      <c r="E896" s="9">
        <v>0.45</v>
      </c>
      <c r="F896" s="10">
        <v>4.4</v>
      </c>
      <c r="G896" s="11">
        <v>24780.0</v>
      </c>
      <c r="I896" s="7"/>
      <c r="J896" s="7"/>
      <c r="K896" s="13" t="str">
        <f>IF(discount&gt;50%, product, "")</f>
        <v/>
      </c>
      <c r="L896" s="7"/>
      <c r="M896" s="7"/>
      <c r="N896" s="7"/>
      <c r="O896" s="14"/>
      <c r="P896" s="14"/>
    </row>
    <row r="897">
      <c r="A897" s="7" t="s">
        <v>958</v>
      </c>
      <c r="B897" s="7" t="s">
        <v>959</v>
      </c>
      <c r="C897" s="8">
        <v>90.0</v>
      </c>
      <c r="D897" s="8">
        <v>100.0</v>
      </c>
      <c r="E897" s="9">
        <v>0.1</v>
      </c>
      <c r="F897" s="10">
        <v>4.4</v>
      </c>
      <c r="G897" s="11">
        <v>10718.0</v>
      </c>
      <c r="I897" s="7"/>
      <c r="J897" s="7"/>
      <c r="K897" s="13" t="str">
        <f>IF(discount&gt;50%, product, "")</f>
        <v/>
      </c>
      <c r="L897" s="7"/>
      <c r="M897" s="7"/>
      <c r="N897" s="7"/>
      <c r="O897" s="14"/>
      <c r="P897" s="14"/>
    </row>
    <row r="898">
      <c r="A898" s="7" t="s">
        <v>960</v>
      </c>
      <c r="B898" s="7" t="s">
        <v>502</v>
      </c>
      <c r="C898" s="8">
        <v>2025.0</v>
      </c>
      <c r="D898" s="8">
        <v>5999.0</v>
      </c>
      <c r="E898" s="9">
        <v>0.66</v>
      </c>
      <c r="F898" s="10">
        <v>4.2</v>
      </c>
      <c r="G898" s="11">
        <v>6233.0</v>
      </c>
      <c r="I898" s="7"/>
      <c r="J898" s="7"/>
      <c r="K898" s="13" t="str">
        <f>IF(discount&gt;50%, product, "")</f>
        <v>Tukzer Stylus Pen, iPad Pencil with Palm Rejection Tilt Sensor| 2nd Gen for 2018-2022 iPad 6/7/8/9th Gen; iPad 10.2", Pro 12.9/11", Mini 6/5th, Air 5/4/3rd, Precise for Writing/Drawing (3 Spare Tips)</v>
      </c>
      <c r="L898" s="7"/>
      <c r="M898" s="7"/>
      <c r="N898" s="7"/>
      <c r="O898" s="14"/>
      <c r="P898" s="14"/>
    </row>
    <row r="899">
      <c r="A899" s="7" t="s">
        <v>961</v>
      </c>
      <c r="B899" s="7" t="s">
        <v>692</v>
      </c>
      <c r="C899" s="8">
        <v>1495.0</v>
      </c>
      <c r="D899" s="8">
        <v>1995.0</v>
      </c>
      <c r="E899" s="9">
        <v>0.25</v>
      </c>
      <c r="F899" s="10">
        <v>4.5</v>
      </c>
      <c r="G899" s="11">
        <v>10541.0</v>
      </c>
      <c r="I899" s="7"/>
      <c r="J899" s="7"/>
      <c r="K899" s="13" t="str">
        <f>IF(discount&gt;50%, product, "")</f>
        <v/>
      </c>
      <c r="L899" s="7"/>
      <c r="M899" s="7"/>
      <c r="N899" s="7"/>
      <c r="O899" s="14"/>
      <c r="P899" s="14"/>
    </row>
    <row r="900">
      <c r="A900" s="7" t="s">
        <v>75</v>
      </c>
      <c r="B900" s="7" t="s">
        <v>15</v>
      </c>
      <c r="C900" s="8">
        <v>799.0</v>
      </c>
      <c r="D900" s="8">
        <v>2100.0</v>
      </c>
      <c r="E900" s="9">
        <v>0.62</v>
      </c>
      <c r="F900" s="10">
        <v>4.3</v>
      </c>
      <c r="G900" s="11">
        <v>8188.0</v>
      </c>
      <c r="I900" s="7"/>
      <c r="J900" s="7"/>
      <c r="K900" s="13" t="str">
        <f>IF(discount&gt;50%, product, "")</f>
        <v>AmazonBasics New Release Nylon USB-A to Lightning Cable Cord, Fast Charging MFi Certified Charger for Apple iPhone, iPad (6-Ft, Rose Gold)</v>
      </c>
      <c r="L900" s="7"/>
      <c r="M900" s="7"/>
      <c r="N900" s="7"/>
      <c r="O900" s="14"/>
      <c r="P900" s="14"/>
    </row>
    <row r="901">
      <c r="A901" s="7" t="s">
        <v>962</v>
      </c>
      <c r="B901" s="7" t="s">
        <v>719</v>
      </c>
      <c r="C901" s="8">
        <v>899.0</v>
      </c>
      <c r="D901" s="8">
        <v>1199.0</v>
      </c>
      <c r="E901" s="9">
        <v>0.25</v>
      </c>
      <c r="F901" s="10">
        <v>3.8</v>
      </c>
      <c r="G901" s="11">
        <v>10751.0</v>
      </c>
      <c r="I901" s="7"/>
      <c r="J901" s="7"/>
      <c r="K901" s="13" t="str">
        <f>IF(discount&gt;50%, product, "")</f>
        <v/>
      </c>
      <c r="L901" s="7"/>
      <c r="M901" s="7"/>
      <c r="N901" s="7"/>
      <c r="O901" s="14"/>
      <c r="P901" s="14"/>
    </row>
    <row r="902">
      <c r="A902" s="7" t="s">
        <v>963</v>
      </c>
      <c r="B902" s="7" t="s">
        <v>964</v>
      </c>
      <c r="C902" s="8">
        <v>349.0</v>
      </c>
      <c r="D902" s="8">
        <v>999.0</v>
      </c>
      <c r="E902" s="9">
        <v>0.65</v>
      </c>
      <c r="F902" s="10">
        <v>3.9</v>
      </c>
      <c r="G902" s="10">
        <v>817.0</v>
      </c>
      <c r="I902" s="7"/>
      <c r="J902" s="7"/>
      <c r="K902" s="13" t="str">
        <f>IF(discount&gt;50%, product, "")</f>
        <v>Lapster USB 3.0 sata Cable for 2.5 inch SSD and HDD , USB 3.0 to SATA III Hard Driver Adapter , sata to USB Cable-(Blue)</v>
      </c>
      <c r="L902" s="7"/>
      <c r="M902" s="7"/>
      <c r="N902" s="7"/>
      <c r="O902" s="14"/>
      <c r="P902" s="14"/>
    </row>
    <row r="903">
      <c r="A903" s="7" t="s">
        <v>965</v>
      </c>
      <c r="B903" s="7" t="s">
        <v>377</v>
      </c>
      <c r="C903" s="8">
        <v>900.0</v>
      </c>
      <c r="D903" s="8">
        <v>2499.0</v>
      </c>
      <c r="E903" s="9">
        <v>0.64</v>
      </c>
      <c r="F903" s="10">
        <v>4.0</v>
      </c>
      <c r="G903" s="11">
        <v>36384.0</v>
      </c>
      <c r="I903" s="7"/>
      <c r="J903" s="7"/>
      <c r="K903" s="13" t="str">
        <f>IF(discount&gt;50%, product, "")</f>
        <v>URBN 10000 mAh Lithium Power Bank UPR10K with 12 Watt Fast Charging, Blue</v>
      </c>
      <c r="L903" s="7"/>
      <c r="M903" s="7"/>
      <c r="N903" s="7"/>
      <c r="O903" s="14"/>
      <c r="P903" s="14"/>
    </row>
    <row r="904">
      <c r="A904" s="7" t="s">
        <v>966</v>
      </c>
      <c r="B904" s="7" t="s">
        <v>769</v>
      </c>
      <c r="C904" s="8">
        <v>2490.0</v>
      </c>
      <c r="D904" s="8">
        <v>3990.0</v>
      </c>
      <c r="E904" s="9">
        <v>0.38</v>
      </c>
      <c r="F904" s="10">
        <v>4.1</v>
      </c>
      <c r="G904" s="11">
        <v>3606.0</v>
      </c>
      <c r="I904" s="7"/>
      <c r="J904" s="7"/>
      <c r="K904" s="13" t="str">
        <f>IF(discount&gt;50%, product, "")</f>
        <v/>
      </c>
      <c r="L904" s="7"/>
      <c r="M904" s="7"/>
      <c r="N904" s="7"/>
      <c r="O904" s="14"/>
      <c r="P904" s="14"/>
    </row>
    <row r="905">
      <c r="A905" s="7" t="s">
        <v>967</v>
      </c>
      <c r="B905" s="7" t="s">
        <v>721</v>
      </c>
      <c r="C905" s="8">
        <v>116.0</v>
      </c>
      <c r="D905" s="8">
        <v>200.0</v>
      </c>
      <c r="E905" s="9">
        <v>0.42</v>
      </c>
      <c r="F905" s="10">
        <v>4.4</v>
      </c>
      <c r="G905" s="10">
        <v>357.0</v>
      </c>
      <c r="I905" s="7"/>
      <c r="J905" s="7"/>
      <c r="K905" s="13" t="str">
        <f>IF(discount&gt;50%, product, "")</f>
        <v/>
      </c>
      <c r="L905" s="7"/>
      <c r="M905" s="7"/>
      <c r="N905" s="7"/>
      <c r="O905" s="14"/>
      <c r="P905" s="14"/>
    </row>
    <row r="906">
      <c r="A906" s="7" t="s">
        <v>968</v>
      </c>
      <c r="B906" s="7" t="s">
        <v>694</v>
      </c>
      <c r="C906" s="8">
        <v>200.0</v>
      </c>
      <c r="D906" s="8">
        <v>230.0</v>
      </c>
      <c r="E906" s="9">
        <v>0.13</v>
      </c>
      <c r="F906" s="10">
        <v>4.4</v>
      </c>
      <c r="G906" s="11">
        <v>10170.0</v>
      </c>
      <c r="I906" s="7"/>
      <c r="J906" s="7"/>
      <c r="K906" s="13" t="str">
        <f>IF(discount&gt;50%, product, "")</f>
        <v/>
      </c>
      <c r="L906" s="7"/>
      <c r="M906" s="7"/>
      <c r="N906" s="7"/>
      <c r="O906" s="14"/>
      <c r="P906" s="14"/>
    </row>
    <row r="907">
      <c r="A907" s="7" t="s">
        <v>969</v>
      </c>
      <c r="B907" s="7" t="s">
        <v>895</v>
      </c>
      <c r="C907" s="8">
        <v>1249.0</v>
      </c>
      <c r="D907" s="8">
        <v>2796.0</v>
      </c>
      <c r="E907" s="9">
        <v>0.55</v>
      </c>
      <c r="F907" s="10">
        <v>4.4</v>
      </c>
      <c r="G907" s="11">
        <v>4598.0</v>
      </c>
      <c r="I907" s="7"/>
      <c r="J907" s="7"/>
      <c r="K907" s="13" t="str">
        <f>IF(discount&gt;50%, product, "")</f>
        <v>Lenovo GX20L29764 65W Laptop Adapter/Charger with Power Cord for Select Models of Lenovo (Round pin) (Black)</v>
      </c>
      <c r="L907" s="7"/>
      <c r="M907" s="7"/>
      <c r="N907" s="7"/>
      <c r="O907" s="14"/>
      <c r="P907" s="14"/>
    </row>
    <row r="908">
      <c r="A908" s="7" t="s">
        <v>970</v>
      </c>
      <c r="B908" s="7" t="s">
        <v>971</v>
      </c>
      <c r="C908" s="8">
        <v>649.0</v>
      </c>
      <c r="D908" s="8">
        <v>999.0</v>
      </c>
      <c r="E908" s="9">
        <v>0.35</v>
      </c>
      <c r="F908" s="10">
        <v>3.5</v>
      </c>
      <c r="G908" s="11">
        <v>7222.0</v>
      </c>
      <c r="I908" s="7"/>
      <c r="J908" s="7"/>
      <c r="K908" s="13" t="str">
        <f>IF(discount&gt;50%, product, "")</f>
        <v/>
      </c>
      <c r="L908" s="7"/>
      <c r="M908" s="7"/>
      <c r="N908" s="7"/>
      <c r="O908" s="14"/>
      <c r="P908" s="14"/>
    </row>
    <row r="909">
      <c r="A909" s="7" t="s">
        <v>972</v>
      </c>
      <c r="B909" s="7" t="s">
        <v>973</v>
      </c>
      <c r="C909" s="8">
        <v>2649.0</v>
      </c>
      <c r="D909" s="8">
        <v>3499.0</v>
      </c>
      <c r="E909" s="9">
        <v>0.24</v>
      </c>
      <c r="F909" s="10">
        <v>4.5</v>
      </c>
      <c r="G909" s="11">
        <v>1271.0</v>
      </c>
      <c r="I909" s="7"/>
      <c r="J909" s="7"/>
      <c r="K909" s="13" t="str">
        <f>IF(discount&gt;50%, product, "")</f>
        <v/>
      </c>
      <c r="L909" s="7"/>
      <c r="M909" s="7"/>
      <c r="N909" s="7"/>
      <c r="O909" s="14"/>
      <c r="P909" s="14"/>
    </row>
    <row r="910">
      <c r="A910" s="7" t="s">
        <v>78</v>
      </c>
      <c r="B910" s="7" t="s">
        <v>15</v>
      </c>
      <c r="C910" s="8">
        <v>199.0</v>
      </c>
      <c r="D910" s="8">
        <v>349.0</v>
      </c>
      <c r="E910" s="9">
        <v>0.43</v>
      </c>
      <c r="F910" s="10">
        <v>4.1</v>
      </c>
      <c r="G910" s="10">
        <v>314.0</v>
      </c>
      <c r="I910" s="7"/>
      <c r="J910" s="7"/>
      <c r="K910" s="13" t="str">
        <f>IF(discount&gt;50%, product, "")</f>
        <v/>
      </c>
      <c r="L910" s="7"/>
      <c r="M910" s="7"/>
      <c r="N910" s="7"/>
      <c r="O910" s="14"/>
      <c r="P910" s="14"/>
    </row>
    <row r="911">
      <c r="A911" s="7" t="s">
        <v>974</v>
      </c>
      <c r="B911" s="7" t="s">
        <v>683</v>
      </c>
      <c r="C911" s="8">
        <v>596.0</v>
      </c>
      <c r="D911" s="8">
        <v>723.0</v>
      </c>
      <c r="E911" s="9">
        <v>0.18</v>
      </c>
      <c r="F911" s="10">
        <v>4.4</v>
      </c>
      <c r="G911" s="11">
        <v>3219.0</v>
      </c>
      <c r="I911" s="7"/>
      <c r="J911" s="7"/>
      <c r="K911" s="13" t="str">
        <f>IF(discount&gt;50%, product, "")</f>
        <v/>
      </c>
      <c r="L911" s="7"/>
      <c r="M911" s="7"/>
      <c r="N911" s="7"/>
      <c r="O911" s="14"/>
      <c r="P911" s="14"/>
    </row>
    <row r="912">
      <c r="A912" s="7" t="s">
        <v>975</v>
      </c>
      <c r="B912" s="7" t="s">
        <v>373</v>
      </c>
      <c r="C912" s="8">
        <v>2499.0</v>
      </c>
      <c r="D912" s="8">
        <v>5999.0</v>
      </c>
      <c r="E912" s="9">
        <v>0.58</v>
      </c>
      <c r="F912" s="10">
        <v>4.1</v>
      </c>
      <c r="G912" s="11">
        <v>38879.0</v>
      </c>
      <c r="I912" s="7"/>
      <c r="J912" s="7"/>
      <c r="K912" s="13" t="str">
        <f>IF(discount&gt;50%, product, "")</f>
        <v>Noise ColorFit Ultra Smart Watch with 1.75" HD Display, Aluminium Alloy Body, 60 Sports Modes, Spo2, Lightweight, Stock Market Info, Calls &amp; SMS Reply (Space Blue)</v>
      </c>
      <c r="L912" s="7"/>
      <c r="M912" s="7"/>
      <c r="N912" s="7"/>
      <c r="O912" s="14"/>
      <c r="P912" s="14"/>
    </row>
    <row r="913">
      <c r="A913" s="7" t="s">
        <v>976</v>
      </c>
      <c r="B913" s="7" t="s">
        <v>977</v>
      </c>
      <c r="C913" s="8">
        <v>4999.0</v>
      </c>
      <c r="D913" s="8">
        <v>12499.0</v>
      </c>
      <c r="E913" s="9">
        <v>0.6</v>
      </c>
      <c r="F913" s="10">
        <v>4.2</v>
      </c>
      <c r="G913" s="11">
        <v>4541.0</v>
      </c>
      <c r="I913" s="7"/>
      <c r="J913" s="7"/>
      <c r="K913" s="13" t="str">
        <f>IF(discount&gt;50%, product, "")</f>
        <v>Zebronics Zeb-JUKEBAR 3900, 80W Multimedia soundbar with subwoofer Supporting Bluetooth, HDMI(ARC), Coaxial Input, AUX, USB &amp; Remote Control (Black)</v>
      </c>
      <c r="L913" s="7"/>
      <c r="M913" s="7"/>
      <c r="N913" s="7"/>
      <c r="O913" s="14"/>
      <c r="P913" s="14"/>
    </row>
    <row r="914">
      <c r="A914" s="7" t="s">
        <v>978</v>
      </c>
      <c r="B914" s="7" t="s">
        <v>393</v>
      </c>
      <c r="C914" s="8">
        <v>399.0</v>
      </c>
      <c r="D914" s="8">
        <v>1290.0</v>
      </c>
      <c r="E914" s="9">
        <v>0.69</v>
      </c>
      <c r="F914" s="10">
        <v>4.2</v>
      </c>
      <c r="G914" s="11">
        <v>76042.0</v>
      </c>
      <c r="I914" s="7"/>
      <c r="J914" s="7"/>
      <c r="K914" s="13" t="str">
        <f>IF(discount&gt;50%, product, "")</f>
        <v>boAt Bassheads 102 Wired in Ear Earphones with Mic (Mint Green)</v>
      </c>
      <c r="L914" s="7"/>
      <c r="M914" s="7"/>
      <c r="N914" s="7"/>
      <c r="O914" s="14"/>
      <c r="P914" s="14"/>
    </row>
    <row r="915">
      <c r="A915" s="7" t="s">
        <v>979</v>
      </c>
      <c r="B915" s="7" t="s">
        <v>721</v>
      </c>
      <c r="C915" s="8">
        <v>116.0</v>
      </c>
      <c r="D915" s="8">
        <v>200.0</v>
      </c>
      <c r="E915" s="9">
        <v>0.42</v>
      </c>
      <c r="F915" s="10">
        <v>4.3</v>
      </c>
      <c r="G915" s="10">
        <v>485.0</v>
      </c>
      <c r="I915" s="7"/>
      <c r="J915" s="7"/>
      <c r="K915" s="13" t="str">
        <f>IF(discount&gt;50%, product, "")</f>
        <v/>
      </c>
      <c r="L915" s="7"/>
      <c r="M915" s="7"/>
      <c r="N915" s="7"/>
      <c r="O915" s="14"/>
      <c r="P915" s="14"/>
    </row>
    <row r="916">
      <c r="A916" s="7" t="s">
        <v>980</v>
      </c>
      <c r="B916" s="7" t="s">
        <v>769</v>
      </c>
      <c r="C916" s="8">
        <v>4499.0</v>
      </c>
      <c r="D916" s="8">
        <v>5999.0</v>
      </c>
      <c r="E916" s="9">
        <v>0.25</v>
      </c>
      <c r="F916" s="10">
        <v>4.3</v>
      </c>
      <c r="G916" s="11">
        <v>44696.0</v>
      </c>
      <c r="I916" s="7"/>
      <c r="J916" s="7"/>
      <c r="K916" s="13" t="str">
        <f>IF(discount&gt;50%, product, "")</f>
        <v/>
      </c>
      <c r="L916" s="7"/>
      <c r="M916" s="7"/>
      <c r="N916" s="7"/>
      <c r="O916" s="14"/>
      <c r="P916" s="14"/>
    </row>
    <row r="917">
      <c r="A917" s="7" t="s">
        <v>981</v>
      </c>
      <c r="B917" s="7" t="s">
        <v>793</v>
      </c>
      <c r="C917" s="8">
        <v>330.0</v>
      </c>
      <c r="D917" s="8">
        <v>499.0</v>
      </c>
      <c r="E917" s="9">
        <v>0.34</v>
      </c>
      <c r="F917" s="10">
        <v>3.7</v>
      </c>
      <c r="G917" s="11">
        <v>8566.0</v>
      </c>
      <c r="I917" s="7"/>
      <c r="J917" s="7"/>
      <c r="K917" s="13" t="str">
        <f>IF(discount&gt;50%, product, "")</f>
        <v/>
      </c>
      <c r="L917" s="7"/>
      <c r="M917" s="7"/>
      <c r="N917" s="7"/>
      <c r="O917" s="14"/>
      <c r="P917" s="14"/>
    </row>
    <row r="918">
      <c r="A918" s="7" t="s">
        <v>982</v>
      </c>
      <c r="B918" s="7" t="s">
        <v>711</v>
      </c>
      <c r="C918" s="8">
        <v>649.0</v>
      </c>
      <c r="D918" s="8">
        <v>2499.0</v>
      </c>
      <c r="E918" s="9">
        <v>0.74</v>
      </c>
      <c r="F918" s="10">
        <v>3.9</v>
      </c>
      <c r="G918" s="11">
        <v>13049.0</v>
      </c>
      <c r="I918" s="7"/>
      <c r="J918" s="7"/>
      <c r="K918" s="13" t="str">
        <f>IF(discount&gt;50%, product, "")</f>
        <v>Boult Audio Bass Buds Q2 Lightweight Stereo Wired Over Ear Headphones Set with Mic with Deep Bass, Comfortable Ear Cushions, &amp; Long Cord (Black)</v>
      </c>
      <c r="L918" s="7"/>
      <c r="M918" s="7"/>
      <c r="N918" s="7"/>
      <c r="O918" s="14"/>
      <c r="P918" s="14"/>
    </row>
    <row r="919">
      <c r="A919" s="7" t="s">
        <v>983</v>
      </c>
      <c r="B919" s="7" t="s">
        <v>779</v>
      </c>
      <c r="C919" s="8">
        <v>1234.0</v>
      </c>
      <c r="D919" s="8">
        <v>1599.0</v>
      </c>
      <c r="E919" s="9">
        <v>0.23</v>
      </c>
      <c r="F919" s="10">
        <v>4.5</v>
      </c>
      <c r="G919" s="11">
        <v>16680.0</v>
      </c>
      <c r="I919" s="7"/>
      <c r="J919" s="7"/>
      <c r="K919" s="13" t="str">
        <f>IF(discount&gt;50%, product, "")</f>
        <v/>
      </c>
      <c r="L919" s="7"/>
      <c r="M919" s="7"/>
      <c r="N919" s="7"/>
      <c r="O919" s="14"/>
      <c r="P919" s="14"/>
    </row>
    <row r="920">
      <c r="A920" s="7" t="s">
        <v>571</v>
      </c>
      <c r="B920" s="7" t="s">
        <v>572</v>
      </c>
      <c r="C920" s="8">
        <v>1399.0</v>
      </c>
      <c r="D920" s="8">
        <v>2990.0</v>
      </c>
      <c r="E920" s="9">
        <v>0.53</v>
      </c>
      <c r="F920" s="10">
        <v>4.1</v>
      </c>
      <c r="G920" s="11">
        <v>97174.0</v>
      </c>
      <c r="I920" s="7"/>
      <c r="J920" s="7"/>
      <c r="K920" s="13" t="str">
        <f>IF(discount&gt;50%, product, "")</f>
        <v>boAt Rockerz 400 Bluetooth On Ear Headphones With Mic With Upto 8 Hours Playback &amp; Soft Padded Ear Cushions(Grey/Green)</v>
      </c>
      <c r="L920" s="7"/>
      <c r="M920" s="7"/>
      <c r="N920" s="7"/>
      <c r="O920" s="14"/>
      <c r="P920" s="14"/>
    </row>
    <row r="921">
      <c r="A921" s="7" t="s">
        <v>984</v>
      </c>
      <c r="B921" s="7" t="s">
        <v>916</v>
      </c>
      <c r="C921" s="8">
        <v>272.0</v>
      </c>
      <c r="D921" s="8">
        <v>320.0</v>
      </c>
      <c r="E921" s="9">
        <v>0.15</v>
      </c>
      <c r="F921" s="10">
        <v>4.0</v>
      </c>
      <c r="G921" s="11">
        <v>3686.0</v>
      </c>
      <c r="I921" s="7"/>
      <c r="J921" s="7"/>
      <c r="K921" s="13" t="str">
        <f>IF(discount&gt;50%, product, "")</f>
        <v/>
      </c>
      <c r="L921" s="7"/>
      <c r="M921" s="7"/>
      <c r="N921" s="7"/>
      <c r="O921" s="14"/>
      <c r="P921" s="14"/>
    </row>
    <row r="922">
      <c r="A922" s="7" t="s">
        <v>985</v>
      </c>
      <c r="B922" s="7" t="s">
        <v>986</v>
      </c>
      <c r="C922" s="8">
        <v>99.0</v>
      </c>
      <c r="D922" s="8">
        <v>999.0</v>
      </c>
      <c r="E922" s="9">
        <v>0.9</v>
      </c>
      <c r="F922" s="10">
        <v>3.8</v>
      </c>
      <c r="G922" s="10">
        <v>594.0</v>
      </c>
      <c r="I922" s="7"/>
      <c r="J922" s="7"/>
      <c r="K922" s="13" t="str">
        <f>IF(discount&gt;50%, product, "")</f>
        <v>Silicone Rubber Earbuds Tips, Eartips, Earpads, Earplugs, for Replacement in Earphones and Bluetooth Medium Size (10 Pcs Black)</v>
      </c>
      <c r="L922" s="7"/>
      <c r="M922" s="7"/>
      <c r="N922" s="7"/>
      <c r="O922" s="14"/>
      <c r="P922" s="14"/>
    </row>
    <row r="923">
      <c r="A923" s="7" t="s">
        <v>987</v>
      </c>
      <c r="B923" s="7" t="s">
        <v>988</v>
      </c>
      <c r="C923" s="8">
        <v>3498.0</v>
      </c>
      <c r="D923" s="8">
        <v>3875.0</v>
      </c>
      <c r="E923" s="9">
        <v>0.1</v>
      </c>
      <c r="F923" s="10">
        <v>3.4</v>
      </c>
      <c r="G923" s="11">
        <v>12185.0</v>
      </c>
      <c r="I923" s="7"/>
      <c r="J923" s="7"/>
      <c r="K923" s="13" t="str">
        <f>IF(discount&gt;50%, product, "")</f>
        <v/>
      </c>
      <c r="L923" s="7"/>
      <c r="M923" s="7"/>
      <c r="N923" s="7"/>
      <c r="O923" s="14"/>
      <c r="P923" s="14"/>
    </row>
    <row r="924">
      <c r="A924" s="7" t="s">
        <v>989</v>
      </c>
      <c r="B924" s="7" t="s">
        <v>757</v>
      </c>
      <c r="C924" s="8">
        <v>10099.0</v>
      </c>
      <c r="D924" s="8">
        <v>19110.0</v>
      </c>
      <c r="E924" s="9">
        <v>0.47</v>
      </c>
      <c r="F924" s="10">
        <v>4.3</v>
      </c>
      <c r="G924" s="11">
        <v>2623.0</v>
      </c>
      <c r="I924" s="7"/>
      <c r="J924" s="7"/>
      <c r="K924" s="13" t="str">
        <f>IF(discount&gt;50%, product, "")</f>
        <v/>
      </c>
      <c r="L924" s="7"/>
      <c r="M924" s="7"/>
      <c r="N924" s="7"/>
      <c r="O924" s="14"/>
      <c r="P924" s="14"/>
    </row>
    <row r="925">
      <c r="A925" s="7" t="s">
        <v>990</v>
      </c>
      <c r="B925" s="7" t="s">
        <v>806</v>
      </c>
      <c r="C925" s="8">
        <v>449.0</v>
      </c>
      <c r="D925" s="8">
        <v>999.0</v>
      </c>
      <c r="E925" s="9">
        <v>0.55</v>
      </c>
      <c r="F925" s="10">
        <v>4.3</v>
      </c>
      <c r="G925" s="11">
        <v>9701.0</v>
      </c>
      <c r="I925" s="7"/>
      <c r="J925" s="7"/>
      <c r="K925" s="13" t="str">
        <f>IF(discount&gt;50%, product, "")</f>
        <v>AirCase Protective Laptop Bag Sleeve fits Upto 14.1" Laptop/ MacBook, Wrinkle Free, Padded, Waterproof Light Neoprene case Cover Pouch, for Men &amp; Women, Black- 6 Months Warranty</v>
      </c>
      <c r="L925" s="7"/>
      <c r="M925" s="7"/>
      <c r="N925" s="7"/>
      <c r="O925" s="14"/>
      <c r="P925" s="14"/>
    </row>
    <row r="926">
      <c r="A926" s="7" t="s">
        <v>991</v>
      </c>
      <c r="B926" s="7" t="s">
        <v>992</v>
      </c>
      <c r="C926" s="8">
        <v>150.0</v>
      </c>
      <c r="D926" s="8">
        <v>150.0</v>
      </c>
      <c r="E926" s="9">
        <v>0.0</v>
      </c>
      <c r="F926" s="10">
        <v>4.3</v>
      </c>
      <c r="G926" s="11">
        <v>15867.0</v>
      </c>
      <c r="I926" s="7"/>
      <c r="J926" s="7"/>
      <c r="K926" s="13" t="str">
        <f>IF(discount&gt;50%, product, "")</f>
        <v/>
      </c>
      <c r="L926" s="7"/>
      <c r="M926" s="7"/>
      <c r="N926" s="7"/>
      <c r="O926" s="14"/>
      <c r="P926" s="14"/>
    </row>
    <row r="927">
      <c r="A927" s="7" t="s">
        <v>82</v>
      </c>
      <c r="B927" s="7" t="s">
        <v>15</v>
      </c>
      <c r="C927" s="8">
        <v>348.0</v>
      </c>
      <c r="D927" s="8">
        <v>1499.0</v>
      </c>
      <c r="E927" s="9">
        <v>0.77</v>
      </c>
      <c r="F927" s="10">
        <v>4.2</v>
      </c>
      <c r="G927" s="10">
        <v>656.0</v>
      </c>
      <c r="I927" s="7"/>
      <c r="J927" s="7"/>
      <c r="K927" s="13" t="str">
        <f>IF(discount&gt;50%, product, "")</f>
        <v>Wecool Unbreakable 3 in 1 Charging Cable with 3A Speed, Fast Charging Multi Purpose Cable 1.25 Mtr Long, Type C cable, Micro Usb Cable and Cable for iPhone, White</v>
      </c>
      <c r="L927" s="7"/>
      <c r="M927" s="7"/>
      <c r="N927" s="7"/>
      <c r="O927" s="14"/>
      <c r="P927" s="14"/>
    </row>
    <row r="928">
      <c r="A928" s="7" t="s">
        <v>993</v>
      </c>
      <c r="B928" s="7" t="s">
        <v>709</v>
      </c>
      <c r="C928" s="8">
        <v>1199.0</v>
      </c>
      <c r="D928" s="8">
        <v>2999.0</v>
      </c>
      <c r="E928" s="9">
        <v>0.6</v>
      </c>
      <c r="F928" s="10">
        <v>4.1</v>
      </c>
      <c r="G928" s="11">
        <v>10725.0</v>
      </c>
      <c r="I928" s="7"/>
      <c r="J928" s="7"/>
      <c r="K928" s="13" t="str">
        <f>IF(discount&gt;50%, product, "")</f>
        <v>Zinq UPS for Router, Mini UPS for 12V WiFi Router Broadband Modem with Upto 4 Hours Power Backup, Upto 2Amp, Works with Existing Adapter, Also Works with Set-top Box, Smart Camera, CCTV (Black)</v>
      </c>
      <c r="L928" s="7"/>
      <c r="M928" s="7"/>
      <c r="N928" s="7"/>
      <c r="O928" s="14"/>
      <c r="P928" s="14"/>
    </row>
    <row r="929">
      <c r="A929" s="7" t="s">
        <v>994</v>
      </c>
      <c r="B929" s="7" t="s">
        <v>698</v>
      </c>
      <c r="C929" s="8">
        <v>397.0</v>
      </c>
      <c r="D929" s="8">
        <v>899.0</v>
      </c>
      <c r="E929" s="9">
        <v>0.56</v>
      </c>
      <c r="F929" s="10">
        <v>4.0</v>
      </c>
      <c r="G929" s="11">
        <v>3025.0</v>
      </c>
      <c r="I929" s="7"/>
      <c r="J929" s="7"/>
      <c r="K929" s="13" t="str">
        <f>IF(discount&gt;50%, product, "")</f>
        <v>SaleOn™ Portable Storage Organizer Bag for Earphone USB Cable Power Bank Mobile Charger Digital Gadget Hard Disk, Water Resistance Material - Dark Grey</v>
      </c>
      <c r="L929" s="7"/>
      <c r="M929" s="7"/>
      <c r="N929" s="7"/>
      <c r="O929" s="14"/>
      <c r="P929" s="14"/>
    </row>
    <row r="930">
      <c r="A930" s="7" t="s">
        <v>83</v>
      </c>
      <c r="B930" s="7" t="s">
        <v>15</v>
      </c>
      <c r="C930" s="8">
        <v>154.0</v>
      </c>
      <c r="D930" s="8">
        <v>349.0</v>
      </c>
      <c r="E930" s="9">
        <v>0.56</v>
      </c>
      <c r="F930" s="10">
        <v>4.3</v>
      </c>
      <c r="G930" s="11">
        <v>7064.0</v>
      </c>
      <c r="I930" s="7"/>
      <c r="J930" s="7"/>
      <c r="K930" s="13" t="str">
        <f>IF(discount&gt;50%, product, "")</f>
        <v>Portronics Konnect L 1.2Mtr, Fast Charging 3A Micro USB Cable with Charge &amp; Sync Function (Grey)</v>
      </c>
      <c r="L930" s="7"/>
      <c r="M930" s="7"/>
      <c r="N930" s="7"/>
      <c r="O930" s="14"/>
      <c r="P930" s="14"/>
    </row>
    <row r="931">
      <c r="A931" s="7" t="s">
        <v>995</v>
      </c>
      <c r="B931" s="7" t="s">
        <v>781</v>
      </c>
      <c r="C931" s="8">
        <v>699.0</v>
      </c>
      <c r="D931" s="8">
        <v>1490.0</v>
      </c>
      <c r="E931" s="9">
        <v>0.53</v>
      </c>
      <c r="F931" s="10">
        <v>4.0</v>
      </c>
      <c r="G931" s="11">
        <v>5736.0</v>
      </c>
      <c r="I931" s="7"/>
      <c r="J931" s="7"/>
      <c r="K931" s="13" t="str">
        <f>IF(discount&gt;50%, product, "")</f>
        <v>RPM Euro Games Laptop/PC Controller Wired for Windows - 7, 8, 8.1, 10 and XP, Ps3(Upgraded with XYAB Buttons)</v>
      </c>
      <c r="L931" s="7"/>
      <c r="M931" s="7"/>
      <c r="N931" s="7"/>
      <c r="O931" s="14"/>
      <c r="P931" s="14"/>
    </row>
    <row r="932">
      <c r="A932" s="7" t="s">
        <v>996</v>
      </c>
      <c r="B932" s="7" t="s">
        <v>393</v>
      </c>
      <c r="C932" s="8">
        <v>1679.0</v>
      </c>
      <c r="D932" s="8">
        <v>1999.0</v>
      </c>
      <c r="E932" s="9">
        <v>0.16</v>
      </c>
      <c r="F932" s="10">
        <v>4.1</v>
      </c>
      <c r="G932" s="11">
        <v>72563.0</v>
      </c>
      <c r="I932" s="7"/>
      <c r="J932" s="7"/>
      <c r="K932" s="13" t="str">
        <f>IF(discount&gt;50%, product, "")</f>
        <v/>
      </c>
      <c r="L932" s="7"/>
      <c r="M932" s="7"/>
      <c r="N932" s="7"/>
      <c r="O932" s="14"/>
      <c r="P932" s="14"/>
    </row>
    <row r="933">
      <c r="A933" s="7" t="s">
        <v>997</v>
      </c>
      <c r="B933" s="7" t="s">
        <v>627</v>
      </c>
      <c r="C933" s="8">
        <v>354.0</v>
      </c>
      <c r="D933" s="8">
        <v>1500.0</v>
      </c>
      <c r="E933" s="9">
        <v>0.76</v>
      </c>
      <c r="F933" s="10">
        <v>4.0</v>
      </c>
      <c r="G933" s="11">
        <v>1026.0</v>
      </c>
      <c r="I933" s="7"/>
      <c r="J933" s="7"/>
      <c r="K933" s="13" t="str">
        <f>IF(discount&gt;50%, product, "")</f>
        <v>TVARA LCD Writing Tablet, 8.5" Inch Colorful Toddler Doodle Board Drawing Tablet, Erasable Reusable Electronic Drawing Pads, Educational and Learning Tool for 3-6 Years Old Boy and Girls Mix Colors</v>
      </c>
      <c r="L933" s="7"/>
      <c r="M933" s="7"/>
      <c r="N933" s="7"/>
      <c r="O933" s="14"/>
      <c r="P933" s="14"/>
    </row>
    <row r="934">
      <c r="A934" s="7" t="s">
        <v>998</v>
      </c>
      <c r="B934" s="7" t="s">
        <v>999</v>
      </c>
      <c r="C934" s="8">
        <v>1199.0</v>
      </c>
      <c r="D934" s="8">
        <v>5499.0</v>
      </c>
      <c r="E934" s="9">
        <v>0.78</v>
      </c>
      <c r="F934" s="10">
        <v>3.8</v>
      </c>
      <c r="G934" s="11">
        <v>2043.0</v>
      </c>
      <c r="I934" s="7"/>
      <c r="J934" s="7"/>
      <c r="K934" s="13" t="str">
        <f>IF(discount&gt;50%, product, "")</f>
        <v>Wings Phantom Pro Earphones Gaming Earbuds with LED Battery Indicator, 50ms Low Latency, Bluetooth 5.3, 40 Hours Playtime, MEMs Mic, IPX4 Resist, 12mm Driver, 500mah case, Headphones, (Black TWS)</v>
      </c>
      <c r="L934" s="7"/>
      <c r="M934" s="7"/>
      <c r="N934" s="7"/>
      <c r="O934" s="14"/>
      <c r="P934" s="14"/>
    </row>
    <row r="935">
      <c r="A935" s="7" t="s">
        <v>1000</v>
      </c>
      <c r="B935" s="7" t="s">
        <v>779</v>
      </c>
      <c r="C935" s="8">
        <v>379.0</v>
      </c>
      <c r="D935" s="8">
        <v>1499.0</v>
      </c>
      <c r="E935" s="9">
        <v>0.75</v>
      </c>
      <c r="F935" s="10">
        <v>4.2</v>
      </c>
      <c r="G935" s="11">
        <v>4149.0</v>
      </c>
      <c r="I935" s="7"/>
      <c r="J935" s="7"/>
      <c r="K935" s="13" t="str">
        <f>IF(discount&gt;50%, product, "")</f>
        <v>Robustrion [Anti-Scratch] &amp; [Smudge Proof] [S Pen Compatible] Premium Tempered Glass Screen Protector for Samsung Tab S6 Lite 10.4 inch SM-P610/615 [Bubble Free]</v>
      </c>
      <c r="L935" s="7"/>
      <c r="M935" s="7"/>
      <c r="N935" s="7"/>
      <c r="O935" s="14"/>
      <c r="P935" s="14"/>
    </row>
    <row r="936">
      <c r="A936" s="7" t="s">
        <v>1001</v>
      </c>
      <c r="B936" s="7" t="s">
        <v>662</v>
      </c>
      <c r="C936" s="8">
        <v>499.0</v>
      </c>
      <c r="D936" s="8">
        <v>775.0</v>
      </c>
      <c r="E936" s="9">
        <v>0.36</v>
      </c>
      <c r="F936" s="10">
        <v>4.3</v>
      </c>
      <c r="G936" s="10">
        <v>74.0</v>
      </c>
      <c r="I936" s="7"/>
      <c r="J936" s="7"/>
      <c r="K936" s="13" t="str">
        <f>IF(discount&gt;50%, product, "")</f>
        <v/>
      </c>
      <c r="L936" s="7"/>
      <c r="M936" s="7"/>
      <c r="N936" s="7"/>
      <c r="O936" s="14"/>
      <c r="P936" s="14"/>
    </row>
    <row r="937">
      <c r="A937" s="7" t="s">
        <v>1002</v>
      </c>
      <c r="B937" s="7" t="s">
        <v>1003</v>
      </c>
      <c r="C937" s="8">
        <v>10389.0</v>
      </c>
      <c r="D937" s="8">
        <v>32000.0</v>
      </c>
      <c r="E937" s="9">
        <v>0.68</v>
      </c>
      <c r="F937" s="10">
        <v>4.4</v>
      </c>
      <c r="G937" s="11">
        <v>41398.0</v>
      </c>
      <c r="I937" s="7"/>
      <c r="J937" s="7"/>
      <c r="K937" s="13" t="str">
        <f>IF(discount&gt;50%, product, "")</f>
        <v>SanDisk 1TB Extreme Portable SSD 1050MB/s R, 1000MB/s W,Upto 2 Meter Drop Protection with IP55 Water/dust Resistance, HW Encryption, PC,MAC &amp; TypeC Smartphone Compatible, 5Y Warranty, External SSD</v>
      </c>
      <c r="L937" s="7"/>
      <c r="M937" s="7"/>
      <c r="N937" s="7"/>
      <c r="O937" s="14"/>
      <c r="P937" s="14"/>
    </row>
    <row r="938">
      <c r="A938" s="7" t="s">
        <v>1004</v>
      </c>
      <c r="B938" s="7" t="s">
        <v>907</v>
      </c>
      <c r="C938" s="8">
        <v>649.0</v>
      </c>
      <c r="D938" s="8">
        <v>1300.0</v>
      </c>
      <c r="E938" s="9">
        <v>0.5</v>
      </c>
      <c r="F938" s="10">
        <v>4.1</v>
      </c>
      <c r="G938" s="11">
        <v>5195.0</v>
      </c>
      <c r="I938" s="7"/>
      <c r="J938" s="7"/>
      <c r="K938" s="13" t="str">
        <f>IF(discount&gt;50%, product, "")</f>
        <v/>
      </c>
      <c r="L938" s="7"/>
      <c r="M938" s="7"/>
      <c r="N938" s="7"/>
      <c r="O938" s="14"/>
      <c r="P938" s="14"/>
    </row>
    <row r="939">
      <c r="A939" s="7" t="s">
        <v>1005</v>
      </c>
      <c r="B939" s="7" t="s">
        <v>1006</v>
      </c>
      <c r="C939" s="8">
        <v>1199.0</v>
      </c>
      <c r="D939" s="8">
        <v>1999.0</v>
      </c>
      <c r="E939" s="9">
        <v>0.4</v>
      </c>
      <c r="F939" s="10">
        <v>4.5</v>
      </c>
      <c r="G939" s="11">
        <v>22420.0</v>
      </c>
      <c r="I939" s="7"/>
      <c r="J939" s="7"/>
      <c r="K939" s="13" t="str">
        <f>IF(discount&gt;50%, product, "")</f>
        <v/>
      </c>
      <c r="L939" s="7"/>
      <c r="M939" s="7"/>
      <c r="N939" s="7"/>
      <c r="O939" s="14"/>
      <c r="P939" s="14"/>
    </row>
    <row r="940">
      <c r="A940" s="7" t="s">
        <v>86</v>
      </c>
      <c r="B940" s="7" t="s">
        <v>15</v>
      </c>
      <c r="C940" s="8">
        <v>139.0</v>
      </c>
      <c r="D940" s="8">
        <v>999.0</v>
      </c>
      <c r="E940" s="9">
        <v>0.86</v>
      </c>
      <c r="F940" s="10">
        <v>4.0</v>
      </c>
      <c r="G940" s="11">
        <v>1313.0</v>
      </c>
      <c r="I940" s="7"/>
      <c r="J940" s="7"/>
      <c r="K940" s="13" t="str">
        <f>IF(discount&gt;50%, product, "")</f>
        <v>Lapster 1.5 mtr USB 2.0 Type A Male to USB A Male Cable for computer and laptop</v>
      </c>
      <c r="L940" s="7"/>
      <c r="M940" s="7"/>
      <c r="N940" s="7"/>
      <c r="O940" s="14"/>
      <c r="P940" s="14"/>
    </row>
    <row r="941">
      <c r="A941" s="7" t="s">
        <v>1007</v>
      </c>
      <c r="B941" s="7" t="s">
        <v>393</v>
      </c>
      <c r="C941" s="8">
        <v>889.0</v>
      </c>
      <c r="D941" s="8">
        <v>1999.0</v>
      </c>
      <c r="E941" s="9">
        <v>0.56</v>
      </c>
      <c r="F941" s="10">
        <v>4.2</v>
      </c>
      <c r="G941" s="11">
        <v>2284.0</v>
      </c>
      <c r="I941" s="7"/>
      <c r="J941" s="7"/>
      <c r="K941" s="13" t="str">
        <f>IF(discount&gt;50%, product, "")</f>
        <v>Wecool Moonwalk M1 ENC True Wireless in Ear Earbuds with Mic, Titanium Drivers for Rich Bass Experience, 40+ Hours Play Time, Type C Fast Charging, Low Latency, BT 5.3, IPX5, Deep Bass (Black)</v>
      </c>
      <c r="L941" s="7"/>
      <c r="M941" s="7"/>
      <c r="N941" s="7"/>
      <c r="O941" s="14"/>
      <c r="P941" s="14"/>
    </row>
    <row r="942">
      <c r="A942" s="7" t="s">
        <v>1008</v>
      </c>
      <c r="B942" s="7" t="s">
        <v>660</v>
      </c>
      <c r="C942" s="8">
        <v>1409.0</v>
      </c>
      <c r="D942" s="8">
        <v>2199.0</v>
      </c>
      <c r="E942" s="9">
        <v>0.36</v>
      </c>
      <c r="F942" s="10">
        <v>3.9</v>
      </c>
      <c r="G942" s="10">
        <v>427.0</v>
      </c>
      <c r="I942" s="7"/>
      <c r="J942" s="7"/>
      <c r="K942" s="13" t="str">
        <f>IF(discount&gt;50%, product, "")</f>
        <v/>
      </c>
      <c r="L942" s="7"/>
      <c r="M942" s="7"/>
      <c r="N942" s="7"/>
      <c r="O942" s="14"/>
      <c r="P942" s="14"/>
    </row>
    <row r="943">
      <c r="A943" s="7" t="s">
        <v>1009</v>
      </c>
      <c r="B943" s="7" t="s">
        <v>1010</v>
      </c>
      <c r="C943" s="8">
        <v>549.0</v>
      </c>
      <c r="D943" s="8">
        <v>1999.0</v>
      </c>
      <c r="E943" s="9">
        <v>0.73</v>
      </c>
      <c r="F943" s="10">
        <v>4.3</v>
      </c>
      <c r="G943" s="11">
        <v>1367.0</v>
      </c>
      <c r="I943" s="7"/>
      <c r="J943" s="7"/>
      <c r="K943" s="13" t="str">
        <f>IF(discount&gt;50%, product, "")</f>
        <v>RC PRINT GI 790 Ink Refill for Canon G1000, G1010, G1100, G2000, G2002, G2010, G2012, G2100, G3000, G3010, G3012, G3100, G4000, G4010</v>
      </c>
      <c r="L943" s="7"/>
      <c r="M943" s="7"/>
      <c r="N943" s="7"/>
      <c r="O943" s="14"/>
      <c r="P943" s="14"/>
    </row>
    <row r="944">
      <c r="A944" s="7" t="s">
        <v>1011</v>
      </c>
      <c r="B944" s="7" t="s">
        <v>999</v>
      </c>
      <c r="C944" s="8">
        <v>749.0</v>
      </c>
      <c r="D944" s="8">
        <v>1799.0</v>
      </c>
      <c r="E944" s="9">
        <v>0.58</v>
      </c>
      <c r="F944" s="10">
        <v>4.0</v>
      </c>
      <c r="G944" s="11">
        <v>13199.0</v>
      </c>
      <c r="I944" s="7"/>
      <c r="J944" s="7"/>
      <c r="K944" s="13" t="str">
        <f>IF(discount&gt;50%, product, "")</f>
        <v>Redgear Cloak Wired RGB Wired Over Ear Gaming Headphones with Mic for PC</v>
      </c>
      <c r="L944" s="7"/>
      <c r="M944" s="7"/>
      <c r="N944" s="7"/>
      <c r="O944" s="14"/>
      <c r="P944" s="14"/>
    </row>
    <row r="945">
      <c r="A945" s="7" t="s">
        <v>87</v>
      </c>
      <c r="B945" s="7" t="s">
        <v>15</v>
      </c>
      <c r="C945" s="8">
        <v>329.0</v>
      </c>
      <c r="D945" s="8">
        <v>845.0</v>
      </c>
      <c r="E945" s="9">
        <v>0.61</v>
      </c>
      <c r="F945" s="10">
        <v>4.2</v>
      </c>
      <c r="G945" s="11">
        <v>29746.0</v>
      </c>
      <c r="I945" s="7"/>
      <c r="J945" s="7"/>
      <c r="K945" s="13" t="str">
        <f>IF(discount&gt;50%, product, "")</f>
        <v>AmazonBasics USB Type-C to USB Type-C 2.0 Cable - 3 Feet Laptop (0.9 Meters) - White</v>
      </c>
      <c r="L945" s="7"/>
      <c r="M945" s="7"/>
      <c r="N945" s="7"/>
      <c r="O945" s="14"/>
      <c r="P945" s="14"/>
    </row>
    <row r="946">
      <c r="A946" s="7" t="s">
        <v>1012</v>
      </c>
      <c r="B946" s="7" t="s">
        <v>15</v>
      </c>
      <c r="C946" s="8">
        <v>379.0</v>
      </c>
      <c r="D946" s="8">
        <v>1099.0</v>
      </c>
      <c r="E946" s="9">
        <v>0.66</v>
      </c>
      <c r="F946" s="10">
        <v>4.3</v>
      </c>
      <c r="G946" s="11">
        <v>2806.0</v>
      </c>
      <c r="I946" s="7"/>
      <c r="J946" s="7"/>
      <c r="K946" s="13" t="str">
        <f>IF(discount&gt;50%, product, "")</f>
        <v>Wayona Type C To Type C 65W/3.25A Nylon Braided Fast Charging Cable Compatible For Laptop, Macbook, Samsung Galaxy M33 M53 M51 S20 Ultra, A71, A53, A51, Ipad Pro 2018 (1M, Grey)</v>
      </c>
      <c r="L946" s="7"/>
      <c r="M946" s="7"/>
      <c r="N946" s="7"/>
      <c r="O946" s="14"/>
      <c r="P946" s="14"/>
    </row>
    <row r="947">
      <c r="A947" s="7" t="s">
        <v>1013</v>
      </c>
      <c r="B947" s="7" t="s">
        <v>373</v>
      </c>
      <c r="C947" s="8">
        <v>5998.0</v>
      </c>
      <c r="D947" s="8">
        <v>7999.0</v>
      </c>
      <c r="E947" s="9">
        <v>0.25</v>
      </c>
      <c r="F947" s="10">
        <v>4.2</v>
      </c>
      <c r="G947" s="11">
        <v>30355.0</v>
      </c>
      <c r="I947" s="7"/>
      <c r="J947" s="7"/>
      <c r="K947" s="13" t="str">
        <f>IF(discount&gt;50%, product, "")</f>
        <v/>
      </c>
      <c r="L947" s="7"/>
      <c r="M947" s="7"/>
      <c r="N947" s="7"/>
      <c r="O947" s="14"/>
      <c r="P947" s="14"/>
    </row>
    <row r="948">
      <c r="A948" s="7" t="s">
        <v>1014</v>
      </c>
      <c r="B948" s="7" t="s">
        <v>806</v>
      </c>
      <c r="C948" s="8">
        <v>299.0</v>
      </c>
      <c r="D948" s="8">
        <v>1499.0</v>
      </c>
      <c r="E948" s="9">
        <v>0.8</v>
      </c>
      <c r="F948" s="10">
        <v>4.2</v>
      </c>
      <c r="G948" s="11">
        <v>2868.0</v>
      </c>
      <c r="I948" s="7"/>
      <c r="J948" s="7"/>
      <c r="K948" s="13" t="str">
        <f>IF(discount&gt;50%, product, "")</f>
        <v>Tabelito® Polyester Foam, Nylon Hybrid laptopss Bag Sleeve Case Cover Pouch for laptopss Apple/Dell/Lenovo/ Asus/ Hp/Samsung/Mi/MacBook/Ultrabook/Thinkpad/Ideapad/Surfacepro (15.6 inches /39.6cm, Blue) laptopsss</v>
      </c>
      <c r="L948" s="7"/>
      <c r="M948" s="7"/>
      <c r="N948" s="7"/>
      <c r="O948" s="14"/>
      <c r="P948" s="14"/>
    </row>
    <row r="949">
      <c r="A949" s="7" t="s">
        <v>1015</v>
      </c>
      <c r="B949" s="7" t="s">
        <v>779</v>
      </c>
      <c r="C949" s="8">
        <v>379.0</v>
      </c>
      <c r="D949" s="8">
        <v>1499.0</v>
      </c>
      <c r="E949" s="9">
        <v>0.75</v>
      </c>
      <c r="F949" s="10">
        <v>4.1</v>
      </c>
      <c r="G949" s="10">
        <v>670.0</v>
      </c>
      <c r="I949" s="7"/>
      <c r="J949" s="7"/>
      <c r="K949" s="13" t="str">
        <f>IF(discount&gt;50%, product, "")</f>
        <v>Robustrion Anti-Scratch &amp; Smudge Proof Tempered Glass Screen Protector for Xiaomi Mi Pad 5 11 inch</v>
      </c>
      <c r="L949" s="7"/>
      <c r="M949" s="7"/>
      <c r="N949" s="7"/>
      <c r="O949" s="14"/>
      <c r="P949" s="14"/>
    </row>
    <row r="950">
      <c r="A950" s="7" t="s">
        <v>1016</v>
      </c>
      <c r="B950" s="7" t="s">
        <v>1017</v>
      </c>
      <c r="C950" s="8">
        <v>1399.0</v>
      </c>
      <c r="D950" s="8">
        <v>2999.0</v>
      </c>
      <c r="E950" s="9">
        <v>0.53</v>
      </c>
      <c r="F950" s="10">
        <v>4.3</v>
      </c>
      <c r="G950" s="11">
        <v>3530.0</v>
      </c>
      <c r="I950" s="7"/>
      <c r="J950" s="7"/>
      <c r="K950" s="13" t="str">
        <f>IF(discount&gt;50%, product, "")</f>
        <v>Portronics Ruffpad 15 Re-Writable LCD Screen 38.1cm (15-inch) Writing Pad for Drawing, Playing, Handwriting Gifts for Kids &amp; Adults (Grey)</v>
      </c>
      <c r="L950" s="7"/>
      <c r="M950" s="7"/>
      <c r="N950" s="7"/>
      <c r="O950" s="14"/>
      <c r="P950" s="14"/>
    </row>
    <row r="951">
      <c r="A951" s="7" t="s">
        <v>1018</v>
      </c>
      <c r="B951" s="7" t="s">
        <v>1019</v>
      </c>
      <c r="C951" s="8">
        <v>699.0</v>
      </c>
      <c r="D951" s="8">
        <v>1299.0</v>
      </c>
      <c r="E951" s="9">
        <v>0.46</v>
      </c>
      <c r="F951" s="10">
        <v>4.3</v>
      </c>
      <c r="G951" s="11">
        <v>6183.0</v>
      </c>
      <c r="I951" s="7"/>
      <c r="J951" s="7"/>
      <c r="K951" s="13" t="str">
        <f>IF(discount&gt;50%, product, "")</f>
        <v/>
      </c>
      <c r="L951" s="7"/>
      <c r="M951" s="7"/>
      <c r="N951" s="7"/>
      <c r="O951" s="14"/>
      <c r="P951" s="14"/>
    </row>
    <row r="952">
      <c r="A952" s="7" t="s">
        <v>1020</v>
      </c>
      <c r="B952" s="7" t="s">
        <v>817</v>
      </c>
      <c r="C952" s="8">
        <v>300.0</v>
      </c>
      <c r="D952" s="8">
        <v>300.0</v>
      </c>
      <c r="E952" s="9">
        <v>0.0</v>
      </c>
      <c r="F952" s="10">
        <v>4.2</v>
      </c>
      <c r="G952" s="10">
        <v>419.0</v>
      </c>
      <c r="I952" s="7"/>
      <c r="J952" s="7"/>
      <c r="K952" s="13" t="str">
        <f>IF(discount&gt;50%, product, "")</f>
        <v/>
      </c>
      <c r="L952" s="7"/>
      <c r="M952" s="7"/>
      <c r="N952" s="7"/>
      <c r="O952" s="14"/>
      <c r="P952" s="14"/>
    </row>
    <row r="953">
      <c r="A953" s="7" t="s">
        <v>1021</v>
      </c>
      <c r="B953" s="7" t="s">
        <v>696</v>
      </c>
      <c r="C953" s="8">
        <v>999.0</v>
      </c>
      <c r="D953" s="8">
        <v>1995.0</v>
      </c>
      <c r="E953" s="9">
        <v>0.5</v>
      </c>
      <c r="F953" s="10">
        <v>4.5</v>
      </c>
      <c r="G953" s="11">
        <v>7317.0</v>
      </c>
      <c r="I953" s="7"/>
      <c r="J953" s="7"/>
      <c r="K953" s="13" t="str">
        <f>IF(discount&gt;50%, product, "")</f>
        <v/>
      </c>
      <c r="L953" s="7"/>
      <c r="M953" s="7"/>
      <c r="N953" s="7"/>
      <c r="O953" s="14"/>
      <c r="P953" s="14"/>
    </row>
    <row r="954">
      <c r="A954" s="7" t="s">
        <v>1022</v>
      </c>
      <c r="B954" s="7" t="s">
        <v>1023</v>
      </c>
      <c r="C954" s="8">
        <v>535.0</v>
      </c>
      <c r="D954" s="8">
        <v>535.0</v>
      </c>
      <c r="E954" s="9">
        <v>0.0</v>
      </c>
      <c r="F954" s="10">
        <v>4.4</v>
      </c>
      <c r="G954" s="11">
        <v>4426.0</v>
      </c>
      <c r="I954" s="7"/>
      <c r="J954" s="7"/>
      <c r="K954" s="13" t="str">
        <f>IF(discount&gt;50%, product, "")</f>
        <v/>
      </c>
      <c r="L954" s="7"/>
      <c r="M954" s="7"/>
      <c r="N954" s="7"/>
      <c r="O954" s="14"/>
      <c r="P954" s="14"/>
    </row>
    <row r="955">
      <c r="A955" s="7" t="s">
        <v>88</v>
      </c>
      <c r="B955" s="7" t="s">
        <v>37</v>
      </c>
      <c r="C955" s="8">
        <v>13999.0</v>
      </c>
      <c r="D955" s="8">
        <v>24999.0</v>
      </c>
      <c r="E955" s="9">
        <v>0.44</v>
      </c>
      <c r="F955" s="10">
        <v>4.2</v>
      </c>
      <c r="G955" s="11">
        <v>45237.0</v>
      </c>
      <c r="I955" s="7"/>
      <c r="J955" s="7"/>
      <c r="K955" s="13" t="str">
        <f>IF(discount&gt;50%, product, "")</f>
        <v/>
      </c>
      <c r="L955" s="7"/>
      <c r="M955" s="7"/>
      <c r="N955" s="7"/>
      <c r="O955" s="14"/>
      <c r="P955" s="14"/>
    </row>
    <row r="956">
      <c r="A956" s="7" t="s">
        <v>1024</v>
      </c>
      <c r="B956" s="7" t="s">
        <v>806</v>
      </c>
      <c r="C956" s="8">
        <v>269.0</v>
      </c>
      <c r="D956" s="8">
        <v>1099.0</v>
      </c>
      <c r="E956" s="9">
        <v>0.76</v>
      </c>
      <c r="F956" s="10">
        <v>4.1</v>
      </c>
      <c r="G956" s="11">
        <v>1092.0</v>
      </c>
      <c r="I956" s="7"/>
      <c r="J956" s="7"/>
      <c r="K956" s="13" t="str">
        <f>IF(discount&gt;50%, product, "")</f>
        <v>Gizga Essentials Laptop Bag Sleeve Case Cover Pouch with Handle for 14.1 Inch Laptop for Men &amp; Women, Padded Laptop Compartment, Premium Zipper Closure, Water Repellent Nylon Fabric, Grey</v>
      </c>
      <c r="L956" s="7"/>
      <c r="M956" s="7"/>
      <c r="N956" s="7"/>
      <c r="O956" s="14"/>
      <c r="P956" s="14"/>
    </row>
    <row r="957">
      <c r="A957" s="7" t="s">
        <v>1025</v>
      </c>
      <c r="B957" s="7" t="s">
        <v>916</v>
      </c>
      <c r="C957" s="8">
        <v>341.0</v>
      </c>
      <c r="D957" s="8">
        <v>450.0</v>
      </c>
      <c r="E957" s="9">
        <v>0.24</v>
      </c>
      <c r="F957" s="10">
        <v>4.3</v>
      </c>
      <c r="G957" s="11">
        <v>2493.0</v>
      </c>
      <c r="I957" s="7"/>
      <c r="J957" s="7"/>
      <c r="K957" s="13" t="str">
        <f>IF(discount&gt;50%, product, "")</f>
        <v/>
      </c>
      <c r="L957" s="7"/>
      <c r="M957" s="7"/>
      <c r="N957" s="7"/>
      <c r="O957" s="14"/>
      <c r="P957" s="14"/>
    </row>
    <row r="958">
      <c r="A958" s="7" t="s">
        <v>1026</v>
      </c>
      <c r="B958" s="7" t="s">
        <v>709</v>
      </c>
      <c r="C958" s="8">
        <v>2499.0</v>
      </c>
      <c r="D958" s="8">
        <v>3999.0</v>
      </c>
      <c r="E958" s="9">
        <v>0.38</v>
      </c>
      <c r="F958" s="10">
        <v>4.4</v>
      </c>
      <c r="G958" s="11">
        <v>12679.0</v>
      </c>
      <c r="I958" s="7"/>
      <c r="J958" s="7"/>
      <c r="K958" s="13" t="str">
        <f>IF(discount&gt;50%, product, "")</f>
        <v/>
      </c>
      <c r="L958" s="7"/>
      <c r="M958" s="7"/>
      <c r="N958" s="7"/>
      <c r="O958" s="14"/>
      <c r="P958" s="14"/>
    </row>
    <row r="959">
      <c r="A959" s="7" t="s">
        <v>96</v>
      </c>
      <c r="B959" s="7" t="s">
        <v>15</v>
      </c>
      <c r="C959" s="8">
        <v>349.0</v>
      </c>
      <c r="D959" s="8">
        <v>599.0</v>
      </c>
      <c r="E959" s="9">
        <v>0.42</v>
      </c>
      <c r="F959" s="10">
        <v>4.1</v>
      </c>
      <c r="G959" s="10">
        <v>210.0</v>
      </c>
      <c r="I959" s="7"/>
      <c r="J959" s="7"/>
      <c r="K959" s="13" t="str">
        <f>IF(discount&gt;50%, product, "")</f>
        <v/>
      </c>
      <c r="L959" s="7"/>
      <c r="M959" s="7"/>
      <c r="N959" s="7"/>
      <c r="O959" s="14"/>
      <c r="P959" s="14"/>
    </row>
    <row r="960">
      <c r="A960" s="7" t="s">
        <v>1027</v>
      </c>
      <c r="B960" s="7" t="s">
        <v>940</v>
      </c>
      <c r="C960" s="8">
        <v>5899.0</v>
      </c>
      <c r="D960" s="8">
        <v>7005.0</v>
      </c>
      <c r="E960" s="9">
        <v>0.16</v>
      </c>
      <c r="F960" s="10">
        <v>3.6</v>
      </c>
      <c r="G960" s="11">
        <v>4199.0</v>
      </c>
      <c r="I960" s="7"/>
      <c r="J960" s="7"/>
      <c r="K960" s="13" t="str">
        <f>IF(discount&gt;50%, product, "")</f>
        <v/>
      </c>
      <c r="L960" s="7"/>
      <c r="M960" s="7"/>
      <c r="N960" s="7"/>
      <c r="O960" s="14"/>
      <c r="P960" s="14"/>
    </row>
    <row r="961">
      <c r="A961" s="7" t="s">
        <v>592</v>
      </c>
      <c r="B961" s="7" t="s">
        <v>409</v>
      </c>
      <c r="C961" s="8">
        <v>699.0</v>
      </c>
      <c r="D961" s="8">
        <v>1199.0</v>
      </c>
      <c r="E961" s="9">
        <v>0.42</v>
      </c>
      <c r="F961" s="10">
        <v>4.0</v>
      </c>
      <c r="G961" s="11">
        <v>14403.0</v>
      </c>
      <c r="I961" s="7"/>
      <c r="J961" s="7"/>
      <c r="K961" s="13" t="str">
        <f>IF(discount&gt;50%, product, "")</f>
        <v/>
      </c>
      <c r="L961" s="7"/>
      <c r="M961" s="7"/>
      <c r="N961" s="7"/>
      <c r="O961" s="14"/>
      <c r="P961" s="14"/>
    </row>
    <row r="962">
      <c r="A962" s="7" t="s">
        <v>1028</v>
      </c>
      <c r="B962" s="7" t="s">
        <v>709</v>
      </c>
      <c r="C962" s="8">
        <v>1565.0</v>
      </c>
      <c r="D962" s="8">
        <v>2999.0</v>
      </c>
      <c r="E962" s="9">
        <v>0.48</v>
      </c>
      <c r="F962" s="10">
        <v>4.0</v>
      </c>
      <c r="G962" s="11">
        <v>11113.0</v>
      </c>
      <c r="I962" s="7"/>
      <c r="J962" s="7"/>
      <c r="K962" s="13" t="str">
        <f>IF(discount&gt;50%, product, "")</f>
        <v/>
      </c>
      <c r="L962" s="7"/>
      <c r="M962" s="7"/>
      <c r="N962" s="7"/>
      <c r="O962" s="14"/>
      <c r="P962" s="14"/>
    </row>
    <row r="963">
      <c r="A963" s="7" t="s">
        <v>1029</v>
      </c>
      <c r="B963" s="7" t="s">
        <v>668</v>
      </c>
      <c r="C963" s="8">
        <v>326.0</v>
      </c>
      <c r="D963" s="8">
        <v>799.0</v>
      </c>
      <c r="E963" s="9">
        <v>0.59</v>
      </c>
      <c r="F963" s="10">
        <v>4.4</v>
      </c>
      <c r="G963" s="11">
        <v>10773.0</v>
      </c>
      <c r="I963" s="7"/>
      <c r="J963" s="7"/>
      <c r="K963" s="13" t="str">
        <f>IF(discount&gt;50%, product, "")</f>
        <v>SLOVIC® Tripod Mount Adapter| Tripod Mobile Holder|Tripod Phone Mount(Made in India)| Smartphone Clip Clipper 360 Degree for Taking Magic Video Shots &amp; Pictures.</v>
      </c>
      <c r="L963" s="7"/>
      <c r="M963" s="7"/>
      <c r="N963" s="7"/>
      <c r="O963" s="14"/>
      <c r="P963" s="14"/>
    </row>
    <row r="964">
      <c r="A964" s="7" t="s">
        <v>588</v>
      </c>
      <c r="B964" s="7" t="s">
        <v>589</v>
      </c>
      <c r="C964" s="8">
        <v>120.0</v>
      </c>
      <c r="D964" s="8">
        <v>999.0</v>
      </c>
      <c r="E964" s="9">
        <v>0.88</v>
      </c>
      <c r="F964" s="10">
        <v>3.9</v>
      </c>
      <c r="G964" s="11">
        <v>6491.0</v>
      </c>
      <c r="I964" s="7"/>
      <c r="J964" s="7"/>
      <c r="K964" s="13" t="str">
        <f>IF(discount&gt;50%, product, "")</f>
        <v>Sounce Gold Plated 3.5 mm Headphone Splitter for Computer 2 Male to 1 Female 3.5mm Headphone Mic Audio Y Splitter Cable Smartphone Headset to PC Adapter – (Black,20cm)</v>
      </c>
      <c r="L964" s="7"/>
      <c r="M964" s="7"/>
      <c r="N964" s="7"/>
      <c r="O964" s="14"/>
      <c r="P964" s="14"/>
    </row>
    <row r="965">
      <c r="A965" s="7" t="s">
        <v>1030</v>
      </c>
      <c r="B965" s="7" t="s">
        <v>662</v>
      </c>
      <c r="C965" s="8">
        <v>657.0</v>
      </c>
      <c r="D965" s="8">
        <v>999.0</v>
      </c>
      <c r="E965" s="9">
        <v>0.34</v>
      </c>
      <c r="F965" s="10">
        <v>4.3</v>
      </c>
      <c r="G965" s="11">
        <v>13944.0</v>
      </c>
      <c r="I965" s="7"/>
      <c r="J965" s="7"/>
      <c r="K965" s="13" t="str">
        <f>IF(discount&gt;50%, product, "")</f>
        <v/>
      </c>
      <c r="L965" s="7"/>
      <c r="M965" s="7"/>
      <c r="N965" s="7"/>
      <c r="O965" s="14"/>
      <c r="P965" s="14"/>
    </row>
    <row r="966">
      <c r="A966" s="7" t="s">
        <v>1031</v>
      </c>
      <c r="B966" s="7" t="s">
        <v>692</v>
      </c>
      <c r="C966" s="8">
        <v>1995.0</v>
      </c>
      <c r="D966" s="8">
        <v>2895.0</v>
      </c>
      <c r="E966" s="9">
        <v>0.31</v>
      </c>
      <c r="F966" s="10">
        <v>4.6</v>
      </c>
      <c r="G966" s="11">
        <v>10760.0</v>
      </c>
      <c r="I966" s="7"/>
      <c r="J966" s="7"/>
      <c r="K966" s="13" t="str">
        <f>IF(discount&gt;50%, product, "")</f>
        <v/>
      </c>
      <c r="L966" s="7"/>
      <c r="M966" s="7"/>
      <c r="N966" s="7"/>
      <c r="O966" s="14"/>
      <c r="P966" s="14"/>
    </row>
    <row r="967">
      <c r="A967" s="7" t="s">
        <v>1032</v>
      </c>
      <c r="B967" s="7" t="s">
        <v>721</v>
      </c>
      <c r="C967" s="8">
        <v>1500.0</v>
      </c>
      <c r="D967" s="8">
        <v>1500.0</v>
      </c>
      <c r="E967" s="9">
        <v>0.0</v>
      </c>
      <c r="F967" s="10">
        <v>4.4</v>
      </c>
      <c r="G967" s="11">
        <v>25996.0</v>
      </c>
      <c r="I967" s="7"/>
      <c r="J967" s="7"/>
      <c r="K967" s="13" t="str">
        <f>IF(discount&gt;50%, product, "")</f>
        <v/>
      </c>
      <c r="L967" s="7"/>
      <c r="M967" s="7"/>
      <c r="N967" s="7"/>
      <c r="O967" s="14"/>
      <c r="P967" s="14"/>
    </row>
    <row r="968">
      <c r="A968" s="7" t="s">
        <v>1033</v>
      </c>
      <c r="B968" s="7" t="s">
        <v>647</v>
      </c>
      <c r="C968" s="8">
        <v>2640.0</v>
      </c>
      <c r="D968" s="8">
        <v>3195.0</v>
      </c>
      <c r="E968" s="9">
        <v>0.17</v>
      </c>
      <c r="F968" s="10">
        <v>4.5</v>
      </c>
      <c r="G968" s="11">
        <v>16146.0</v>
      </c>
      <c r="I968" s="7"/>
      <c r="J968" s="7"/>
      <c r="K968" s="13" t="str">
        <f>IF(discount&gt;50%, product, "")</f>
        <v/>
      </c>
      <c r="L968" s="7"/>
      <c r="M968" s="7"/>
      <c r="N968" s="7"/>
      <c r="O968" s="14"/>
      <c r="P968" s="14"/>
    </row>
    <row r="969">
      <c r="A969" s="7" t="s">
        <v>1034</v>
      </c>
      <c r="B969" s="7" t="s">
        <v>940</v>
      </c>
      <c r="C969" s="8">
        <v>5299.0</v>
      </c>
      <c r="D969" s="8">
        <v>6355.0</v>
      </c>
      <c r="E969" s="9">
        <v>0.17</v>
      </c>
      <c r="F969" s="10">
        <v>3.9</v>
      </c>
      <c r="G969" s="11">
        <v>8280.0</v>
      </c>
      <c r="I969" s="7"/>
      <c r="J969" s="7"/>
      <c r="K969" s="13" t="str">
        <f>IF(discount&gt;50%, product, "")</f>
        <v/>
      </c>
      <c r="L969" s="7"/>
      <c r="M969" s="7"/>
      <c r="N969" s="7"/>
      <c r="O969" s="14"/>
      <c r="P969" s="14"/>
    </row>
    <row r="970">
      <c r="A970" s="7" t="s">
        <v>90</v>
      </c>
      <c r="B970" s="7" t="s">
        <v>15</v>
      </c>
      <c r="C970" s="8">
        <v>263.0</v>
      </c>
      <c r="D970" s="8">
        <v>699.0</v>
      </c>
      <c r="E970" s="9">
        <v>0.62</v>
      </c>
      <c r="F970" s="10">
        <v>4.1</v>
      </c>
      <c r="G970" s="10">
        <v>450.0</v>
      </c>
      <c r="I970" s="7"/>
      <c r="J970" s="7"/>
      <c r="K970" s="13" t="str">
        <f>IF(discount&gt;50%, product, "")</f>
        <v>Portronics Konnect L 20W PD Quick Charge Type-C to 8-Pin USB Mobile Charging Cable, 1.2M, Tangle Resistant, Fast Data Sync(Grey)</v>
      </c>
      <c r="L970" s="7"/>
      <c r="M970" s="7"/>
      <c r="N970" s="7"/>
      <c r="O970" s="14"/>
      <c r="P970" s="14"/>
    </row>
    <row r="971">
      <c r="A971" s="7" t="s">
        <v>1035</v>
      </c>
      <c r="B971" s="7" t="s">
        <v>999</v>
      </c>
      <c r="C971" s="8">
        <v>1990.0</v>
      </c>
      <c r="D971" s="8">
        <v>2999.0</v>
      </c>
      <c r="E971" s="9">
        <v>0.34</v>
      </c>
      <c r="F971" s="10">
        <v>4.3</v>
      </c>
      <c r="G971" s="11">
        <v>14237.0</v>
      </c>
      <c r="I971" s="7"/>
      <c r="J971" s="7"/>
      <c r="K971" s="13" t="str">
        <f>IF(discount&gt;50%, product, "")</f>
        <v/>
      </c>
      <c r="L971" s="7"/>
      <c r="M971" s="7"/>
      <c r="N971" s="7"/>
      <c r="O971" s="14"/>
      <c r="P971" s="14"/>
    </row>
    <row r="972">
      <c r="A972" s="7" t="s">
        <v>1036</v>
      </c>
      <c r="B972" s="7" t="s">
        <v>1037</v>
      </c>
      <c r="C972" s="8">
        <v>1289.0</v>
      </c>
      <c r="D972" s="8">
        <v>1499.0</v>
      </c>
      <c r="E972" s="9">
        <v>0.14</v>
      </c>
      <c r="F972" s="10">
        <v>4.5</v>
      </c>
      <c r="G972" s="11">
        <v>20668.0</v>
      </c>
      <c r="I972" s="7"/>
      <c r="J972" s="7"/>
      <c r="K972" s="13" t="str">
        <f>IF(discount&gt;50%, product, "")</f>
        <v/>
      </c>
      <c r="L972" s="7"/>
      <c r="M972" s="7"/>
      <c r="N972" s="7"/>
      <c r="O972" s="14"/>
      <c r="P972" s="14"/>
    </row>
    <row r="973">
      <c r="A973" s="7" t="s">
        <v>1038</v>
      </c>
      <c r="B973" s="7" t="s">
        <v>817</v>
      </c>
      <c r="C973" s="8">
        <v>165.0</v>
      </c>
      <c r="D973" s="8">
        <v>165.0</v>
      </c>
      <c r="E973" s="9">
        <v>0.0</v>
      </c>
      <c r="F973" s="10">
        <v>4.5</v>
      </c>
      <c r="G973" s="11">
        <v>1674.0</v>
      </c>
      <c r="I973" s="7"/>
      <c r="J973" s="7"/>
      <c r="K973" s="13" t="str">
        <f>IF(discount&gt;50%, product, "")</f>
        <v/>
      </c>
      <c r="L973" s="7"/>
      <c r="M973" s="7"/>
      <c r="N973" s="7"/>
      <c r="O973" s="14"/>
      <c r="P973" s="14"/>
    </row>
    <row r="974">
      <c r="A974" s="7" t="s">
        <v>1039</v>
      </c>
      <c r="B974" s="7" t="s">
        <v>895</v>
      </c>
      <c r="C974" s="8">
        <v>1699.0</v>
      </c>
      <c r="D974" s="8">
        <v>3499.0</v>
      </c>
      <c r="E974" s="9">
        <v>0.51</v>
      </c>
      <c r="F974" s="10">
        <v>3.6</v>
      </c>
      <c r="G974" s="11">
        <v>7689.0</v>
      </c>
      <c r="I974" s="7"/>
      <c r="J974" s="7"/>
      <c r="K974" s="13" t="str">
        <f>IF(discount&gt;50%, product, "")</f>
        <v>Artis AR-45W-MG2 45 Watts MG2 Laptop Adapter/Charger Compatible with MB Air 13” &amp; MB Air 11” (14.5 V, 3.1 A) Connector: MG2 (T Tip Connector)</v>
      </c>
      <c r="L974" s="7"/>
      <c r="M974" s="7"/>
      <c r="N974" s="7"/>
      <c r="O974" s="14"/>
      <c r="P974" s="14"/>
    </row>
    <row r="975">
      <c r="A975" s="7" t="s">
        <v>1040</v>
      </c>
      <c r="B975" s="7" t="s">
        <v>769</v>
      </c>
      <c r="C975" s="8">
        <v>2299.0</v>
      </c>
      <c r="D975" s="8">
        <v>7500.0</v>
      </c>
      <c r="E975" s="9">
        <v>0.69</v>
      </c>
      <c r="F975" s="10">
        <v>4.1</v>
      </c>
      <c r="G975" s="11">
        <v>5554.0</v>
      </c>
      <c r="I975" s="7"/>
      <c r="J975" s="7"/>
      <c r="K975" s="13" t="str">
        <f>IF(discount&gt;50%, product, "")</f>
        <v>Imou 360° 1080P Full HD Security Camera, Human Detection, Motion Tracking, 2-Way Audio, Night Vision, Dome Camera with WiFi &amp; Ethernet Connection, Alexa Google Assistant, Up to 256GB SD Card Support</v>
      </c>
      <c r="L975" s="7"/>
      <c r="M975" s="7"/>
      <c r="N975" s="7"/>
      <c r="O975" s="14"/>
      <c r="P975" s="14"/>
    </row>
    <row r="976">
      <c r="A976" s="7" t="s">
        <v>94</v>
      </c>
      <c r="B976" s="7" t="s">
        <v>15</v>
      </c>
      <c r="C976" s="8">
        <v>219.0</v>
      </c>
      <c r="D976" s="8">
        <v>700.0</v>
      </c>
      <c r="E976" s="9">
        <v>0.69</v>
      </c>
      <c r="F976" s="10">
        <v>4.3</v>
      </c>
      <c r="G976" s="11">
        <v>20053.0</v>
      </c>
      <c r="I976" s="7"/>
      <c r="J976" s="7"/>
      <c r="K976" s="13" t="str">
        <f>IF(discount&gt;50%, product, "")</f>
        <v>Amazon Basics USB Type-C to USB-A 2.0 Male Fast Charging Cable for Laptop - 3 Feet (0.9 Meters), Black</v>
      </c>
      <c r="L976" s="7"/>
      <c r="M976" s="7"/>
      <c r="N976" s="7"/>
      <c r="O976" s="14"/>
      <c r="P976" s="14"/>
    </row>
    <row r="977">
      <c r="A977" s="7" t="s">
        <v>1041</v>
      </c>
      <c r="B977" s="7" t="s">
        <v>759</v>
      </c>
      <c r="C977" s="8">
        <v>39.0</v>
      </c>
      <c r="D977" s="8">
        <v>39.0</v>
      </c>
      <c r="E977" s="9">
        <v>0.0</v>
      </c>
      <c r="F977" s="10">
        <v>3.8</v>
      </c>
      <c r="G977" s="11">
        <v>3344.0</v>
      </c>
      <c r="I977" s="7"/>
      <c r="J977" s="7"/>
      <c r="K977" s="13" t="str">
        <f>IF(discount&gt;50%, product, "")</f>
        <v/>
      </c>
      <c r="L977" s="7"/>
      <c r="M977" s="7"/>
      <c r="N977" s="7"/>
      <c r="O977" s="14"/>
      <c r="P977" s="14"/>
    </row>
    <row r="978">
      <c r="A978" s="7" t="s">
        <v>1042</v>
      </c>
      <c r="B978" s="7" t="s">
        <v>1043</v>
      </c>
      <c r="C978" s="8">
        <v>26999.0</v>
      </c>
      <c r="D978" s="8">
        <v>37999.0</v>
      </c>
      <c r="E978" s="9">
        <v>0.29</v>
      </c>
      <c r="F978" s="10">
        <v>4.6</v>
      </c>
      <c r="G978" s="11">
        <v>2886.0</v>
      </c>
      <c r="I978" s="7"/>
      <c r="J978" s="7"/>
      <c r="K978" s="13" t="str">
        <f>IF(discount&gt;50%, product, "")</f>
        <v/>
      </c>
      <c r="L978" s="7"/>
      <c r="M978" s="7"/>
      <c r="N978" s="7"/>
      <c r="O978" s="14"/>
      <c r="P978" s="14"/>
    </row>
    <row r="979">
      <c r="A979" s="7" t="s">
        <v>1044</v>
      </c>
      <c r="B979" s="7" t="s">
        <v>393</v>
      </c>
      <c r="C979" s="8">
        <v>1490.0</v>
      </c>
      <c r="D979" s="8">
        <v>1990.0</v>
      </c>
      <c r="E979" s="9">
        <v>0.25</v>
      </c>
      <c r="F979" s="10">
        <v>4.1</v>
      </c>
      <c r="G979" s="11">
        <v>98250.0</v>
      </c>
      <c r="I979" s="7"/>
      <c r="J979" s="7"/>
      <c r="K979" s="13" t="str">
        <f>IF(discount&gt;50%, product, "")</f>
        <v/>
      </c>
      <c r="L979" s="7"/>
      <c r="M979" s="7"/>
      <c r="N979" s="7"/>
      <c r="O979" s="14"/>
      <c r="P979" s="14"/>
    </row>
    <row r="980">
      <c r="A980" s="7" t="s">
        <v>1045</v>
      </c>
      <c r="B980" s="7" t="s">
        <v>631</v>
      </c>
      <c r="C980" s="8">
        <v>398.0</v>
      </c>
      <c r="D980" s="8">
        <v>1949.0</v>
      </c>
      <c r="E980" s="9">
        <v>0.8</v>
      </c>
      <c r="F980" s="10">
        <v>4.0</v>
      </c>
      <c r="G980" s="10">
        <v>75.0</v>
      </c>
      <c r="I980" s="7"/>
      <c r="J980" s="7"/>
      <c r="K980" s="13" t="str">
        <f>IF(discount&gt;50%, product, "")</f>
        <v>HB Plus Folding Height Adjustable Aluminum Foldable Portable Adjustment Desktop Laptop Holder Riser Stand</v>
      </c>
      <c r="L980" s="7"/>
      <c r="M980" s="7"/>
      <c r="N980" s="7"/>
      <c r="O980" s="14"/>
      <c r="P980" s="14"/>
    </row>
    <row r="981">
      <c r="A981" s="7" t="s">
        <v>95</v>
      </c>
      <c r="B981" s="7" t="s">
        <v>15</v>
      </c>
      <c r="C981" s="8">
        <v>349.0</v>
      </c>
      <c r="D981" s="8">
        <v>899.0</v>
      </c>
      <c r="E981" s="9">
        <v>0.61</v>
      </c>
      <c r="F981" s="10">
        <v>4.5</v>
      </c>
      <c r="G981" s="10">
        <v>149.0</v>
      </c>
      <c r="I981" s="7"/>
      <c r="J981" s="7"/>
      <c r="K981" s="13" t="str">
        <f>IF(discount&gt;50%, product, "")</f>
        <v>oraimo 65W Type C to C Fast Charging Cable USB C to USB C Cable High Speed Syncing, Nylon Braided 1M length with LED Indicator Compatible For Laptop, Macbook, Samsung Galaxy S22 S20 S10 S20Fe S21 S21 Ultra A70 A51 A71 A50S M31 M51 M31S M53 5G</v>
      </c>
      <c r="L981" s="7"/>
      <c r="M981" s="7"/>
      <c r="N981" s="7"/>
      <c r="O981" s="14"/>
      <c r="P981" s="14"/>
    </row>
    <row r="982">
      <c r="A982" s="7" t="s">
        <v>1046</v>
      </c>
      <c r="B982" s="7" t="s">
        <v>895</v>
      </c>
      <c r="C982" s="8">
        <v>770.0</v>
      </c>
      <c r="D982" s="8">
        <v>1547.0</v>
      </c>
      <c r="E982" s="9">
        <v>0.5</v>
      </c>
      <c r="F982" s="10">
        <v>4.3</v>
      </c>
      <c r="G982" s="11">
        <v>2585.0</v>
      </c>
      <c r="I982" s="7"/>
      <c r="J982" s="7"/>
      <c r="K982" s="13" t="str">
        <f>IF(discount&gt;50%, product, "")</f>
        <v/>
      </c>
      <c r="L982" s="7"/>
      <c r="M982" s="7"/>
      <c r="N982" s="7"/>
      <c r="O982" s="14"/>
      <c r="P982" s="14"/>
    </row>
    <row r="983">
      <c r="A983" s="7" t="s">
        <v>1047</v>
      </c>
      <c r="B983" s="7" t="s">
        <v>450</v>
      </c>
      <c r="C983" s="8">
        <v>279.0</v>
      </c>
      <c r="D983" s="8">
        <v>1299.0</v>
      </c>
      <c r="E983" s="9">
        <v>0.79</v>
      </c>
      <c r="F983" s="10">
        <v>4.0</v>
      </c>
      <c r="G983" s="11">
        <v>5072.0</v>
      </c>
      <c r="I983" s="7"/>
      <c r="J983" s="7"/>
      <c r="K983" s="13" t="str">
        <f>IF(discount&gt;50%, product, "")</f>
        <v>Tukzer Fully Foldable Tabletop Desktop Tablet Mobile Stand Holder - Angle &amp; Height Adjustable for Desk, Cradle, Dock, Compatible with Smartphones &amp; Tablets (White)</v>
      </c>
      <c r="L983" s="7"/>
      <c r="M983" s="7"/>
      <c r="N983" s="7"/>
      <c r="O983" s="14"/>
      <c r="P983" s="14"/>
    </row>
    <row r="984">
      <c r="A984" s="7" t="s">
        <v>1048</v>
      </c>
      <c r="B984" s="7" t="s">
        <v>1049</v>
      </c>
      <c r="C984" s="8">
        <v>249.0</v>
      </c>
      <c r="D984" s="8">
        <v>599.0</v>
      </c>
      <c r="E984" s="9">
        <v>0.58</v>
      </c>
      <c r="F984" s="10">
        <v>4.5</v>
      </c>
      <c r="G984" s="11">
        <v>5985.0</v>
      </c>
      <c r="I984" s="7"/>
      <c r="J984" s="7"/>
      <c r="K984" s="13" t="str">
        <f>IF(discount&gt;50%, product, "")</f>
        <v>Gizga Essentials Cable Organiser, Cord Management System for PC, TV, Home Theater, Speaker &amp; Cables, Reusable Cable Organizer for Desk, WFH Accessories, Organizer Tape Roll, Reusable Cable Ties Strap</v>
      </c>
      <c r="L984" s="7"/>
      <c r="M984" s="7"/>
      <c r="N984" s="7"/>
      <c r="O984" s="14"/>
      <c r="P984" s="14"/>
    </row>
    <row r="985">
      <c r="A985" s="7" t="s">
        <v>98</v>
      </c>
      <c r="B985" s="7" t="s">
        <v>15</v>
      </c>
      <c r="C985" s="8">
        <v>115.0</v>
      </c>
      <c r="D985" s="8">
        <v>499.0</v>
      </c>
      <c r="E985" s="9">
        <v>0.77</v>
      </c>
      <c r="F985" s="10">
        <v>4.0</v>
      </c>
      <c r="G985" s="11">
        <v>7732.0</v>
      </c>
      <c r="I985" s="7"/>
      <c r="J985" s="7"/>
      <c r="K985" s="13" t="str">
        <f>IF(discount&gt;50%, product, "")</f>
        <v>Pinnaclz Original Combo of 2 Micro USB Fast Charging Cable, USB Charging Cable for Data Transfer Perfect for Android Smart Phones White 1.2 Meter Made in India (Pack of 2)</v>
      </c>
      <c r="L985" s="7"/>
      <c r="M985" s="7"/>
      <c r="N985" s="7"/>
      <c r="O985" s="14"/>
      <c r="P985" s="14"/>
    </row>
    <row r="986">
      <c r="A986" s="7" t="s">
        <v>1050</v>
      </c>
      <c r="B986" s="7" t="s">
        <v>1051</v>
      </c>
      <c r="C986" s="8">
        <v>230.0</v>
      </c>
      <c r="D986" s="8">
        <v>230.0</v>
      </c>
      <c r="E986" s="9">
        <v>0.0</v>
      </c>
      <c r="F986" s="10">
        <v>4.5</v>
      </c>
      <c r="G986" s="11">
        <v>9427.0</v>
      </c>
      <c r="I986" s="7"/>
      <c r="J986" s="7"/>
      <c r="K986" s="13" t="str">
        <f>IF(discount&gt;50%, product, "")</f>
        <v/>
      </c>
      <c r="L986" s="7"/>
      <c r="M986" s="7"/>
      <c r="N986" s="7"/>
      <c r="O986" s="14"/>
      <c r="P986" s="14"/>
    </row>
    <row r="987">
      <c r="A987" s="7" t="s">
        <v>99</v>
      </c>
      <c r="B987" s="7" t="s">
        <v>15</v>
      </c>
      <c r="C987" s="8">
        <v>399.0</v>
      </c>
      <c r="D987" s="8">
        <v>999.0</v>
      </c>
      <c r="E987" s="9">
        <v>0.6</v>
      </c>
      <c r="F987" s="10">
        <v>4.1</v>
      </c>
      <c r="G987" s="11">
        <v>1780.0</v>
      </c>
      <c r="I987" s="7"/>
      <c r="J987" s="7"/>
      <c r="K987" s="13" t="str">
        <f>IF(discount&gt;50%, product, "")</f>
        <v>boAt Type C A750 Stress Resistant, Tangle-free, Sturdy Flat Cable with 6.5A Fast Charging &amp; 480Mbps Data Transmission, 10000+ Bends Lifespan and Extended 1.5m Length(Rebellious Black)</v>
      </c>
      <c r="L987" s="7"/>
      <c r="M987" s="7"/>
      <c r="N987" s="7"/>
      <c r="O987" s="14"/>
      <c r="P987" s="14"/>
    </row>
    <row r="988">
      <c r="A988" s="7" t="s">
        <v>1052</v>
      </c>
      <c r="B988" s="7" t="s">
        <v>692</v>
      </c>
      <c r="C988" s="8">
        <v>599.0</v>
      </c>
      <c r="D988" s="8">
        <v>700.0</v>
      </c>
      <c r="E988" s="9">
        <v>0.14</v>
      </c>
      <c r="F988" s="10">
        <v>4.3</v>
      </c>
      <c r="G988" s="11">
        <v>2301.0</v>
      </c>
      <c r="I988" s="7"/>
      <c r="J988" s="7"/>
      <c r="K988" s="13" t="str">
        <f>IF(discount&gt;50%, product, "")</f>
        <v/>
      </c>
      <c r="L988" s="7"/>
      <c r="M988" s="7"/>
      <c r="N988" s="7"/>
      <c r="O988" s="14"/>
      <c r="P988" s="14"/>
    </row>
    <row r="989">
      <c r="A989" s="7" t="s">
        <v>1053</v>
      </c>
      <c r="B989" s="7" t="s">
        <v>1054</v>
      </c>
      <c r="C989" s="8">
        <v>598.0</v>
      </c>
      <c r="D989" s="8">
        <v>1150.0</v>
      </c>
      <c r="E989" s="9">
        <v>0.48</v>
      </c>
      <c r="F989" s="10">
        <v>4.1</v>
      </c>
      <c r="G989" s="11">
        <v>2535.0</v>
      </c>
      <c r="I989" s="7"/>
      <c r="J989" s="7"/>
      <c r="K989" s="13" t="str">
        <f>IF(discount&gt;50%, product, "")</f>
        <v/>
      </c>
      <c r="L989" s="7"/>
      <c r="M989" s="7"/>
      <c r="N989" s="7"/>
      <c r="O989" s="14"/>
      <c r="P989" s="14"/>
    </row>
    <row r="990">
      <c r="A990" s="7" t="s">
        <v>1055</v>
      </c>
      <c r="B990" s="7" t="s">
        <v>779</v>
      </c>
      <c r="C990" s="8">
        <v>399.0</v>
      </c>
      <c r="D990" s="8">
        <v>1499.0</v>
      </c>
      <c r="E990" s="9">
        <v>0.73</v>
      </c>
      <c r="F990" s="10">
        <v>4.0</v>
      </c>
      <c r="G990" s="10">
        <v>691.0</v>
      </c>
      <c r="I990" s="7"/>
      <c r="J990" s="7"/>
      <c r="K990" s="13" t="str">
        <f>IF(discount&gt;50%, product, "")</f>
        <v>Robustrion [Anti-Scratch] &amp; [Smudge Proof] [Bubble Free] Premium Tempered Glass Screen Protector Guard for Samsung Galaxy Tab A8 10.5 inch [SM-X200/X205/X207] 2022</v>
      </c>
      <c r="L990" s="7"/>
      <c r="M990" s="7"/>
      <c r="N990" s="7"/>
      <c r="O990" s="14"/>
      <c r="P990" s="14"/>
    </row>
    <row r="991">
      <c r="A991" s="7" t="s">
        <v>1056</v>
      </c>
      <c r="B991" s="7" t="s">
        <v>631</v>
      </c>
      <c r="C991" s="8">
        <v>499.0</v>
      </c>
      <c r="D991" s="8">
        <v>1299.0</v>
      </c>
      <c r="E991" s="9">
        <v>0.62</v>
      </c>
      <c r="F991" s="10">
        <v>4.1</v>
      </c>
      <c r="G991" s="11">
        <v>2740.0</v>
      </c>
      <c r="I991" s="7"/>
      <c r="J991" s="7"/>
      <c r="K991" s="13" t="str">
        <f>IF(discount&gt;50%, product, "")</f>
        <v>PC SQUARE Laptop Tabletop Stand/ Computer Tablet Stand 6 Angles Adjustable Aluminum Ergonomic Foldable Portable Desktop Holder Compatible with MacBook, HP, Dell, Lenovo &amp; All Other Notebook (Silver)</v>
      </c>
      <c r="L991" s="7"/>
      <c r="M991" s="7"/>
      <c r="N991" s="7"/>
      <c r="O991" s="14"/>
      <c r="P991" s="14"/>
    </row>
    <row r="992">
      <c r="A992" s="7" t="s">
        <v>100</v>
      </c>
      <c r="B992" s="7" t="s">
        <v>15</v>
      </c>
      <c r="C992" s="8">
        <v>199.0</v>
      </c>
      <c r="D992" s="8">
        <v>499.0</v>
      </c>
      <c r="E992" s="9">
        <v>0.6</v>
      </c>
      <c r="F992" s="10">
        <v>4.1</v>
      </c>
      <c r="G992" s="10">
        <v>602.0</v>
      </c>
      <c r="I992" s="7"/>
      <c r="J992" s="7"/>
      <c r="K992" s="13" t="str">
        <f>IF(discount&gt;50%, product, "")</f>
        <v>Ambrane 2 in 1 Type-C &amp; Micro USB Cable with 60W / 3A Fast Charging, 480 mbps High Data, PD Technology &amp; Quick Charge 3.0, Compatible with All Type-C &amp; Micro USB Devices (ABDC-10, Black)</v>
      </c>
      <c r="L992" s="7"/>
      <c r="M992" s="7"/>
      <c r="N992" s="7"/>
      <c r="O992" s="14"/>
      <c r="P992" s="14"/>
    </row>
    <row r="993">
      <c r="A993" s="7" t="s">
        <v>1057</v>
      </c>
      <c r="B993" s="7" t="s">
        <v>625</v>
      </c>
      <c r="C993" s="8">
        <v>579.0</v>
      </c>
      <c r="D993" s="8">
        <v>1090.0</v>
      </c>
      <c r="E993" s="9">
        <v>0.47</v>
      </c>
      <c r="F993" s="10">
        <v>4.4</v>
      </c>
      <c r="G993" s="11">
        <v>3482.0</v>
      </c>
      <c r="I993" s="7"/>
      <c r="J993" s="7"/>
      <c r="K993" s="13" t="str">
        <f>IF(discount&gt;50%, product, "")</f>
        <v/>
      </c>
      <c r="L993" s="7"/>
      <c r="M993" s="7"/>
      <c r="N993" s="7"/>
      <c r="O993" s="14"/>
      <c r="P993" s="14"/>
    </row>
    <row r="994">
      <c r="A994" s="7" t="s">
        <v>101</v>
      </c>
      <c r="B994" s="7" t="s">
        <v>15</v>
      </c>
      <c r="C994" s="8">
        <v>179.0</v>
      </c>
      <c r="D994" s="8">
        <v>399.0</v>
      </c>
      <c r="E994" s="9">
        <v>0.55</v>
      </c>
      <c r="F994" s="10">
        <v>4.0</v>
      </c>
      <c r="G994" s="11">
        <v>1423.0</v>
      </c>
      <c r="I994" s="7"/>
      <c r="J994" s="7"/>
      <c r="K994" s="13" t="str">
        <f>IF(discount&gt;50%, product, "")</f>
        <v>Ambrane 60W / 3A Fast Charging Output Cable with Type-C to USB for Mobile, Neckband, True Wireless Earphone Charging, 480mbps Data Sync Speed, 1m Length (ACT - AZ10, Black)</v>
      </c>
      <c r="L994" s="7"/>
      <c r="M994" s="7"/>
      <c r="N994" s="7"/>
      <c r="O994" s="14"/>
      <c r="P994" s="14"/>
    </row>
    <row r="995">
      <c r="A995" s="7" t="s">
        <v>1058</v>
      </c>
      <c r="B995" s="7" t="s">
        <v>1059</v>
      </c>
      <c r="C995" s="8">
        <v>90.0</v>
      </c>
      <c r="D995" s="8">
        <v>100.0</v>
      </c>
      <c r="E995" s="9">
        <v>0.1</v>
      </c>
      <c r="F995" s="10">
        <v>4.1</v>
      </c>
      <c r="G995" s="11">
        <v>6199.0</v>
      </c>
      <c r="I995" s="7"/>
      <c r="J995" s="7"/>
      <c r="K995" s="13" t="str">
        <f>IF(discount&gt;50%, product, "")</f>
        <v/>
      </c>
      <c r="L995" s="7"/>
      <c r="M995" s="7"/>
      <c r="N995" s="7"/>
      <c r="O995" s="14"/>
      <c r="P995" s="14"/>
    </row>
    <row r="996">
      <c r="A996" s="7" t="s">
        <v>1060</v>
      </c>
      <c r="B996" s="7" t="s">
        <v>631</v>
      </c>
      <c r="C996" s="8">
        <v>899.0</v>
      </c>
      <c r="D996" s="8">
        <v>1999.0</v>
      </c>
      <c r="E996" s="9">
        <v>0.55</v>
      </c>
      <c r="F996" s="10">
        <v>4.4</v>
      </c>
      <c r="G996" s="11">
        <v>1667.0</v>
      </c>
      <c r="I996" s="7"/>
      <c r="J996" s="7"/>
      <c r="K996" s="13" t="str">
        <f>IF(discount&gt;50%, product, "")</f>
        <v>ZEBRONICS Aluminium Alloy Laptop Stand, Compatible with 9-15.6 inch Laptops, 7 Angles Adjustable, Anti Slip Silicon Rubber Pads, Foldable, Velvet Pouch Inside, Zeb-NS2000 (Dark Grey)</v>
      </c>
      <c r="L996" s="7"/>
      <c r="M996" s="7"/>
      <c r="N996" s="7"/>
      <c r="O996" s="14"/>
      <c r="P996" s="14"/>
    </row>
    <row r="997">
      <c r="A997" s="7" t="s">
        <v>1061</v>
      </c>
      <c r="B997" s="7" t="s">
        <v>973</v>
      </c>
      <c r="C997" s="8">
        <v>1149.0</v>
      </c>
      <c r="D997" s="8">
        <v>1800.0</v>
      </c>
      <c r="E997" s="9">
        <v>0.36</v>
      </c>
      <c r="F997" s="10">
        <v>4.3</v>
      </c>
      <c r="G997" s="11">
        <v>4723.0</v>
      </c>
      <c r="I997" s="7"/>
      <c r="J997" s="7"/>
      <c r="K997" s="13" t="str">
        <f>IF(discount&gt;50%, product, "")</f>
        <v/>
      </c>
      <c r="L997" s="7"/>
      <c r="M997" s="7"/>
      <c r="N997" s="7"/>
      <c r="O997" s="14"/>
      <c r="P997" s="14"/>
    </row>
    <row r="998">
      <c r="A998" s="7" t="s">
        <v>1062</v>
      </c>
      <c r="B998" s="7" t="s">
        <v>806</v>
      </c>
      <c r="C998" s="8">
        <v>249.0</v>
      </c>
      <c r="D998" s="8">
        <v>499.0</v>
      </c>
      <c r="E998" s="9">
        <v>0.5</v>
      </c>
      <c r="F998" s="10">
        <v>4.2</v>
      </c>
      <c r="G998" s="11">
        <v>22860.0</v>
      </c>
      <c r="I998" s="7"/>
      <c r="J998" s="7"/>
      <c r="K998" s="13" t="str">
        <f>IF(discount&gt;50%, product, "")</f>
        <v/>
      </c>
      <c r="L998" s="7"/>
      <c r="M998" s="7"/>
      <c r="N998" s="7"/>
      <c r="O998" s="14"/>
      <c r="P998" s="14"/>
    </row>
    <row r="999">
      <c r="A999" s="7" t="s">
        <v>1063</v>
      </c>
      <c r="B999" s="7" t="s">
        <v>759</v>
      </c>
      <c r="C999" s="8">
        <v>39.0</v>
      </c>
      <c r="D999" s="8">
        <v>39.0</v>
      </c>
      <c r="E999" s="9">
        <v>0.0</v>
      </c>
      <c r="F999" s="10">
        <v>3.6</v>
      </c>
      <c r="G999" s="11">
        <v>13572.0</v>
      </c>
      <c r="I999" s="7"/>
      <c r="J999" s="7"/>
      <c r="K999" s="13" t="str">
        <f>IF(discount&gt;50%, product, "")</f>
        <v/>
      </c>
      <c r="L999" s="7"/>
      <c r="M999" s="7"/>
      <c r="N999" s="7"/>
      <c r="O999" s="14"/>
      <c r="P999" s="14"/>
    </row>
    <row r="1000">
      <c r="A1000" s="7" t="s">
        <v>1064</v>
      </c>
      <c r="B1000" s="7" t="s">
        <v>676</v>
      </c>
      <c r="C1000" s="8">
        <v>1599.0</v>
      </c>
      <c r="D1000" s="8">
        <v>3599.0</v>
      </c>
      <c r="E1000" s="9">
        <v>0.56</v>
      </c>
      <c r="F1000" s="10">
        <v>4.2</v>
      </c>
      <c r="G1000" s="11">
        <v>16182.0</v>
      </c>
      <c r="I1000" s="7"/>
      <c r="J1000" s="7"/>
      <c r="K1000" s="13" t="str">
        <f>IF(discount&gt;50%, product, "")</f>
        <v>TP-Link TL-WA855RE 300 Mbps Wi-Fi Range Extender (White)</v>
      </c>
      <c r="L1000" s="7"/>
      <c r="M1000" s="7"/>
      <c r="N1000" s="7"/>
      <c r="O1000" s="14"/>
      <c r="P1000" s="14"/>
    </row>
    <row r="1001">
      <c r="A1001" s="7" t="s">
        <v>1065</v>
      </c>
      <c r="B1001" s="7" t="s">
        <v>719</v>
      </c>
      <c r="C1001" s="8">
        <v>1199.0</v>
      </c>
      <c r="D1001" s="8">
        <v>3990.0</v>
      </c>
      <c r="E1001" s="9">
        <v>0.7</v>
      </c>
      <c r="F1001" s="10">
        <v>4.2</v>
      </c>
      <c r="G1001" s="11">
        <v>2908.0</v>
      </c>
      <c r="I1001" s="7"/>
      <c r="J1001" s="7"/>
      <c r="K1001" s="13" t="str">
        <f>IF(discount&gt;50%, product, "")</f>
        <v>boAt Stone 250 Portable Wireless Speaker with 5W RMS Immersive Audio, RGB LEDs, Up to 8HRS Playtime, IPX7 Water Resistance, Multi-Compatibility Modes(Black)</v>
      </c>
      <c r="L1001" s="7"/>
      <c r="M1001" s="7"/>
      <c r="N1001" s="7"/>
      <c r="O1001" s="14"/>
      <c r="P1001" s="14"/>
    </row>
    <row r="1002">
      <c r="A1002" s="7" t="s">
        <v>103</v>
      </c>
      <c r="B1002" s="7" t="s">
        <v>15</v>
      </c>
      <c r="C1002" s="8">
        <v>209.0</v>
      </c>
      <c r="D1002" s="8">
        <v>499.0</v>
      </c>
      <c r="E1002" s="9">
        <v>0.58</v>
      </c>
      <c r="F1002" s="10">
        <v>3.9</v>
      </c>
      <c r="G1002" s="10">
        <v>536.0</v>
      </c>
      <c r="I1002" s="7"/>
      <c r="J1002" s="7"/>
      <c r="K1002" s="13" t="str">
        <f>IF(discount&gt;50%, product, "")</f>
        <v>SWAPKART Fast Charging Cable and Data Sync USB Cable Compatible for iPhone 6/6S/7/7+/8/8+/10/11, 12, 13 Pro max iPad Air/Mini, iPod and iOS Devices (White)</v>
      </c>
      <c r="L1002" s="7"/>
      <c r="M1002" s="7"/>
      <c r="N1002" s="7"/>
      <c r="O1002" s="14"/>
      <c r="P1002" s="14"/>
    </row>
    <row r="1003">
      <c r="A1003" s="7" t="s">
        <v>1066</v>
      </c>
      <c r="B1003" s="7" t="s">
        <v>625</v>
      </c>
      <c r="C1003" s="8">
        <v>1099.0</v>
      </c>
      <c r="D1003" s="8">
        <v>1499.0</v>
      </c>
      <c r="E1003" s="9">
        <v>0.27</v>
      </c>
      <c r="F1003" s="10">
        <v>4.2</v>
      </c>
      <c r="G1003" s="11">
        <v>2375.0</v>
      </c>
      <c r="I1003" s="7"/>
      <c r="J1003" s="7"/>
      <c r="K1003" s="13" t="str">
        <f>IF(discount&gt;50%, product, "")</f>
        <v/>
      </c>
      <c r="L1003" s="7"/>
      <c r="M1003" s="7"/>
      <c r="N1003" s="7"/>
      <c r="O1003" s="14"/>
      <c r="P1003" s="14"/>
    </row>
    <row r="1004">
      <c r="A1004" s="7" t="s">
        <v>1067</v>
      </c>
      <c r="B1004" s="7" t="s">
        <v>817</v>
      </c>
      <c r="C1004" s="8">
        <v>120.0</v>
      </c>
      <c r="D1004" s="8">
        <v>120.0</v>
      </c>
      <c r="E1004" s="9">
        <v>0.0</v>
      </c>
      <c r="F1004" s="10">
        <v>4.5</v>
      </c>
      <c r="G1004" s="11">
        <v>4951.0</v>
      </c>
      <c r="I1004" s="7"/>
      <c r="J1004" s="7"/>
      <c r="K1004" s="13" t="str">
        <f>IF(discount&gt;50%, product, "")</f>
        <v/>
      </c>
      <c r="L1004" s="7"/>
      <c r="M1004" s="7"/>
      <c r="N1004" s="7"/>
      <c r="O1004" s="14"/>
      <c r="P1004" s="14"/>
    </row>
    <row r="1005">
      <c r="A1005" s="7" t="s">
        <v>1068</v>
      </c>
      <c r="B1005" s="7" t="s">
        <v>973</v>
      </c>
      <c r="C1005" s="8">
        <v>1519.0</v>
      </c>
      <c r="D1005" s="8">
        <v>3499.0</v>
      </c>
      <c r="E1005" s="9">
        <v>0.57</v>
      </c>
      <c r="F1005" s="10">
        <v>4.3</v>
      </c>
      <c r="G1005" s="10">
        <v>408.0</v>
      </c>
      <c r="I1005" s="7"/>
      <c r="J1005" s="7"/>
      <c r="K1005" s="13" t="str">
        <f>IF(discount&gt;50%, product, "")</f>
        <v>HP GK320 Wired Full Size RGB Backlight Mechanical Gaming Keyboard, 4 LED Indicators, Mechanical Switches, Double Injection Key Caps, and Windows Lock Key(4QN01AA)</v>
      </c>
      <c r="L1005" s="7"/>
      <c r="M1005" s="7"/>
      <c r="N1005" s="7"/>
      <c r="O1005" s="14"/>
      <c r="P1005" s="14"/>
    </row>
    <row r="1006">
      <c r="A1006" s="7" t="s">
        <v>1069</v>
      </c>
      <c r="B1006" s="7" t="s">
        <v>1059</v>
      </c>
      <c r="C1006" s="8">
        <v>420.0</v>
      </c>
      <c r="D1006" s="8">
        <v>420.0</v>
      </c>
      <c r="E1006" s="9">
        <v>0.0</v>
      </c>
      <c r="F1006" s="10">
        <v>4.2</v>
      </c>
      <c r="G1006" s="11">
        <v>1926.0</v>
      </c>
      <c r="I1006" s="7"/>
      <c r="J1006" s="7"/>
      <c r="K1006" s="13" t="str">
        <f>IF(discount&gt;50%, product, "")</f>
        <v/>
      </c>
      <c r="L1006" s="7"/>
      <c r="M1006" s="7"/>
      <c r="N1006" s="7"/>
      <c r="O1006" s="14"/>
      <c r="P1006" s="14"/>
    </row>
    <row r="1007">
      <c r="A1007" s="7" t="s">
        <v>1070</v>
      </c>
      <c r="B1007" s="7" t="s">
        <v>1071</v>
      </c>
      <c r="C1007" s="8">
        <v>225.0</v>
      </c>
      <c r="D1007" s="8">
        <v>225.0</v>
      </c>
      <c r="E1007" s="9">
        <v>0.0</v>
      </c>
      <c r="F1007" s="10">
        <v>4.1</v>
      </c>
      <c r="G1007" s="11">
        <v>4798.0</v>
      </c>
      <c r="I1007" s="7"/>
      <c r="J1007" s="7"/>
      <c r="K1007" s="13" t="str">
        <f>IF(discount&gt;50%, product, "")</f>
        <v/>
      </c>
      <c r="L1007" s="7"/>
      <c r="M1007" s="7"/>
      <c r="N1007" s="7"/>
      <c r="O1007" s="14"/>
      <c r="P1007" s="14"/>
    </row>
    <row r="1008">
      <c r="A1008" s="7" t="s">
        <v>1072</v>
      </c>
      <c r="B1008" s="7" t="s">
        <v>1073</v>
      </c>
      <c r="C1008" s="8">
        <v>199.0</v>
      </c>
      <c r="D1008" s="8">
        <v>799.0</v>
      </c>
      <c r="E1008" s="9">
        <v>0.75</v>
      </c>
      <c r="F1008" s="10">
        <v>4.1</v>
      </c>
      <c r="G1008" s="11">
        <v>7333.0</v>
      </c>
      <c r="I1008" s="7"/>
      <c r="J1008" s="7"/>
      <c r="K1008" s="13" t="str">
        <f>IF(discount&gt;50%, product, "")</f>
        <v>CARECASE® Optical Bay 2nd Hard Drive Caddy, 9.5 mm CD/DVD Drive Slot for SSD and HDD</v>
      </c>
      <c r="L1008" s="7"/>
      <c r="M1008" s="7"/>
      <c r="N1008" s="7"/>
      <c r="O1008" s="14"/>
      <c r="P1008" s="14"/>
    </row>
    <row r="1009">
      <c r="A1009" s="7" t="s">
        <v>604</v>
      </c>
      <c r="B1009" s="7" t="s">
        <v>441</v>
      </c>
      <c r="C1009" s="8">
        <v>1799.0</v>
      </c>
      <c r="D1009" s="8">
        <v>3999.0</v>
      </c>
      <c r="E1009" s="9">
        <v>0.55</v>
      </c>
      <c r="F1009" s="10">
        <v>4.6</v>
      </c>
      <c r="G1009" s="10">
        <v>245.0</v>
      </c>
      <c r="I1009" s="7"/>
      <c r="J1009" s="7"/>
      <c r="K1009" s="13" t="str">
        <f>IF(discount&gt;50%, product, "")</f>
        <v>WeCool S5 Long Selfie Stick, with Large Reinforced Tripod Stand up to 61 Inch / 156 Cms, Ultra Long Multi Function Bluetooth Selfie Stick with 1/4 Screw Compatible with Gopro, Camera, and Ring Light</v>
      </c>
      <c r="L1009" s="7"/>
      <c r="M1009" s="7"/>
      <c r="N1009" s="7"/>
      <c r="O1009" s="14"/>
      <c r="P1009" s="14"/>
    </row>
    <row r="1010">
      <c r="A1010" s="7" t="s">
        <v>1074</v>
      </c>
      <c r="B1010" s="7" t="s">
        <v>988</v>
      </c>
      <c r="C1010" s="8">
        <v>8349.0</v>
      </c>
      <c r="D1010" s="8">
        <v>9625.0</v>
      </c>
      <c r="E1010" s="9">
        <v>0.13</v>
      </c>
      <c r="F1010" s="10">
        <v>3.8</v>
      </c>
      <c r="G1010" s="11">
        <v>3652.0</v>
      </c>
      <c r="I1010" s="7"/>
      <c r="J1010" s="7"/>
      <c r="K1010" s="13" t="str">
        <f>IF(discount&gt;50%, product, "")</f>
        <v/>
      </c>
      <c r="L1010" s="7"/>
      <c r="M1010" s="7"/>
      <c r="N1010" s="7"/>
      <c r="O1010" s="14"/>
      <c r="P1010" s="14"/>
    </row>
    <row r="1011">
      <c r="A1011" s="7" t="s">
        <v>1075</v>
      </c>
      <c r="B1011" s="7" t="s">
        <v>875</v>
      </c>
      <c r="C1011" s="8">
        <v>3307.0</v>
      </c>
      <c r="D1011" s="8">
        <v>6100.0</v>
      </c>
      <c r="E1011" s="9">
        <v>0.46</v>
      </c>
      <c r="F1011" s="10">
        <v>4.3</v>
      </c>
      <c r="G1011" s="11">
        <v>2515.0</v>
      </c>
      <c r="I1011" s="7"/>
      <c r="J1011" s="7"/>
      <c r="K1011" s="13" t="str">
        <f>IF(discount&gt;50%, product, "")</f>
        <v/>
      </c>
      <c r="L1011" s="7"/>
      <c r="M1011" s="7"/>
      <c r="N1011" s="7"/>
      <c r="O1011" s="14"/>
      <c r="P1011" s="14"/>
    </row>
    <row r="1012">
      <c r="A1012" s="7" t="s">
        <v>109</v>
      </c>
      <c r="B1012" s="7" t="s">
        <v>15</v>
      </c>
      <c r="C1012" s="8">
        <v>325.0</v>
      </c>
      <c r="D1012" s="8">
        <v>1299.0</v>
      </c>
      <c r="E1012" s="9">
        <v>0.75</v>
      </c>
      <c r="F1012" s="10">
        <v>4.2</v>
      </c>
      <c r="G1012" s="11">
        <v>10576.0</v>
      </c>
      <c r="I1012" s="7"/>
      <c r="J1012" s="7"/>
      <c r="K1012" s="13" t="str">
        <f>IF(discount&gt;50%, product, "")</f>
        <v>Wayona Usb Type C Fast Charger Cable Fast Charging Usb C Cable/Cord Compatible For Samsung Galaxy S10E S10 S9 S8 Plus S10+,Note 10 Note 9 Note 8,S20,M31S,M40,Realme X3,Pixel 2 Xl (3 Ft Pack Of 1,Grey)</v>
      </c>
      <c r="L1012" s="7"/>
      <c r="M1012" s="7"/>
      <c r="N1012" s="7"/>
      <c r="O1012" s="14"/>
      <c r="P1012" s="14"/>
    </row>
    <row r="1013">
      <c r="A1013" s="7" t="s">
        <v>1076</v>
      </c>
      <c r="B1013" s="7" t="s">
        <v>622</v>
      </c>
      <c r="C1013" s="8">
        <v>449.0</v>
      </c>
      <c r="D1013" s="8">
        <v>1300.0</v>
      </c>
      <c r="E1013" s="9">
        <v>0.65</v>
      </c>
      <c r="F1013" s="10">
        <v>4.2</v>
      </c>
      <c r="G1013" s="11">
        <v>4959.0</v>
      </c>
      <c r="I1013" s="7"/>
      <c r="J1013" s="7"/>
      <c r="K1013" s="13" t="str">
        <f>IF(discount&gt;50%, product, "")</f>
        <v>HP v222w 64GB USB 2.0 Pen Drive (Silver)</v>
      </c>
      <c r="L1013" s="7"/>
      <c r="M1013" s="7"/>
      <c r="N1013" s="7"/>
      <c r="O1013" s="14"/>
      <c r="P1013" s="14"/>
    </row>
    <row r="1014">
      <c r="A1014" s="7" t="s">
        <v>1077</v>
      </c>
      <c r="B1014" s="7" t="s">
        <v>652</v>
      </c>
      <c r="C1014" s="8">
        <v>380.0</v>
      </c>
      <c r="D1014" s="8">
        <v>400.0</v>
      </c>
      <c r="E1014" s="9">
        <v>0.05</v>
      </c>
      <c r="F1014" s="10">
        <v>4.4</v>
      </c>
      <c r="G1014" s="11">
        <v>2111.0</v>
      </c>
      <c r="I1014" s="7"/>
      <c r="J1014" s="7"/>
      <c r="K1014" s="13" t="str">
        <f>IF(discount&gt;50%, product, "")</f>
        <v/>
      </c>
      <c r="L1014" s="7"/>
      <c r="M1014" s="7"/>
      <c r="N1014" s="7"/>
      <c r="O1014" s="14"/>
      <c r="P1014" s="14"/>
    </row>
    <row r="1015">
      <c r="A1015" s="7" t="s">
        <v>1078</v>
      </c>
      <c r="B1015" s="7" t="s">
        <v>627</v>
      </c>
      <c r="C1015" s="8">
        <v>499.0</v>
      </c>
      <c r="D1015" s="8">
        <v>1399.0</v>
      </c>
      <c r="E1015" s="9">
        <v>0.64</v>
      </c>
      <c r="F1015" s="10">
        <v>3.9</v>
      </c>
      <c r="G1015" s="11">
        <v>1462.0</v>
      </c>
      <c r="I1015" s="7"/>
      <c r="J1015" s="7"/>
      <c r="K1015" s="13" t="str">
        <f>IF(discount&gt;50%, product, "")</f>
        <v>BESTOR® LCD Writing Tablet/pad 12 inches | Electronic Writing Scribble Board for Kids | Kids Learning Toy | Portable Ruff for LCD Paperless Memo Digital Tablet Notepad E-Writer/Writing/Drawing Pad Home/School/Office (Black)</v>
      </c>
      <c r="L1015" s="7"/>
      <c r="M1015" s="7"/>
      <c r="N1015" s="7"/>
      <c r="O1015" s="14"/>
      <c r="P1015" s="14"/>
    </row>
    <row r="1016">
      <c r="A1016" s="7" t="s">
        <v>1079</v>
      </c>
      <c r="B1016" s="7" t="s">
        <v>1080</v>
      </c>
      <c r="C1016" s="8">
        <v>37247.0</v>
      </c>
      <c r="D1016" s="8">
        <v>59890.0</v>
      </c>
      <c r="E1016" s="9">
        <v>0.38</v>
      </c>
      <c r="F1016" s="10">
        <v>4.0</v>
      </c>
      <c r="G1016" s="10">
        <v>323.0</v>
      </c>
      <c r="I1016" s="7"/>
      <c r="J1016" s="7"/>
      <c r="K1016" s="13" t="str">
        <f>IF(discount&gt;50%, product, "")</f>
        <v/>
      </c>
      <c r="L1016" s="7"/>
      <c r="M1016" s="7"/>
      <c r="N1016" s="7"/>
      <c r="O1016" s="14"/>
      <c r="P1016" s="14"/>
    </row>
    <row r="1017">
      <c r="A1017" s="7" t="s">
        <v>1081</v>
      </c>
      <c r="B1017" s="7" t="s">
        <v>572</v>
      </c>
      <c r="C1017" s="8">
        <v>849.0</v>
      </c>
      <c r="D1017" s="8">
        <v>2490.0</v>
      </c>
      <c r="E1017" s="9">
        <v>0.66</v>
      </c>
      <c r="F1017" s="10">
        <v>4.2</v>
      </c>
      <c r="G1017" s="11">
        <v>91188.0</v>
      </c>
      <c r="I1017" s="7"/>
      <c r="J1017" s="7"/>
      <c r="K1017" s="13" t="str">
        <f>IF(discount&gt;50%, product, "")</f>
        <v>boAt BassHeads 900 On-Ear Wired Headphones with Mic (White)</v>
      </c>
      <c r="L1017" s="7"/>
      <c r="M1017" s="7"/>
      <c r="N1017" s="7"/>
      <c r="O1017" s="14"/>
      <c r="P1017" s="14"/>
    </row>
    <row r="1018">
      <c r="A1018" s="7" t="s">
        <v>1082</v>
      </c>
      <c r="B1018" s="7" t="s">
        <v>804</v>
      </c>
      <c r="C1018" s="8">
        <v>799.0</v>
      </c>
      <c r="D1018" s="8">
        <v>1999.0</v>
      </c>
      <c r="E1018" s="9">
        <v>0.6</v>
      </c>
      <c r="F1018" s="10">
        <v>3.7</v>
      </c>
      <c r="G1018" s="10">
        <v>418.0</v>
      </c>
      <c r="I1018" s="7"/>
      <c r="J1018" s="7"/>
      <c r="K1018" s="13" t="str">
        <f>IF(discount&gt;50%, product, "")</f>
        <v>Zebronics Astra 10 Portable Wireless BT v5.0 Speaker, 10W RMS Power, 15* Hours Backup, 2.25" Drive Size, up to 6.4" Mobile Holder Support, Carry Handle, USB, mSD, AUX Input and FM Radio with Antenna</v>
      </c>
      <c r="L1018" s="7"/>
      <c r="M1018" s="7"/>
      <c r="N1018" s="7"/>
      <c r="O1018" s="14"/>
      <c r="P1018" s="14"/>
    </row>
    <row r="1019">
      <c r="A1019" s="7" t="s">
        <v>616</v>
      </c>
      <c r="B1019" s="7" t="s">
        <v>502</v>
      </c>
      <c r="C1019" s="8">
        <v>2599.0</v>
      </c>
      <c r="D1019" s="8">
        <v>6999.0</v>
      </c>
      <c r="E1019" s="9">
        <v>0.63</v>
      </c>
      <c r="F1019" s="10">
        <v>4.5</v>
      </c>
      <c r="G1019" s="11">
        <v>1526.0</v>
      </c>
      <c r="I1019" s="7"/>
      <c r="J1019" s="7"/>
      <c r="K1019" s="13" t="str">
        <f>IF(discount&gt;50%, product, "")</f>
        <v>KINGONE Wireless Charging Pencil (2nd Generation) for iPad with Magnetic and Tilt Sensitive, Palm Rejection, Compatible with Apple iPad Pro 11 inch 1/2/3/4, iPad Pro 12.9 Inch 3/4/5/6, iPad Air 4/5, mini6</v>
      </c>
      <c r="L1019" s="7"/>
      <c r="M1019" s="7"/>
      <c r="N1019" s="7"/>
      <c r="O1019" s="14"/>
      <c r="P1019" s="14"/>
    </row>
    <row r="1020">
      <c r="A1020" s="7" t="s">
        <v>113</v>
      </c>
      <c r="B1020" s="7" t="s">
        <v>15</v>
      </c>
      <c r="C1020" s="8">
        <v>199.0</v>
      </c>
      <c r="D1020" s="8">
        <v>999.0</v>
      </c>
      <c r="E1020" s="9">
        <v>0.8</v>
      </c>
      <c r="F1020" s="10">
        <v>4.5</v>
      </c>
      <c r="G1020" s="10">
        <v>127.0</v>
      </c>
      <c r="I1020" s="7"/>
      <c r="J1020" s="7"/>
      <c r="K1020" s="13" t="str">
        <f>IF(discount&gt;50%, product, "")</f>
        <v>Lapster 65W compatible for OnePlus Dash Warp Charge Cable , type c to c cable fast charging Data Sync Cable Compatible with One Plus 10R / 9RT/ 9 pro/ 9R/ 8T/ 9/ Nord &amp; for All Type C Devices – Red, 1 Meter</v>
      </c>
      <c r="L1020" s="7"/>
      <c r="M1020" s="7"/>
      <c r="N1020" s="7"/>
      <c r="O1020" s="14"/>
      <c r="P1020" s="14"/>
    </row>
    <row r="1021">
      <c r="A1021" s="7" t="s">
        <v>115</v>
      </c>
      <c r="B1021" s="7" t="s">
        <v>25</v>
      </c>
      <c r="C1021" s="8">
        <v>269.0</v>
      </c>
      <c r="D1021" s="8">
        <v>800.0</v>
      </c>
      <c r="E1021" s="9">
        <v>0.66</v>
      </c>
      <c r="F1021" s="10">
        <v>3.6</v>
      </c>
      <c r="G1021" s="11">
        <v>10134.0</v>
      </c>
      <c r="I1021" s="7"/>
      <c r="J1021" s="7"/>
      <c r="K1021" s="13" t="str">
        <f>IF(discount&gt;50%, product, "")</f>
        <v>Gizga Essentials USB WiFi Adapter for PC, 150 Mbps Wireless Network Adapter for Desktop - Nano Size WiFi Dongle Compatible with Windows, Mac OS &amp; Linux Kernel | WPA/WPA2 Encryption Standards| Black</v>
      </c>
      <c r="L1021" s="7"/>
      <c r="M1021" s="7"/>
      <c r="N1021" s="7"/>
      <c r="O1021" s="14"/>
      <c r="P1021" s="14"/>
    </row>
    <row r="1022">
      <c r="A1022" s="7" t="s">
        <v>1083</v>
      </c>
      <c r="B1022" s="7" t="s">
        <v>759</v>
      </c>
      <c r="C1022" s="8">
        <v>298.0</v>
      </c>
      <c r="D1022" s="8">
        <v>999.0</v>
      </c>
      <c r="E1022" s="9">
        <v>0.7</v>
      </c>
      <c r="F1022" s="10">
        <v>4.3</v>
      </c>
      <c r="G1022" s="11">
        <v>1552.0</v>
      </c>
      <c r="I1022" s="7"/>
      <c r="J1022" s="7"/>
      <c r="K1022" s="13" t="str">
        <f>IF(discount&gt;50%, product, "")</f>
        <v>SWAPKART Portable Flexible Adjustable Eye Protection USB LED Desk Light Table Lamp for Reading, Working on PC, Laptop, Power Bank, Bedroom ( Multicolour )</v>
      </c>
      <c r="L1022" s="7"/>
      <c r="M1022" s="7"/>
      <c r="N1022" s="7"/>
      <c r="O1022" s="14"/>
      <c r="P1022" s="14"/>
    </row>
    <row r="1023">
      <c r="A1023" s="7" t="s">
        <v>1084</v>
      </c>
      <c r="B1023" s="7" t="s">
        <v>804</v>
      </c>
      <c r="C1023" s="8">
        <v>1499.0</v>
      </c>
      <c r="D1023" s="8">
        <v>2999.0</v>
      </c>
      <c r="E1023" s="9">
        <v>0.5</v>
      </c>
      <c r="F1023" s="10">
        <v>4.1</v>
      </c>
      <c r="G1023" s="11">
        <v>25262.0</v>
      </c>
      <c r="I1023" s="7"/>
      <c r="J1023" s="7"/>
      <c r="K1023" s="13" t="str">
        <f>IF(discount&gt;50%, product, "")</f>
        <v/>
      </c>
      <c r="L1023" s="7"/>
      <c r="M1023" s="7"/>
      <c r="N1023" s="7"/>
      <c r="O1023" s="14"/>
      <c r="P1023" s="14"/>
    </row>
    <row r="1024">
      <c r="A1024" s="7" t="s">
        <v>1085</v>
      </c>
      <c r="B1024" s="7" t="s">
        <v>1086</v>
      </c>
      <c r="C1024" s="8">
        <v>649.0</v>
      </c>
      <c r="D1024" s="8">
        <v>1245.0</v>
      </c>
      <c r="E1024" s="9">
        <v>0.48</v>
      </c>
      <c r="F1024" s="10">
        <v>3.9</v>
      </c>
      <c r="G1024" s="7" t="s">
        <v>1087</v>
      </c>
      <c r="I1024" s="7"/>
      <c r="J1024" s="7"/>
      <c r="K1024" s="13" t="str">
        <f>IF(discount&gt;50%, product, "")</f>
        <v/>
      </c>
      <c r="L1024" s="7"/>
      <c r="M1024" s="7"/>
      <c r="N1024" s="7"/>
      <c r="O1024" s="14"/>
      <c r="P1024" s="14"/>
    </row>
    <row r="1025">
      <c r="A1025" s="7" t="s">
        <v>1088</v>
      </c>
      <c r="B1025" s="7" t="s">
        <v>1089</v>
      </c>
      <c r="C1025" s="8">
        <v>1199.0</v>
      </c>
      <c r="D1025" s="8">
        <v>1695.0</v>
      </c>
      <c r="E1025" s="9">
        <v>0.29</v>
      </c>
      <c r="F1025" s="10">
        <v>3.6</v>
      </c>
      <c r="G1025" s="11">
        <v>13300.0</v>
      </c>
      <c r="I1025" s="7"/>
      <c r="J1025" s="7"/>
      <c r="K1025" s="13" t="str">
        <f>IF(discount&gt;50%, product, "")</f>
        <v/>
      </c>
      <c r="L1025" s="7"/>
      <c r="M1025" s="7"/>
      <c r="N1025" s="7"/>
      <c r="O1025" s="14"/>
      <c r="P1025" s="14"/>
    </row>
    <row r="1026">
      <c r="A1026" s="7" t="s">
        <v>1090</v>
      </c>
      <c r="B1026" s="7" t="s">
        <v>1091</v>
      </c>
      <c r="C1026" s="8">
        <v>1199.0</v>
      </c>
      <c r="D1026" s="8">
        <v>2000.0</v>
      </c>
      <c r="E1026" s="9">
        <v>0.4</v>
      </c>
      <c r="F1026" s="10">
        <v>4.0</v>
      </c>
      <c r="G1026" s="11">
        <v>18543.0</v>
      </c>
      <c r="I1026" s="7"/>
      <c r="J1026" s="7"/>
      <c r="K1026" s="13" t="str">
        <f>IF(discount&gt;50%, product, "")</f>
        <v/>
      </c>
      <c r="L1026" s="7"/>
      <c r="M1026" s="7"/>
      <c r="N1026" s="7"/>
      <c r="O1026" s="14"/>
      <c r="P1026" s="14"/>
    </row>
    <row r="1027">
      <c r="A1027" s="7" t="s">
        <v>1092</v>
      </c>
      <c r="B1027" s="7" t="s">
        <v>1093</v>
      </c>
      <c r="C1027" s="8">
        <v>455.0</v>
      </c>
      <c r="D1027" s="8">
        <v>999.0</v>
      </c>
      <c r="E1027" s="9">
        <v>0.54</v>
      </c>
      <c r="F1027" s="10">
        <v>4.1</v>
      </c>
      <c r="G1027" s="11">
        <v>3578.0</v>
      </c>
      <c r="I1027" s="7"/>
      <c r="J1027" s="7"/>
      <c r="K1027" s="13" t="str">
        <f>IF(discount&gt;50%, product, "")</f>
        <v>StyleHouse Lint Remover for Woolen Clothes, Electric Lint Remover, Best Lint Shaver for Clothes</v>
      </c>
      <c r="L1027" s="7"/>
      <c r="M1027" s="7"/>
      <c r="N1027" s="7"/>
      <c r="O1027" s="14"/>
      <c r="P1027" s="14"/>
    </row>
    <row r="1028">
      <c r="A1028" s="7" t="s">
        <v>1094</v>
      </c>
      <c r="B1028" s="7" t="s">
        <v>1095</v>
      </c>
      <c r="C1028" s="8">
        <v>199.0</v>
      </c>
      <c r="D1028" s="8">
        <v>1999.0</v>
      </c>
      <c r="E1028" s="9">
        <v>0.9</v>
      </c>
      <c r="F1028" s="10">
        <v>3.7</v>
      </c>
      <c r="G1028" s="11">
        <v>2031.0</v>
      </c>
      <c r="I1028" s="7"/>
      <c r="J1028" s="7"/>
      <c r="K1028" s="13" t="str">
        <f>IF(discount&gt;50%, product, "")</f>
        <v>beatXP Kitchen Scale Multipurpose Portable Electronic Digital Weighing Scale | Weight Machine With Back light LCD Display | White |10 kg | 2 Year Warranty |</v>
      </c>
      <c r="L1028" s="7"/>
      <c r="M1028" s="7"/>
      <c r="N1028" s="7"/>
      <c r="O1028" s="14"/>
      <c r="P1028" s="14"/>
    </row>
    <row r="1029">
      <c r="A1029" s="7" t="s">
        <v>1096</v>
      </c>
      <c r="B1029" s="7" t="s">
        <v>1095</v>
      </c>
      <c r="C1029" s="8">
        <v>293.0</v>
      </c>
      <c r="D1029" s="8">
        <v>499.0</v>
      </c>
      <c r="E1029" s="9">
        <v>0.41</v>
      </c>
      <c r="F1029" s="10">
        <v>3.9</v>
      </c>
      <c r="G1029" s="11">
        <v>44994.0</v>
      </c>
      <c r="I1029" s="7"/>
      <c r="J1029" s="7"/>
      <c r="K1029" s="13" t="str">
        <f>IF(discount&gt;50%, product, "")</f>
        <v/>
      </c>
      <c r="L1029" s="7"/>
      <c r="M1029" s="7"/>
      <c r="N1029" s="7"/>
      <c r="O1029" s="14"/>
      <c r="P1029" s="14"/>
    </row>
    <row r="1030">
      <c r="A1030" s="7" t="s">
        <v>1097</v>
      </c>
      <c r="B1030" s="7" t="s">
        <v>1098</v>
      </c>
      <c r="C1030" s="8">
        <v>199.0</v>
      </c>
      <c r="D1030" s="8">
        <v>495.0</v>
      </c>
      <c r="E1030" s="9">
        <v>0.6</v>
      </c>
      <c r="F1030" s="10">
        <v>4.1</v>
      </c>
      <c r="G1030" s="7" t="s">
        <v>1099</v>
      </c>
      <c r="I1030" s="7"/>
      <c r="J1030" s="7"/>
      <c r="K1030" s="13" t="str">
        <f>IF(discount&gt;50%, product, "")</f>
        <v>Pigeon Polypropylene Mini Handy and Compact Chopper with 3 Blades for Effortlessly Chopping Vegetables and Fruits for Your Kitchen (12420, Green, 400 ml)</v>
      </c>
      <c r="L1030" s="7"/>
      <c r="M1030" s="7"/>
      <c r="N1030" s="7"/>
      <c r="O1030" s="14"/>
      <c r="P1030" s="14"/>
    </row>
    <row r="1031">
      <c r="A1031" s="7" t="s">
        <v>1100</v>
      </c>
      <c r="B1031" s="7" t="s">
        <v>1086</v>
      </c>
      <c r="C1031" s="8">
        <v>749.0</v>
      </c>
      <c r="D1031" s="8">
        <v>1245.0</v>
      </c>
      <c r="E1031" s="9">
        <v>0.4</v>
      </c>
      <c r="F1031" s="10">
        <v>3.9</v>
      </c>
      <c r="G1031" s="11">
        <v>31783.0</v>
      </c>
      <c r="I1031" s="7"/>
      <c r="J1031" s="7"/>
      <c r="K1031" s="13" t="str">
        <f>IF(discount&gt;50%, product, "")</f>
        <v/>
      </c>
      <c r="L1031" s="7"/>
      <c r="M1031" s="7"/>
      <c r="N1031" s="7"/>
      <c r="O1031" s="14"/>
      <c r="P1031" s="14"/>
    </row>
    <row r="1032">
      <c r="A1032" s="7" t="s">
        <v>1101</v>
      </c>
      <c r="B1032" s="7" t="s">
        <v>1089</v>
      </c>
      <c r="C1032" s="8">
        <v>1399.0</v>
      </c>
      <c r="D1032" s="8">
        <v>1549.0</v>
      </c>
      <c r="E1032" s="9">
        <v>0.1</v>
      </c>
      <c r="F1032" s="10">
        <v>3.9</v>
      </c>
      <c r="G1032" s="11">
        <v>2602.0</v>
      </c>
      <c r="I1032" s="7"/>
      <c r="J1032" s="7"/>
      <c r="K1032" s="13" t="str">
        <f>IF(discount&gt;50%, product, "")</f>
        <v/>
      </c>
      <c r="L1032" s="7"/>
      <c r="M1032" s="7"/>
      <c r="N1032" s="7"/>
      <c r="O1032" s="14"/>
      <c r="P1032" s="14"/>
    </row>
    <row r="1033">
      <c r="A1033" s="7" t="s">
        <v>1102</v>
      </c>
      <c r="B1033" s="7" t="s">
        <v>1086</v>
      </c>
      <c r="C1033" s="8">
        <v>749.0</v>
      </c>
      <c r="D1033" s="8">
        <v>1445.0</v>
      </c>
      <c r="E1033" s="9">
        <v>0.48</v>
      </c>
      <c r="F1033" s="10">
        <v>3.9</v>
      </c>
      <c r="G1033" s="11">
        <v>63350.0</v>
      </c>
      <c r="I1033" s="7"/>
      <c r="J1033" s="7"/>
      <c r="K1033" s="13" t="str">
        <f>IF(discount&gt;50%, product, "")</f>
        <v/>
      </c>
      <c r="L1033" s="7"/>
      <c r="M1033" s="7"/>
      <c r="N1033" s="7"/>
      <c r="O1033" s="14"/>
      <c r="P1033" s="14"/>
    </row>
    <row r="1034">
      <c r="A1034" s="7" t="s">
        <v>1103</v>
      </c>
      <c r="B1034" s="7" t="s">
        <v>1104</v>
      </c>
      <c r="C1034" s="8">
        <v>1699.0</v>
      </c>
      <c r="D1034" s="8">
        <v>3193.0</v>
      </c>
      <c r="E1034" s="9">
        <v>0.47</v>
      </c>
      <c r="F1034" s="10">
        <v>3.8</v>
      </c>
      <c r="G1034" s="11">
        <v>54032.0</v>
      </c>
      <c r="I1034" s="7"/>
      <c r="J1034" s="7"/>
      <c r="K1034" s="13" t="str">
        <f>IF(discount&gt;50%, product, "")</f>
        <v/>
      </c>
      <c r="L1034" s="7"/>
      <c r="M1034" s="7"/>
      <c r="N1034" s="7"/>
      <c r="O1034" s="14"/>
      <c r="P1034" s="14"/>
    </row>
    <row r="1035">
      <c r="A1035" s="7" t="s">
        <v>1105</v>
      </c>
      <c r="B1035" s="7" t="s">
        <v>1086</v>
      </c>
      <c r="C1035" s="8">
        <v>1043.0</v>
      </c>
      <c r="D1035" s="8">
        <v>1345.0</v>
      </c>
      <c r="E1035" s="9">
        <v>0.22</v>
      </c>
      <c r="F1035" s="10">
        <v>3.8</v>
      </c>
      <c r="G1035" s="11">
        <v>15592.0</v>
      </c>
      <c r="I1035" s="7"/>
      <c r="J1035" s="7"/>
      <c r="K1035" s="13" t="str">
        <f>IF(discount&gt;50%, product, "")</f>
        <v/>
      </c>
      <c r="L1035" s="7"/>
      <c r="M1035" s="7"/>
      <c r="N1035" s="7"/>
      <c r="O1035" s="14"/>
      <c r="P1035" s="14"/>
    </row>
    <row r="1036">
      <c r="A1036" s="7" t="s">
        <v>1106</v>
      </c>
      <c r="B1036" s="7" t="s">
        <v>1093</v>
      </c>
      <c r="C1036" s="8">
        <v>499.0</v>
      </c>
      <c r="D1036" s="8">
        <v>999.0</v>
      </c>
      <c r="E1036" s="9">
        <v>0.5</v>
      </c>
      <c r="F1036" s="10">
        <v>4.1</v>
      </c>
      <c r="G1036" s="11">
        <v>4859.0</v>
      </c>
      <c r="I1036" s="7"/>
      <c r="J1036" s="7"/>
      <c r="K1036" s="13" t="str">
        <f>IF(discount&gt;50%, product, "")</f>
        <v/>
      </c>
      <c r="L1036" s="7"/>
      <c r="M1036" s="7"/>
      <c r="N1036" s="7"/>
      <c r="O1036" s="14"/>
      <c r="P1036" s="14"/>
    </row>
    <row r="1037">
      <c r="A1037" s="7" t="s">
        <v>1107</v>
      </c>
      <c r="B1037" s="7" t="s">
        <v>1091</v>
      </c>
      <c r="C1037" s="8">
        <v>1464.0</v>
      </c>
      <c r="D1037" s="8">
        <v>1650.0</v>
      </c>
      <c r="E1037" s="9">
        <v>0.11</v>
      </c>
      <c r="F1037" s="10">
        <v>4.1</v>
      </c>
      <c r="G1037" s="11">
        <v>14120.0</v>
      </c>
      <c r="I1037" s="7"/>
      <c r="J1037" s="7"/>
      <c r="K1037" s="13" t="str">
        <f>IF(discount&gt;50%, product, "")</f>
        <v/>
      </c>
      <c r="L1037" s="7"/>
      <c r="M1037" s="7"/>
      <c r="N1037" s="7"/>
      <c r="O1037" s="14"/>
      <c r="P1037" s="14"/>
    </row>
    <row r="1038">
      <c r="A1038" s="7" t="s">
        <v>1108</v>
      </c>
      <c r="B1038" s="7" t="s">
        <v>1109</v>
      </c>
      <c r="C1038" s="8">
        <v>249.0</v>
      </c>
      <c r="D1038" s="8">
        <v>499.0</v>
      </c>
      <c r="E1038" s="9">
        <v>0.5</v>
      </c>
      <c r="F1038" s="10">
        <v>3.3</v>
      </c>
      <c r="G1038" s="11">
        <v>8427.0</v>
      </c>
      <c r="I1038" s="7"/>
      <c r="J1038" s="7"/>
      <c r="K1038" s="13" t="str">
        <f>IF(discount&gt;50%, product, "")</f>
        <v/>
      </c>
      <c r="L1038" s="7"/>
      <c r="M1038" s="7"/>
      <c r="N1038" s="7"/>
      <c r="O1038" s="14"/>
      <c r="P1038" s="14"/>
    </row>
    <row r="1039">
      <c r="A1039" s="7" t="s">
        <v>1110</v>
      </c>
      <c r="B1039" s="7" t="s">
        <v>1111</v>
      </c>
      <c r="C1039" s="8">
        <v>625.0</v>
      </c>
      <c r="D1039" s="8">
        <v>1400.0</v>
      </c>
      <c r="E1039" s="9">
        <v>0.55</v>
      </c>
      <c r="F1039" s="10">
        <v>4.2</v>
      </c>
      <c r="G1039" s="11">
        <v>23316.0</v>
      </c>
      <c r="I1039" s="7"/>
      <c r="J1039" s="7"/>
      <c r="K1039" s="13" t="str">
        <f>IF(discount&gt;50%, product, "")</f>
        <v>Bajaj DX-6 1000W Dry Iron with Advance Soleplate and Anti-bacterial German Coating Technology, White</v>
      </c>
      <c r="L1039" s="7"/>
      <c r="M1039" s="7"/>
      <c r="N1039" s="7"/>
      <c r="O1039" s="14"/>
      <c r="P1039" s="14"/>
    </row>
    <row r="1040">
      <c r="A1040" s="7" t="s">
        <v>1112</v>
      </c>
      <c r="B1040" s="7" t="s">
        <v>1113</v>
      </c>
      <c r="C1040" s="8">
        <v>1290.0</v>
      </c>
      <c r="D1040" s="8">
        <v>2500.0</v>
      </c>
      <c r="E1040" s="9">
        <v>0.48</v>
      </c>
      <c r="F1040" s="10">
        <v>4.0</v>
      </c>
      <c r="G1040" s="11">
        <v>6530.0</v>
      </c>
      <c r="I1040" s="7"/>
      <c r="J1040" s="7"/>
      <c r="K1040" s="13" t="str">
        <f>IF(discount&gt;50%, product, "")</f>
        <v/>
      </c>
      <c r="L1040" s="7"/>
      <c r="M1040" s="7"/>
      <c r="N1040" s="7"/>
      <c r="O1040" s="14"/>
      <c r="P1040" s="14"/>
    </row>
    <row r="1041">
      <c r="A1041" s="7" t="s">
        <v>1114</v>
      </c>
      <c r="B1041" s="7" t="s">
        <v>1115</v>
      </c>
      <c r="C1041" s="8">
        <v>3600.0</v>
      </c>
      <c r="D1041" s="8">
        <v>6190.0</v>
      </c>
      <c r="E1041" s="9">
        <v>0.42</v>
      </c>
      <c r="F1041" s="10">
        <v>4.3</v>
      </c>
      <c r="G1041" s="11">
        <v>11924.0</v>
      </c>
      <c r="I1041" s="7"/>
      <c r="J1041" s="7"/>
      <c r="K1041" s="13" t="str">
        <f>IF(discount&gt;50%, product, "")</f>
        <v/>
      </c>
      <c r="L1041" s="7"/>
      <c r="M1041" s="7"/>
      <c r="N1041" s="7"/>
      <c r="O1041" s="14"/>
      <c r="P1041" s="14"/>
    </row>
    <row r="1042">
      <c r="A1042" s="7" t="s">
        <v>1116</v>
      </c>
      <c r="B1042" s="7" t="s">
        <v>1117</v>
      </c>
      <c r="C1042" s="8">
        <v>6549.0</v>
      </c>
      <c r="D1042" s="8">
        <v>13999.0</v>
      </c>
      <c r="E1042" s="9">
        <v>0.53</v>
      </c>
      <c r="F1042" s="10">
        <v>4.0</v>
      </c>
      <c r="G1042" s="11">
        <v>2961.0</v>
      </c>
      <c r="I1042" s="7"/>
      <c r="J1042" s="7"/>
      <c r="K1042" s="13" t="str">
        <f>IF(discount&gt;50%, product, "")</f>
        <v>Morphy Richards OFR Room Heater, 09 Fin 2000 Watts Oil Filled Room Heater , ISI Approved (OFR 9 Grey)</v>
      </c>
      <c r="L1042" s="7"/>
      <c r="M1042" s="7"/>
      <c r="N1042" s="7"/>
      <c r="O1042" s="14"/>
      <c r="P1042" s="14"/>
    </row>
    <row r="1043">
      <c r="A1043" s="7" t="s">
        <v>1118</v>
      </c>
      <c r="B1043" s="7" t="s">
        <v>1086</v>
      </c>
      <c r="C1043" s="8">
        <v>1625.0</v>
      </c>
      <c r="D1043" s="8">
        <v>2995.0</v>
      </c>
      <c r="E1043" s="9">
        <v>0.46</v>
      </c>
      <c r="F1043" s="10">
        <v>4.5</v>
      </c>
      <c r="G1043" s="11">
        <v>23484.0</v>
      </c>
      <c r="I1043" s="7"/>
      <c r="J1043" s="7"/>
      <c r="K1043" s="13" t="str">
        <f>IF(discount&gt;50%, product, "")</f>
        <v/>
      </c>
      <c r="L1043" s="7"/>
      <c r="M1043" s="7"/>
      <c r="N1043" s="7"/>
      <c r="O1043" s="14"/>
      <c r="P1043" s="14"/>
    </row>
    <row r="1044">
      <c r="A1044" s="7" t="s">
        <v>1119</v>
      </c>
      <c r="B1044" s="7" t="s">
        <v>1115</v>
      </c>
      <c r="C1044" s="8">
        <v>2599.0</v>
      </c>
      <c r="D1044" s="8">
        <v>5890.0</v>
      </c>
      <c r="E1044" s="9">
        <v>0.56</v>
      </c>
      <c r="F1044" s="10">
        <v>4.1</v>
      </c>
      <c r="G1044" s="11">
        <v>21783.0</v>
      </c>
      <c r="I1044" s="7"/>
      <c r="J1044" s="7"/>
      <c r="K1044" s="13" t="str">
        <f>IF(discount&gt;50%, product, "")</f>
        <v>Bajaj Splendora 3 Litre 3KW IWH Instant Water Heater (Geyser), White</v>
      </c>
      <c r="L1044" s="7"/>
      <c r="M1044" s="7"/>
      <c r="N1044" s="7"/>
      <c r="O1044" s="14"/>
      <c r="P1044" s="14"/>
    </row>
    <row r="1045">
      <c r="A1045" s="7" t="s">
        <v>1120</v>
      </c>
      <c r="B1045" s="7" t="s">
        <v>1121</v>
      </c>
      <c r="C1045" s="8">
        <v>1199.0</v>
      </c>
      <c r="D1045" s="8">
        <v>2000.0</v>
      </c>
      <c r="E1045" s="9">
        <v>0.4</v>
      </c>
      <c r="F1045" s="10">
        <v>4.0</v>
      </c>
      <c r="G1045" s="11">
        <v>14030.0</v>
      </c>
      <c r="I1045" s="7"/>
      <c r="J1045" s="7"/>
      <c r="K1045" s="13" t="str">
        <f>IF(discount&gt;50%, product, "")</f>
        <v/>
      </c>
      <c r="L1045" s="7"/>
      <c r="M1045" s="7"/>
      <c r="N1045" s="7"/>
      <c r="O1045" s="14"/>
      <c r="P1045" s="14"/>
    </row>
    <row r="1046">
      <c r="A1046" s="7" t="s">
        <v>1122</v>
      </c>
      <c r="B1046" s="7" t="s">
        <v>1123</v>
      </c>
      <c r="C1046" s="8">
        <v>5499.0</v>
      </c>
      <c r="D1046" s="8">
        <v>13150.0</v>
      </c>
      <c r="E1046" s="9">
        <v>0.58</v>
      </c>
      <c r="F1046" s="10">
        <v>4.2</v>
      </c>
      <c r="G1046" s="11">
        <v>6398.0</v>
      </c>
      <c r="I1046" s="7"/>
      <c r="J1046" s="7"/>
      <c r="K1046" s="13" t="str">
        <f>IF(discount&gt;50%, product, "")</f>
        <v>Bajaj New Shakti Neo 15L Vertical Storage Water Heater (Geyser 15 litres) 4 Star BEE Rated Heater For Water Heating with Titanium Armour, Swirl Flow Technology, Glasslined Tank (White), 1 Yr Warranty</v>
      </c>
      <c r="L1046" s="7"/>
      <c r="M1046" s="7"/>
      <c r="N1046" s="7"/>
      <c r="O1046" s="14"/>
      <c r="P1046" s="14"/>
    </row>
    <row r="1047">
      <c r="A1047" s="7" t="s">
        <v>1124</v>
      </c>
      <c r="B1047" s="7" t="s">
        <v>1113</v>
      </c>
      <c r="C1047" s="8">
        <v>1299.0</v>
      </c>
      <c r="D1047" s="8">
        <v>3500.0</v>
      </c>
      <c r="E1047" s="9">
        <v>0.63</v>
      </c>
      <c r="F1047" s="10">
        <v>3.8</v>
      </c>
      <c r="G1047" s="11">
        <v>44050.0</v>
      </c>
      <c r="I1047" s="7"/>
      <c r="J1047" s="7"/>
      <c r="K1047" s="13" t="str">
        <f>IF(discount&gt;50%, product, "")</f>
        <v>Lifelong LLMG23 Power Pro 500-Watt Mixer Grinder with 3 Jars (Liquidizing, Wet Grinding and Chutney Jar), Stainless Steel blades, 1 Year Warranty (Black)</v>
      </c>
      <c r="L1047" s="7"/>
      <c r="M1047" s="7"/>
      <c r="N1047" s="7"/>
      <c r="O1047" s="14"/>
      <c r="P1047" s="14"/>
    </row>
    <row r="1048">
      <c r="A1048" s="7" t="s">
        <v>1125</v>
      </c>
      <c r="B1048" s="7" t="s">
        <v>1111</v>
      </c>
      <c r="C1048" s="8">
        <v>599.0</v>
      </c>
      <c r="D1048" s="8">
        <v>785.0</v>
      </c>
      <c r="E1048" s="9">
        <v>0.24</v>
      </c>
      <c r="F1048" s="10">
        <v>4.2</v>
      </c>
      <c r="G1048" s="11">
        <v>24247.0</v>
      </c>
      <c r="I1048" s="7"/>
      <c r="J1048" s="7"/>
      <c r="K1048" s="13" t="str">
        <f>IF(discount&gt;50%, product, "")</f>
        <v/>
      </c>
      <c r="L1048" s="7"/>
      <c r="M1048" s="7"/>
      <c r="N1048" s="7"/>
      <c r="O1048" s="14"/>
      <c r="P1048" s="14"/>
    </row>
    <row r="1049">
      <c r="A1049" s="7" t="s">
        <v>1126</v>
      </c>
      <c r="B1049" s="7" t="s">
        <v>1113</v>
      </c>
      <c r="C1049" s="8">
        <v>1999.0</v>
      </c>
      <c r="D1049" s="8">
        <v>3210.0</v>
      </c>
      <c r="E1049" s="9">
        <v>0.38</v>
      </c>
      <c r="F1049" s="10">
        <v>4.2</v>
      </c>
      <c r="G1049" s="11">
        <v>41349.0</v>
      </c>
      <c r="I1049" s="7"/>
      <c r="J1049" s="7"/>
      <c r="K1049" s="13" t="str">
        <f>IF(discount&gt;50%, product, "")</f>
        <v/>
      </c>
      <c r="L1049" s="7"/>
      <c r="M1049" s="7"/>
      <c r="N1049" s="7"/>
      <c r="O1049" s="14"/>
      <c r="P1049" s="14"/>
    </row>
    <row r="1050">
      <c r="A1050" s="7" t="s">
        <v>1127</v>
      </c>
      <c r="B1050" s="7" t="s">
        <v>1121</v>
      </c>
      <c r="C1050" s="8">
        <v>549.0</v>
      </c>
      <c r="D1050" s="8">
        <v>1000.0</v>
      </c>
      <c r="E1050" s="9">
        <v>0.45</v>
      </c>
      <c r="F1050" s="10">
        <v>3.6</v>
      </c>
      <c r="G1050" s="11">
        <v>1074.0</v>
      </c>
      <c r="I1050" s="7"/>
      <c r="J1050" s="7"/>
      <c r="K1050" s="13" t="str">
        <f>IF(discount&gt;50%, product, "")</f>
        <v/>
      </c>
      <c r="L1050" s="7"/>
      <c r="M1050" s="7"/>
      <c r="N1050" s="7"/>
      <c r="O1050" s="14"/>
      <c r="P1050" s="14"/>
    </row>
    <row r="1051">
      <c r="A1051" s="7" t="s">
        <v>1128</v>
      </c>
      <c r="B1051" s="7" t="s">
        <v>1089</v>
      </c>
      <c r="C1051" s="8">
        <v>999.0</v>
      </c>
      <c r="D1051" s="8">
        <v>2000.0</v>
      </c>
      <c r="E1051" s="9">
        <v>0.5</v>
      </c>
      <c r="F1051" s="10">
        <v>3.8</v>
      </c>
      <c r="G1051" s="11">
        <v>1163.0</v>
      </c>
      <c r="I1051" s="7"/>
      <c r="J1051" s="7"/>
      <c r="K1051" s="13" t="str">
        <f>IF(discount&gt;50%, product, "")</f>
        <v/>
      </c>
      <c r="L1051" s="7"/>
      <c r="M1051" s="7"/>
      <c r="N1051" s="7"/>
      <c r="O1051" s="14"/>
      <c r="P1051" s="14"/>
    </row>
    <row r="1052">
      <c r="A1052" s="7" t="s">
        <v>1129</v>
      </c>
      <c r="B1052" s="7" t="s">
        <v>1093</v>
      </c>
      <c r="C1052" s="8">
        <v>398.0</v>
      </c>
      <c r="D1052" s="8">
        <v>1999.0</v>
      </c>
      <c r="E1052" s="9">
        <v>0.8</v>
      </c>
      <c r="F1052" s="10">
        <v>4.1</v>
      </c>
      <c r="G1052" s="10">
        <v>257.0</v>
      </c>
      <c r="I1052" s="7"/>
      <c r="J1052" s="7"/>
      <c r="K1052" s="13" t="str">
        <f>IF(discount&gt;50%, product, "")</f>
        <v>R B Nova Lint/Fabric Shaver for Cloths, Lint Remover for Woolen Sweaters, Blankets, Jackets/Burr Remover Pill Remover from Carpets, Pack of 1</v>
      </c>
      <c r="L1052" s="7"/>
      <c r="M1052" s="7"/>
      <c r="N1052" s="7"/>
      <c r="O1052" s="14"/>
      <c r="P1052" s="14"/>
    </row>
    <row r="1053">
      <c r="A1053" s="7" t="s">
        <v>1130</v>
      </c>
      <c r="B1053" s="7" t="s">
        <v>1131</v>
      </c>
      <c r="C1053" s="8">
        <v>539.0</v>
      </c>
      <c r="D1053" s="8">
        <v>720.0</v>
      </c>
      <c r="E1053" s="9">
        <v>0.25</v>
      </c>
      <c r="F1053" s="10">
        <v>4.1</v>
      </c>
      <c r="G1053" s="11">
        <v>36017.0</v>
      </c>
      <c r="I1053" s="7"/>
      <c r="J1053" s="7"/>
      <c r="K1053" s="13" t="str">
        <f>IF(discount&gt;50%, product, "")</f>
        <v/>
      </c>
      <c r="L1053" s="7"/>
      <c r="M1053" s="7"/>
      <c r="N1053" s="7"/>
      <c r="O1053" s="14"/>
      <c r="P1053" s="14"/>
    </row>
    <row r="1054">
      <c r="A1054" s="7" t="s">
        <v>1132</v>
      </c>
      <c r="B1054" s="7" t="s">
        <v>1086</v>
      </c>
      <c r="C1054" s="8">
        <v>699.0</v>
      </c>
      <c r="D1054" s="8">
        <v>1595.0</v>
      </c>
      <c r="E1054" s="9">
        <v>0.56</v>
      </c>
      <c r="F1054" s="10">
        <v>4.1</v>
      </c>
      <c r="G1054" s="11">
        <v>8090.0</v>
      </c>
      <c r="I1054" s="7"/>
      <c r="J1054" s="7"/>
      <c r="K1054" s="13" t="str">
        <f>IF(discount&gt;50%, product, "")</f>
        <v>INALSA Electric Kettle 1.5 Litre with Stainless Steel Body - Absa|Auto Shut Off &amp; Boil Dry Protection Safety Features| Cordless Base &amp; Cord Winder|Hot Water Kettle |Water Heater Jug</v>
      </c>
      <c r="L1054" s="7"/>
      <c r="M1054" s="7"/>
      <c r="N1054" s="7"/>
      <c r="O1054" s="14"/>
      <c r="P1054" s="14"/>
    </row>
    <row r="1055">
      <c r="A1055" s="7" t="s">
        <v>1133</v>
      </c>
      <c r="B1055" s="7" t="s">
        <v>1104</v>
      </c>
      <c r="C1055" s="8">
        <v>2148.0</v>
      </c>
      <c r="D1055" s="8">
        <v>3645.0</v>
      </c>
      <c r="E1055" s="9">
        <v>0.41</v>
      </c>
      <c r="F1055" s="10">
        <v>4.1</v>
      </c>
      <c r="G1055" s="11">
        <v>31388.0</v>
      </c>
      <c r="I1055" s="7"/>
      <c r="J1055" s="7"/>
      <c r="K1055" s="13" t="str">
        <f>IF(discount&gt;50%, product, "")</f>
        <v/>
      </c>
      <c r="L1055" s="7"/>
      <c r="M1055" s="7"/>
      <c r="N1055" s="7"/>
      <c r="O1055" s="14"/>
      <c r="P1055" s="14"/>
    </row>
    <row r="1056">
      <c r="A1056" s="7" t="s">
        <v>1134</v>
      </c>
      <c r="B1056" s="7" t="s">
        <v>1135</v>
      </c>
      <c r="C1056" s="8">
        <v>3599.0</v>
      </c>
      <c r="D1056" s="8">
        <v>7950.0</v>
      </c>
      <c r="E1056" s="9">
        <v>0.55</v>
      </c>
      <c r="F1056" s="10">
        <v>4.2</v>
      </c>
      <c r="G1056" s="10">
        <v>136.0</v>
      </c>
      <c r="I1056" s="7"/>
      <c r="J1056" s="7"/>
      <c r="K1056" s="13" t="str">
        <f>IF(discount&gt;50%, product, "")</f>
        <v>Pigeon Healthifry Digital Air Fryer, 360° High Speed Air Circulation Technology 1200 W with Non-Stick 4.2 L Basket - Green</v>
      </c>
      <c r="L1056" s="7"/>
      <c r="M1056" s="7"/>
      <c r="N1056" s="7"/>
      <c r="O1056" s="14"/>
      <c r="P1056" s="14"/>
    </row>
    <row r="1057">
      <c r="A1057" s="7" t="s">
        <v>1136</v>
      </c>
      <c r="B1057" s="7" t="s">
        <v>1137</v>
      </c>
      <c r="C1057" s="8">
        <v>351.0</v>
      </c>
      <c r="D1057" s="8">
        <v>999.0</v>
      </c>
      <c r="E1057" s="9">
        <v>0.65</v>
      </c>
      <c r="F1057" s="10">
        <v>4.0</v>
      </c>
      <c r="G1057" s="11">
        <v>5380.0</v>
      </c>
      <c r="I1057" s="7"/>
      <c r="J1057" s="7"/>
      <c r="K1057" s="13" t="str">
        <f>IF(discount&gt;50%, product, "")</f>
        <v>PrettyKrafts Laundry Basket for clothes with Lid &amp; Handles, Toys Organiser, 75 Ltr Black &amp; Grey</v>
      </c>
      <c r="L1057" s="7"/>
      <c r="M1057" s="7"/>
      <c r="N1057" s="7"/>
      <c r="O1057" s="14"/>
      <c r="P1057" s="14"/>
    </row>
    <row r="1058">
      <c r="A1058" s="7" t="s">
        <v>1138</v>
      </c>
      <c r="B1058" s="7" t="s">
        <v>1139</v>
      </c>
      <c r="C1058" s="8">
        <v>1614.0</v>
      </c>
      <c r="D1058" s="8">
        <v>1745.0</v>
      </c>
      <c r="E1058" s="9">
        <v>0.08</v>
      </c>
      <c r="F1058" s="10">
        <v>4.3</v>
      </c>
      <c r="G1058" s="11">
        <v>37974.0</v>
      </c>
      <c r="I1058" s="7"/>
      <c r="J1058" s="7"/>
      <c r="K1058" s="13" t="str">
        <f>IF(discount&gt;50%, product, "")</f>
        <v/>
      </c>
      <c r="L1058" s="7"/>
      <c r="M1058" s="7"/>
      <c r="N1058" s="7"/>
      <c r="O1058" s="14"/>
      <c r="P1058" s="14"/>
    </row>
    <row r="1059">
      <c r="A1059" s="7" t="s">
        <v>1140</v>
      </c>
      <c r="B1059" s="7" t="s">
        <v>1131</v>
      </c>
      <c r="C1059" s="8">
        <v>719.0</v>
      </c>
      <c r="D1059" s="8">
        <v>1295.0</v>
      </c>
      <c r="E1059" s="9">
        <v>0.44</v>
      </c>
      <c r="F1059" s="10">
        <v>4.2</v>
      </c>
      <c r="G1059" s="11">
        <v>17218.0</v>
      </c>
      <c r="I1059" s="7"/>
      <c r="J1059" s="7"/>
      <c r="K1059" s="13" t="str">
        <f>IF(discount&gt;50%, product, "")</f>
        <v/>
      </c>
      <c r="L1059" s="7"/>
      <c r="M1059" s="7"/>
      <c r="N1059" s="7"/>
      <c r="O1059" s="14"/>
      <c r="P1059" s="14"/>
    </row>
    <row r="1060">
      <c r="A1060" s="7" t="s">
        <v>1141</v>
      </c>
      <c r="B1060" s="7" t="s">
        <v>1093</v>
      </c>
      <c r="C1060" s="8">
        <v>678.0</v>
      </c>
      <c r="D1060" s="8">
        <v>1499.0</v>
      </c>
      <c r="E1060" s="9">
        <v>0.55</v>
      </c>
      <c r="F1060" s="10">
        <v>4.2</v>
      </c>
      <c r="G1060" s="10">
        <v>900.0</v>
      </c>
      <c r="I1060" s="7"/>
      <c r="J1060" s="7"/>
      <c r="K1060" s="13" t="str">
        <f>IF(discount&gt;50%, product, "")</f>
        <v>AGARO LR2007 Lint Remover, Rechargeable, for Woolen Sweaters, Blankets, Jackets, Burr Remover, Pill Remover From Carpets, Curtains</v>
      </c>
      <c r="L1060" s="7"/>
      <c r="M1060" s="7"/>
      <c r="N1060" s="7"/>
      <c r="O1060" s="14"/>
      <c r="P1060" s="14"/>
    </row>
    <row r="1061">
      <c r="A1061" s="7" t="s">
        <v>1142</v>
      </c>
      <c r="B1061" s="7" t="s">
        <v>1121</v>
      </c>
      <c r="C1061" s="8">
        <v>809.0</v>
      </c>
      <c r="D1061" s="8">
        <v>1545.0</v>
      </c>
      <c r="E1061" s="9">
        <v>0.48</v>
      </c>
      <c r="F1061" s="10">
        <v>3.7</v>
      </c>
      <c r="G1061" s="10">
        <v>976.0</v>
      </c>
      <c r="I1061" s="7"/>
      <c r="J1061" s="7"/>
      <c r="K1061" s="13" t="str">
        <f>IF(discount&gt;50%, product, "")</f>
        <v/>
      </c>
      <c r="L1061" s="7"/>
      <c r="M1061" s="7"/>
      <c r="N1061" s="7"/>
      <c r="O1061" s="14"/>
      <c r="P1061" s="14"/>
    </row>
    <row r="1062">
      <c r="A1062" s="7" t="s">
        <v>1143</v>
      </c>
      <c r="B1062" s="7" t="s">
        <v>1144</v>
      </c>
      <c r="C1062" s="8">
        <v>1969.0</v>
      </c>
      <c r="D1062" s="8">
        <v>5000.0</v>
      </c>
      <c r="E1062" s="9">
        <v>0.61</v>
      </c>
      <c r="F1062" s="10">
        <v>4.1</v>
      </c>
      <c r="G1062" s="11">
        <v>4927.0</v>
      </c>
      <c r="I1062" s="7"/>
      <c r="J1062" s="7"/>
      <c r="K1062" s="13" t="str">
        <f>IF(discount&gt;50%, product, "")</f>
        <v>NutriPro Juicer Mixer Grinder - Smoothie Maker - 500 Watts (3 Jars 2 Blades)</v>
      </c>
      <c r="L1062" s="7"/>
      <c r="M1062" s="7"/>
      <c r="N1062" s="7"/>
      <c r="O1062" s="14"/>
      <c r="P1062" s="14"/>
    </row>
    <row r="1063">
      <c r="A1063" s="7" t="s">
        <v>1145</v>
      </c>
      <c r="B1063" s="7" t="s">
        <v>1093</v>
      </c>
      <c r="C1063" s="8">
        <v>1490.0</v>
      </c>
      <c r="D1063" s="8">
        <v>1695.0</v>
      </c>
      <c r="E1063" s="9">
        <v>0.12</v>
      </c>
      <c r="F1063" s="10">
        <v>4.4</v>
      </c>
      <c r="G1063" s="11">
        <v>3543.0</v>
      </c>
      <c r="I1063" s="7"/>
      <c r="J1063" s="7"/>
      <c r="K1063" s="13" t="str">
        <f>IF(discount&gt;50%, product, "")</f>
        <v/>
      </c>
      <c r="L1063" s="7"/>
      <c r="M1063" s="7"/>
      <c r="N1063" s="7"/>
      <c r="O1063" s="14"/>
      <c r="P1063" s="14"/>
    </row>
    <row r="1064">
      <c r="A1064" s="7" t="s">
        <v>1146</v>
      </c>
      <c r="B1064" s="7" t="s">
        <v>1089</v>
      </c>
      <c r="C1064" s="8">
        <v>2499.0</v>
      </c>
      <c r="D1064" s="8">
        <v>3945.0</v>
      </c>
      <c r="E1064" s="9">
        <v>0.37</v>
      </c>
      <c r="F1064" s="10">
        <v>3.8</v>
      </c>
      <c r="G1064" s="11">
        <v>2732.0</v>
      </c>
      <c r="I1064" s="7"/>
      <c r="J1064" s="7"/>
      <c r="K1064" s="13" t="str">
        <f>IF(discount&gt;50%, product, "")</f>
        <v/>
      </c>
      <c r="L1064" s="7"/>
      <c r="M1064" s="7"/>
      <c r="N1064" s="7"/>
      <c r="O1064" s="14"/>
      <c r="P1064" s="14"/>
    </row>
    <row r="1065">
      <c r="A1065" s="7" t="s">
        <v>1147</v>
      </c>
      <c r="B1065" s="7" t="s">
        <v>1148</v>
      </c>
      <c r="C1065" s="8">
        <v>1665.0</v>
      </c>
      <c r="D1065" s="8">
        <v>2099.0</v>
      </c>
      <c r="E1065" s="9">
        <v>0.21</v>
      </c>
      <c r="F1065" s="10">
        <v>4.0</v>
      </c>
      <c r="G1065" s="11">
        <v>14368.0</v>
      </c>
      <c r="I1065" s="7"/>
      <c r="J1065" s="7"/>
      <c r="K1065" s="13" t="str">
        <f>IF(discount&gt;50%, product, "")</f>
        <v/>
      </c>
      <c r="L1065" s="7"/>
      <c r="M1065" s="7"/>
      <c r="N1065" s="7"/>
      <c r="O1065" s="14"/>
      <c r="P1065" s="14"/>
    </row>
    <row r="1066">
      <c r="A1066" s="7" t="s">
        <v>1149</v>
      </c>
      <c r="B1066" s="7" t="s">
        <v>1104</v>
      </c>
      <c r="C1066" s="8">
        <v>3229.0</v>
      </c>
      <c r="D1066" s="8">
        <v>5295.0</v>
      </c>
      <c r="E1066" s="9">
        <v>0.39</v>
      </c>
      <c r="F1066" s="10">
        <v>4.2</v>
      </c>
      <c r="G1066" s="11">
        <v>39724.0</v>
      </c>
      <c r="I1066" s="7"/>
      <c r="J1066" s="7"/>
      <c r="K1066" s="13" t="str">
        <f>IF(discount&gt;50%, product, "")</f>
        <v/>
      </c>
      <c r="L1066" s="7"/>
      <c r="M1066" s="7"/>
      <c r="N1066" s="7"/>
      <c r="O1066" s="14"/>
      <c r="P1066" s="14"/>
    </row>
    <row r="1067">
      <c r="A1067" s="7" t="s">
        <v>1150</v>
      </c>
      <c r="B1067" s="7" t="s">
        <v>1104</v>
      </c>
      <c r="C1067" s="8">
        <v>1799.0</v>
      </c>
      <c r="D1067" s="8">
        <v>3595.0</v>
      </c>
      <c r="E1067" s="9">
        <v>0.5</v>
      </c>
      <c r="F1067" s="10">
        <v>3.8</v>
      </c>
      <c r="G1067" s="11">
        <v>9791.0</v>
      </c>
      <c r="I1067" s="7"/>
      <c r="J1067" s="7"/>
      <c r="K1067" s="13" t="str">
        <f>IF(discount&gt;50%, product, "")</f>
        <v/>
      </c>
      <c r="L1067" s="7"/>
      <c r="M1067" s="7"/>
      <c r="N1067" s="7"/>
      <c r="O1067" s="14"/>
      <c r="P1067" s="14"/>
    </row>
    <row r="1068">
      <c r="A1068" s="7" t="s">
        <v>1151</v>
      </c>
      <c r="B1068" s="7" t="s">
        <v>1086</v>
      </c>
      <c r="C1068" s="8">
        <v>1260.0</v>
      </c>
      <c r="D1068" s="8">
        <v>1699.0</v>
      </c>
      <c r="E1068" s="9">
        <v>0.26</v>
      </c>
      <c r="F1068" s="10">
        <v>4.2</v>
      </c>
      <c r="G1068" s="11">
        <v>2891.0</v>
      </c>
      <c r="I1068" s="7"/>
      <c r="J1068" s="7"/>
      <c r="K1068" s="13" t="str">
        <f>IF(discount&gt;50%, product, "")</f>
        <v/>
      </c>
      <c r="L1068" s="7"/>
      <c r="M1068" s="7"/>
      <c r="N1068" s="7"/>
      <c r="O1068" s="14"/>
      <c r="P1068" s="14"/>
    </row>
    <row r="1069">
      <c r="A1069" s="7" t="s">
        <v>1152</v>
      </c>
      <c r="B1069" s="7" t="s">
        <v>1089</v>
      </c>
      <c r="C1069" s="8">
        <v>749.0</v>
      </c>
      <c r="D1069" s="8">
        <v>1129.0</v>
      </c>
      <c r="E1069" s="9">
        <v>0.34</v>
      </c>
      <c r="F1069" s="10">
        <v>4.0</v>
      </c>
      <c r="G1069" s="11">
        <v>2446.0</v>
      </c>
      <c r="I1069" s="7"/>
      <c r="J1069" s="7"/>
      <c r="K1069" s="13" t="str">
        <f>IF(discount&gt;50%, product, "")</f>
        <v/>
      </c>
      <c r="L1069" s="7"/>
      <c r="M1069" s="7"/>
      <c r="N1069" s="7"/>
      <c r="O1069" s="14"/>
      <c r="P1069" s="14"/>
    </row>
    <row r="1070">
      <c r="A1070" s="7" t="s">
        <v>1153</v>
      </c>
      <c r="B1070" s="7" t="s">
        <v>1113</v>
      </c>
      <c r="C1070" s="8">
        <v>3499.0</v>
      </c>
      <c r="D1070" s="8">
        <v>5795.0</v>
      </c>
      <c r="E1070" s="9">
        <v>0.4</v>
      </c>
      <c r="F1070" s="10">
        <v>3.9</v>
      </c>
      <c r="G1070" s="11">
        <v>25340.0</v>
      </c>
      <c r="I1070" s="7"/>
      <c r="J1070" s="7"/>
      <c r="K1070" s="13" t="str">
        <f>IF(discount&gt;50%, product, "")</f>
        <v/>
      </c>
      <c r="L1070" s="7"/>
      <c r="M1070" s="7"/>
      <c r="N1070" s="7"/>
      <c r="O1070" s="14"/>
      <c r="P1070" s="14"/>
    </row>
    <row r="1071">
      <c r="A1071" s="7" t="s">
        <v>1154</v>
      </c>
      <c r="B1071" s="7" t="s">
        <v>1155</v>
      </c>
      <c r="C1071" s="8">
        <v>379.0</v>
      </c>
      <c r="D1071" s="8">
        <v>999.0</v>
      </c>
      <c r="E1071" s="9">
        <v>0.62</v>
      </c>
      <c r="F1071" s="10">
        <v>4.3</v>
      </c>
      <c r="G1071" s="11">
        <v>3096.0</v>
      </c>
      <c r="I1071" s="7"/>
      <c r="J1071" s="7"/>
      <c r="K1071" s="13" t="str">
        <f>IF(discount&gt;50%, product, "")</f>
        <v>SOFLIN Egg Boiler Electric Automatic Off 7 Egg Poacher for Steaming, Cooking, Boiling and Frying (400 Watts, Blue)</v>
      </c>
      <c r="L1071" s="7"/>
      <c r="M1071" s="7"/>
      <c r="N1071" s="7"/>
      <c r="O1071" s="14"/>
      <c r="P1071" s="14"/>
    </row>
    <row r="1072">
      <c r="A1072" s="7" t="s">
        <v>1156</v>
      </c>
      <c r="B1072" s="7" t="s">
        <v>1089</v>
      </c>
      <c r="C1072" s="8">
        <v>1099.0</v>
      </c>
      <c r="D1072" s="8">
        <v>2400.0</v>
      </c>
      <c r="E1072" s="9">
        <v>0.54</v>
      </c>
      <c r="F1072" s="10">
        <v>3.8</v>
      </c>
      <c r="G1072" s="10">
        <v>4.0</v>
      </c>
      <c r="I1072" s="7"/>
      <c r="J1072" s="7"/>
      <c r="K1072" s="13" t="str">
        <f>IF(discount&gt;50%, product, "")</f>
        <v>Lifelong LLQH925 Dyno Quartz Heater 2 Power settings Tip Over Cut-off Switch 800 Watt Silent operation Power Indicator 2 Rod Room Heater (1 Year Warranty, Grey)</v>
      </c>
      <c r="L1072" s="7"/>
      <c r="M1072" s="7"/>
      <c r="N1072" s="7"/>
      <c r="O1072" s="14"/>
      <c r="P1072" s="14"/>
    </row>
    <row r="1073">
      <c r="A1073" s="7" t="s">
        <v>1157</v>
      </c>
      <c r="B1073" s="7" t="s">
        <v>1121</v>
      </c>
      <c r="C1073" s="8">
        <v>749.0</v>
      </c>
      <c r="D1073" s="8">
        <v>1299.0</v>
      </c>
      <c r="E1073" s="9">
        <v>0.42</v>
      </c>
      <c r="F1073" s="10">
        <v>4.0</v>
      </c>
      <c r="G1073" s="10">
        <v>119.0</v>
      </c>
      <c r="I1073" s="7"/>
      <c r="J1073" s="7"/>
      <c r="K1073" s="13" t="str">
        <f>IF(discount&gt;50%, product, "")</f>
        <v/>
      </c>
      <c r="L1073" s="7"/>
      <c r="M1073" s="7"/>
      <c r="N1073" s="7"/>
      <c r="O1073" s="14"/>
      <c r="P1073" s="14"/>
    </row>
    <row r="1074">
      <c r="A1074" s="7" t="s">
        <v>1158</v>
      </c>
      <c r="B1074" s="7" t="s">
        <v>1159</v>
      </c>
      <c r="C1074" s="8">
        <v>1299.0</v>
      </c>
      <c r="D1074" s="8">
        <v>1299.0</v>
      </c>
      <c r="E1074" s="9">
        <v>0.0</v>
      </c>
      <c r="F1074" s="10">
        <v>4.2</v>
      </c>
      <c r="G1074" s="11">
        <v>40106.0</v>
      </c>
      <c r="I1074" s="7"/>
      <c r="J1074" s="7"/>
      <c r="K1074" s="13" t="str">
        <f>IF(discount&gt;50%, product, "")</f>
        <v/>
      </c>
      <c r="L1074" s="7"/>
      <c r="M1074" s="7"/>
      <c r="N1074" s="7"/>
      <c r="O1074" s="14"/>
      <c r="P1074" s="14"/>
    </row>
    <row r="1075">
      <c r="A1075" s="7" t="s">
        <v>1160</v>
      </c>
      <c r="B1075" s="7" t="s">
        <v>1111</v>
      </c>
      <c r="C1075" s="8">
        <v>549.0</v>
      </c>
      <c r="D1075" s="8">
        <v>1090.0</v>
      </c>
      <c r="E1075" s="9">
        <v>0.5</v>
      </c>
      <c r="F1075" s="10">
        <v>4.2</v>
      </c>
      <c r="G1075" s="11">
        <v>13029.0</v>
      </c>
      <c r="I1075" s="7"/>
      <c r="J1075" s="7"/>
      <c r="K1075" s="13" t="str">
        <f>IF(discount&gt;50%, product, "")</f>
        <v/>
      </c>
      <c r="L1075" s="7"/>
      <c r="M1075" s="7"/>
      <c r="N1075" s="7"/>
      <c r="O1075" s="14"/>
      <c r="P1075" s="14"/>
    </row>
    <row r="1076">
      <c r="A1076" s="7" t="s">
        <v>1161</v>
      </c>
      <c r="B1076" s="7" t="s">
        <v>1091</v>
      </c>
      <c r="C1076" s="8">
        <v>899.0</v>
      </c>
      <c r="D1076" s="8">
        <v>2000.0</v>
      </c>
      <c r="E1076" s="9">
        <v>0.55</v>
      </c>
      <c r="F1076" s="10">
        <v>3.6</v>
      </c>
      <c r="G1076" s="10">
        <v>291.0</v>
      </c>
      <c r="I1076" s="7"/>
      <c r="J1076" s="7"/>
      <c r="K1076" s="13" t="str">
        <f>IF(discount&gt;50%, product, "")</f>
        <v>Lifelong LLFH921 Regalia 2000 W Fan Heater, 3 Air Settings, Room Heater with Overheating Protection, 1 Year Warranty ( White, (ISI Certified, Ideal for small to medium room/area)</v>
      </c>
      <c r="L1076" s="7"/>
      <c r="M1076" s="7"/>
      <c r="N1076" s="7"/>
      <c r="O1076" s="14"/>
      <c r="P1076" s="14"/>
    </row>
    <row r="1077">
      <c r="A1077" s="7" t="s">
        <v>1162</v>
      </c>
      <c r="B1077" s="7" t="s">
        <v>1111</v>
      </c>
      <c r="C1077" s="8">
        <v>1321.0</v>
      </c>
      <c r="D1077" s="8">
        <v>1545.0</v>
      </c>
      <c r="E1077" s="9">
        <v>0.14</v>
      </c>
      <c r="F1077" s="10">
        <v>4.3</v>
      </c>
      <c r="G1077" s="11">
        <v>15453.0</v>
      </c>
      <c r="I1077" s="7"/>
      <c r="J1077" s="7"/>
      <c r="K1077" s="13" t="str">
        <f>IF(discount&gt;50%, product, "")</f>
        <v/>
      </c>
      <c r="L1077" s="7"/>
      <c r="M1077" s="7"/>
      <c r="N1077" s="7"/>
      <c r="O1077" s="14"/>
      <c r="P1077" s="14"/>
    </row>
    <row r="1078">
      <c r="A1078" s="7" t="s">
        <v>1163</v>
      </c>
      <c r="B1078" s="7" t="s">
        <v>1093</v>
      </c>
      <c r="C1078" s="8">
        <v>1099.0</v>
      </c>
      <c r="D1078" s="8">
        <v>1999.0</v>
      </c>
      <c r="E1078" s="9">
        <v>0.45</v>
      </c>
      <c r="F1078" s="10">
        <v>4.0</v>
      </c>
      <c r="G1078" s="10">
        <v>604.0</v>
      </c>
      <c r="I1078" s="7"/>
      <c r="J1078" s="7"/>
      <c r="K1078" s="13" t="str">
        <f>IF(discount&gt;50%, product, "")</f>
        <v/>
      </c>
      <c r="L1078" s="7"/>
      <c r="M1078" s="7"/>
      <c r="N1078" s="7"/>
      <c r="O1078" s="14"/>
      <c r="P1078" s="14"/>
    </row>
    <row r="1079">
      <c r="A1079" s="7" t="s">
        <v>1164</v>
      </c>
      <c r="B1079" s="7" t="s">
        <v>1111</v>
      </c>
      <c r="C1079" s="8">
        <v>775.0</v>
      </c>
      <c r="D1079" s="8">
        <v>875.0</v>
      </c>
      <c r="E1079" s="9">
        <v>0.11</v>
      </c>
      <c r="F1079" s="10">
        <v>4.2</v>
      </c>
      <c r="G1079" s="11">
        <v>46647.0</v>
      </c>
      <c r="I1079" s="7"/>
      <c r="J1079" s="7"/>
      <c r="K1079" s="13" t="str">
        <f>IF(discount&gt;50%, product, "")</f>
        <v/>
      </c>
      <c r="L1079" s="7"/>
      <c r="M1079" s="7"/>
      <c r="N1079" s="7"/>
      <c r="O1079" s="14"/>
      <c r="P1079" s="14"/>
    </row>
    <row r="1080">
      <c r="A1080" s="7" t="s">
        <v>1165</v>
      </c>
      <c r="B1080" s="7" t="s">
        <v>1123</v>
      </c>
      <c r="C1080" s="8">
        <v>6299.0</v>
      </c>
      <c r="D1080" s="8">
        <v>15270.0</v>
      </c>
      <c r="E1080" s="9">
        <v>0.59</v>
      </c>
      <c r="F1080" s="10">
        <v>4.1</v>
      </c>
      <c r="G1080" s="11">
        <v>3233.0</v>
      </c>
      <c r="I1080" s="7"/>
      <c r="J1080" s="7"/>
      <c r="K1080" s="13" t="str">
        <f>IF(discount&gt;50%, product, "")</f>
        <v>Bajaj New Shakti Neo 25L Vertical Storage Water Heater (Geyser 25 Litres) 4 Star BEE Rated Heater For Water Heating with Titanium Armour, Swirl Flow Technology, Glasslined Tank(White), 1 Yr Warranty</v>
      </c>
      <c r="L1080" s="7"/>
      <c r="M1080" s="7"/>
      <c r="N1080" s="7"/>
      <c r="O1080" s="14"/>
      <c r="P1080" s="14"/>
    </row>
    <row r="1081">
      <c r="A1081" s="7" t="s">
        <v>1166</v>
      </c>
      <c r="B1081" s="7" t="s">
        <v>1139</v>
      </c>
      <c r="C1081" s="8">
        <v>3190.0</v>
      </c>
      <c r="D1081" s="8">
        <v>4195.0</v>
      </c>
      <c r="E1081" s="9">
        <v>0.24</v>
      </c>
      <c r="F1081" s="10">
        <v>4.0</v>
      </c>
      <c r="G1081" s="11">
        <v>1282.0</v>
      </c>
      <c r="I1081" s="7"/>
      <c r="J1081" s="7"/>
      <c r="K1081" s="13" t="str">
        <f>IF(discount&gt;50%, product, "")</f>
        <v/>
      </c>
      <c r="L1081" s="7"/>
      <c r="M1081" s="7"/>
      <c r="N1081" s="7"/>
      <c r="O1081" s="14"/>
      <c r="P1081" s="14"/>
    </row>
    <row r="1082">
      <c r="A1082" s="7" t="s">
        <v>1167</v>
      </c>
      <c r="B1082" s="7" t="s">
        <v>1089</v>
      </c>
      <c r="C1082" s="8">
        <v>799.0</v>
      </c>
      <c r="D1082" s="8">
        <v>1989.0</v>
      </c>
      <c r="E1082" s="9">
        <v>0.6</v>
      </c>
      <c r="F1082" s="10">
        <v>4.3</v>
      </c>
      <c r="G1082" s="10">
        <v>70.0</v>
      </c>
      <c r="I1082" s="7"/>
      <c r="J1082" s="7"/>
      <c r="K1082" s="13" t="str">
        <f>IF(discount&gt;50%, product, "")</f>
        <v>Room Heater Warmer Wall-Outlet 400 Watts Electric Handy Room Heater (Room Heaters Home for Bedroom, Reading Books, Work, bathrooms, Rooms, Offices, Home Offices,2022</v>
      </c>
      <c r="L1082" s="7"/>
      <c r="M1082" s="7"/>
      <c r="N1082" s="7"/>
      <c r="O1082" s="14"/>
      <c r="P1082" s="14"/>
    </row>
    <row r="1083">
      <c r="A1083" s="7" t="s">
        <v>1168</v>
      </c>
      <c r="B1083" s="7" t="s">
        <v>1144</v>
      </c>
      <c r="C1083" s="8">
        <v>2699.0</v>
      </c>
      <c r="D1083" s="8">
        <v>5000.0</v>
      </c>
      <c r="E1083" s="9">
        <v>0.46</v>
      </c>
      <c r="F1083" s="10">
        <v>4.0</v>
      </c>
      <c r="G1083" s="11">
        <v>26164.0</v>
      </c>
      <c r="I1083" s="7"/>
      <c r="J1083" s="7"/>
      <c r="K1083" s="13" t="str">
        <f>IF(discount&gt;50%, product, "")</f>
        <v/>
      </c>
      <c r="L1083" s="7"/>
      <c r="M1083" s="7"/>
      <c r="N1083" s="7"/>
      <c r="O1083" s="14"/>
      <c r="P1083" s="14"/>
    </row>
    <row r="1084">
      <c r="A1084" s="7" t="s">
        <v>1169</v>
      </c>
      <c r="B1084" s="7" t="s">
        <v>1111</v>
      </c>
      <c r="C1084" s="8">
        <v>599.0</v>
      </c>
      <c r="D1084" s="8">
        <v>990.0</v>
      </c>
      <c r="E1084" s="9">
        <v>0.39</v>
      </c>
      <c r="F1084" s="10">
        <v>3.9</v>
      </c>
      <c r="G1084" s="11">
        <v>16166.0</v>
      </c>
      <c r="I1084" s="7"/>
      <c r="J1084" s="7"/>
      <c r="K1084" s="13" t="str">
        <f>IF(discount&gt;50%, product, "")</f>
        <v/>
      </c>
      <c r="L1084" s="7"/>
      <c r="M1084" s="7"/>
      <c r="N1084" s="7"/>
      <c r="O1084" s="14"/>
      <c r="P1084" s="14"/>
    </row>
    <row r="1085">
      <c r="A1085" s="7" t="s">
        <v>1170</v>
      </c>
      <c r="B1085" s="7" t="s">
        <v>1121</v>
      </c>
      <c r="C1085" s="8">
        <v>749.0</v>
      </c>
      <c r="D1085" s="8">
        <v>1111.0</v>
      </c>
      <c r="E1085" s="9">
        <v>0.33</v>
      </c>
      <c r="F1085" s="10">
        <v>4.2</v>
      </c>
      <c r="G1085" s="11">
        <v>35693.0</v>
      </c>
      <c r="I1085" s="7"/>
      <c r="J1085" s="7"/>
      <c r="K1085" s="13" t="str">
        <f>IF(discount&gt;50%, product, "")</f>
        <v/>
      </c>
      <c r="L1085" s="7"/>
      <c r="M1085" s="7"/>
      <c r="N1085" s="7"/>
      <c r="O1085" s="14"/>
      <c r="P1085" s="14"/>
    </row>
    <row r="1086">
      <c r="A1086" s="7" t="s">
        <v>1171</v>
      </c>
      <c r="B1086" s="7" t="s">
        <v>1123</v>
      </c>
      <c r="C1086" s="8">
        <v>6199.0</v>
      </c>
      <c r="D1086" s="8">
        <v>10400.0</v>
      </c>
      <c r="E1086" s="9">
        <v>0.4</v>
      </c>
      <c r="F1086" s="10">
        <v>4.1</v>
      </c>
      <c r="G1086" s="11">
        <v>14391.0</v>
      </c>
      <c r="I1086" s="7"/>
      <c r="J1086" s="7"/>
      <c r="K1086" s="13" t="str">
        <f>IF(discount&gt;50%, product, "")</f>
        <v/>
      </c>
      <c r="L1086" s="7"/>
      <c r="M1086" s="7"/>
      <c r="N1086" s="7"/>
      <c r="O1086" s="14"/>
      <c r="P1086" s="14"/>
    </row>
    <row r="1087">
      <c r="A1087" s="7" t="s">
        <v>1172</v>
      </c>
      <c r="B1087" s="7" t="s">
        <v>1173</v>
      </c>
      <c r="C1087" s="8">
        <v>1819.0</v>
      </c>
      <c r="D1087" s="8">
        <v>2490.0</v>
      </c>
      <c r="E1087" s="9">
        <v>0.27</v>
      </c>
      <c r="F1087" s="10">
        <v>4.4</v>
      </c>
      <c r="G1087" s="11">
        <v>7946.0</v>
      </c>
      <c r="I1087" s="7"/>
      <c r="J1087" s="7"/>
      <c r="K1087" s="13" t="str">
        <f>IF(discount&gt;50%, product, "")</f>
        <v/>
      </c>
      <c r="L1087" s="7"/>
      <c r="M1087" s="7"/>
      <c r="N1087" s="7"/>
      <c r="O1087" s="14"/>
      <c r="P1087" s="14"/>
    </row>
    <row r="1088">
      <c r="A1088" s="7" t="s">
        <v>1174</v>
      </c>
      <c r="B1088" s="7" t="s">
        <v>1121</v>
      </c>
      <c r="C1088" s="8">
        <v>1199.0</v>
      </c>
      <c r="D1088" s="8">
        <v>1900.0</v>
      </c>
      <c r="E1088" s="9">
        <v>0.37</v>
      </c>
      <c r="F1088" s="10">
        <v>4.0</v>
      </c>
      <c r="G1088" s="11">
        <v>1765.0</v>
      </c>
      <c r="I1088" s="7"/>
      <c r="J1088" s="7"/>
      <c r="K1088" s="13" t="str">
        <f>IF(discount&gt;50%, product, "")</f>
        <v/>
      </c>
      <c r="L1088" s="7"/>
      <c r="M1088" s="7"/>
      <c r="N1088" s="7"/>
      <c r="O1088" s="14"/>
      <c r="P1088" s="14"/>
    </row>
    <row r="1089">
      <c r="A1089" s="7" t="s">
        <v>1175</v>
      </c>
      <c r="B1089" s="7" t="s">
        <v>1113</v>
      </c>
      <c r="C1089" s="8">
        <v>3249.0</v>
      </c>
      <c r="D1089" s="8">
        <v>6295.0</v>
      </c>
      <c r="E1089" s="9">
        <v>0.48</v>
      </c>
      <c r="F1089" s="10">
        <v>3.8</v>
      </c>
      <c r="G1089" s="11">
        <v>14062.0</v>
      </c>
      <c r="I1089" s="7"/>
      <c r="J1089" s="7"/>
      <c r="K1089" s="13" t="str">
        <f>IF(discount&gt;50%, product, "")</f>
        <v/>
      </c>
      <c r="L1089" s="7"/>
      <c r="M1089" s="7"/>
      <c r="N1089" s="7"/>
      <c r="O1089" s="14"/>
      <c r="P1089" s="14"/>
    </row>
    <row r="1090">
      <c r="A1090" s="7" t="s">
        <v>1176</v>
      </c>
      <c r="B1090" s="7" t="s">
        <v>1155</v>
      </c>
      <c r="C1090" s="8">
        <v>349.0</v>
      </c>
      <c r="D1090" s="8">
        <v>999.0</v>
      </c>
      <c r="E1090" s="9">
        <v>0.65</v>
      </c>
      <c r="F1090" s="10">
        <v>4.0</v>
      </c>
      <c r="G1090" s="11">
        <v>15646.0</v>
      </c>
      <c r="I1090" s="7"/>
      <c r="J1090" s="7"/>
      <c r="K1090" s="13" t="str">
        <f>IF(discount&gt;50%, product, "")</f>
        <v>Simxen Egg Boiler Electric Automatic Off 7 Egg Poacher for Steaming, Cooking Also Boiling and Frying 400 W (Blue, Pink)</v>
      </c>
      <c r="L1090" s="7"/>
      <c r="M1090" s="7"/>
      <c r="N1090" s="7"/>
      <c r="O1090" s="14"/>
      <c r="P1090" s="14"/>
    </row>
    <row r="1091">
      <c r="A1091" s="7" t="s">
        <v>1177</v>
      </c>
      <c r="B1091" s="7" t="s">
        <v>1091</v>
      </c>
      <c r="C1091" s="8">
        <v>1049.0</v>
      </c>
      <c r="D1091" s="8">
        <v>1699.0</v>
      </c>
      <c r="E1091" s="9">
        <v>0.38</v>
      </c>
      <c r="F1091" s="10">
        <v>3.1</v>
      </c>
      <c r="G1091" s="10">
        <v>111.0</v>
      </c>
      <c r="I1091" s="7"/>
      <c r="J1091" s="7"/>
      <c r="K1091" s="13" t="str">
        <f>IF(discount&gt;50%, product, "")</f>
        <v/>
      </c>
      <c r="L1091" s="7"/>
      <c r="M1091" s="7"/>
      <c r="N1091" s="7"/>
      <c r="O1091" s="14"/>
      <c r="P1091" s="14"/>
    </row>
    <row r="1092">
      <c r="A1092" s="7" t="s">
        <v>1178</v>
      </c>
      <c r="B1092" s="7" t="s">
        <v>1179</v>
      </c>
      <c r="C1092" s="8">
        <v>799.0</v>
      </c>
      <c r="D1092" s="8">
        <v>1500.0</v>
      </c>
      <c r="E1092" s="9">
        <v>0.47</v>
      </c>
      <c r="F1092" s="10">
        <v>4.3</v>
      </c>
      <c r="G1092" s="11">
        <v>9695.0</v>
      </c>
      <c r="I1092" s="7"/>
      <c r="J1092" s="7"/>
      <c r="K1092" s="13" t="str">
        <f>IF(discount&gt;50%, product, "")</f>
        <v/>
      </c>
      <c r="L1092" s="7"/>
      <c r="M1092" s="7"/>
      <c r="N1092" s="7"/>
      <c r="O1092" s="14"/>
      <c r="P1092" s="14"/>
    </row>
    <row r="1093">
      <c r="A1093" s="7" t="s">
        <v>1180</v>
      </c>
      <c r="B1093" s="7" t="s">
        <v>1123</v>
      </c>
      <c r="C1093" s="8">
        <v>4999.0</v>
      </c>
      <c r="D1093" s="8">
        <v>9650.0</v>
      </c>
      <c r="E1093" s="9">
        <v>0.48</v>
      </c>
      <c r="F1093" s="10">
        <v>4.2</v>
      </c>
      <c r="G1093" s="11">
        <v>1772.0</v>
      </c>
      <c r="I1093" s="7"/>
      <c r="J1093" s="7"/>
      <c r="K1093" s="13" t="str">
        <f>IF(discount&gt;50%, product, "")</f>
        <v/>
      </c>
      <c r="L1093" s="7"/>
      <c r="M1093" s="7"/>
      <c r="N1093" s="7"/>
      <c r="O1093" s="14"/>
      <c r="P1093" s="14"/>
    </row>
    <row r="1094">
      <c r="A1094" s="7" t="s">
        <v>1181</v>
      </c>
      <c r="B1094" s="7" t="s">
        <v>1113</v>
      </c>
      <c r="C1094" s="8">
        <v>6999.0</v>
      </c>
      <c r="D1094" s="8">
        <v>10590.0</v>
      </c>
      <c r="E1094" s="9">
        <v>0.34</v>
      </c>
      <c r="F1094" s="10">
        <v>4.4</v>
      </c>
      <c r="G1094" s="11">
        <v>11499.0</v>
      </c>
      <c r="I1094" s="7"/>
      <c r="J1094" s="7"/>
      <c r="K1094" s="13" t="str">
        <f>IF(discount&gt;50%, product, "")</f>
        <v/>
      </c>
      <c r="L1094" s="7"/>
      <c r="M1094" s="7"/>
      <c r="N1094" s="7"/>
      <c r="O1094" s="14"/>
      <c r="P1094" s="14"/>
    </row>
    <row r="1095">
      <c r="A1095" s="7" t="s">
        <v>1182</v>
      </c>
      <c r="B1095" s="7" t="s">
        <v>1095</v>
      </c>
      <c r="C1095" s="8">
        <v>799.0</v>
      </c>
      <c r="D1095" s="8">
        <v>1999.0</v>
      </c>
      <c r="E1095" s="9">
        <v>0.6</v>
      </c>
      <c r="F1095" s="10">
        <v>4.1</v>
      </c>
      <c r="G1095" s="11">
        <v>2162.0</v>
      </c>
      <c r="I1095" s="7"/>
      <c r="J1095" s="7"/>
      <c r="K1095" s="13" t="str">
        <f>IF(discount&gt;50%, product, "")</f>
        <v>Bulfyss Stainless Steel Digital Kitchen Weighing Scale &amp; Food Weight Machine for Diet, Nutrition, Health, Fitness, Baking &amp; Cooking (5Kgs, Stainless Steel, 2 Years Warranty)</v>
      </c>
      <c r="L1095" s="7"/>
      <c r="M1095" s="7"/>
      <c r="N1095" s="7"/>
      <c r="O1095" s="14"/>
      <c r="P1095" s="14"/>
    </row>
    <row r="1096">
      <c r="A1096" s="7" t="s">
        <v>1183</v>
      </c>
      <c r="B1096" s="7" t="s">
        <v>1184</v>
      </c>
      <c r="C1096" s="8">
        <v>89.0</v>
      </c>
      <c r="D1096" s="8">
        <v>89.0</v>
      </c>
      <c r="E1096" s="9">
        <v>0.0</v>
      </c>
      <c r="F1096" s="10">
        <v>4.2</v>
      </c>
      <c r="G1096" s="11">
        <v>19621.0</v>
      </c>
      <c r="I1096" s="7"/>
      <c r="J1096" s="7"/>
      <c r="K1096" s="13" t="str">
        <f>IF(discount&gt;50%, product, "")</f>
        <v/>
      </c>
      <c r="L1096" s="7"/>
      <c r="M1096" s="7"/>
      <c r="N1096" s="7"/>
      <c r="O1096" s="14"/>
      <c r="P1096" s="14"/>
    </row>
    <row r="1097">
      <c r="A1097" s="7" t="s">
        <v>1185</v>
      </c>
      <c r="B1097" s="7" t="s">
        <v>1186</v>
      </c>
      <c r="C1097" s="8">
        <v>1400.0</v>
      </c>
      <c r="D1097" s="8">
        <v>2485.0</v>
      </c>
      <c r="E1097" s="9">
        <v>0.44</v>
      </c>
      <c r="F1097" s="10">
        <v>4.1</v>
      </c>
      <c r="G1097" s="11">
        <v>19998.0</v>
      </c>
      <c r="I1097" s="7"/>
      <c r="J1097" s="7"/>
      <c r="K1097" s="13" t="str">
        <f>IF(discount&gt;50%, product, "")</f>
        <v/>
      </c>
      <c r="L1097" s="7"/>
      <c r="M1097" s="7"/>
      <c r="N1097" s="7"/>
      <c r="O1097" s="14"/>
      <c r="P1097" s="14"/>
    </row>
    <row r="1098">
      <c r="A1098" s="7" t="s">
        <v>1187</v>
      </c>
      <c r="B1098" s="7" t="s">
        <v>1137</v>
      </c>
      <c r="C1098" s="8">
        <v>355.0</v>
      </c>
      <c r="D1098" s="8">
        <v>899.0</v>
      </c>
      <c r="E1098" s="9">
        <v>0.61</v>
      </c>
      <c r="F1098" s="10">
        <v>4.1</v>
      </c>
      <c r="G1098" s="11">
        <v>1051.0</v>
      </c>
      <c r="I1098" s="7"/>
      <c r="J1098" s="7"/>
      <c r="K1098" s="13" t="str">
        <f>IF(discount&gt;50%, product, "")</f>
        <v>PrettyKrafts Folding Laundry Basket for Clothes with Lid &amp; Handle, Toys Organiser, 75 Litre, (Pack of 1), Mushroom Print</v>
      </c>
      <c r="L1098" s="7"/>
      <c r="M1098" s="7"/>
      <c r="N1098" s="7"/>
      <c r="O1098" s="14"/>
      <c r="P1098" s="14"/>
    </row>
    <row r="1099">
      <c r="A1099" s="7" t="s">
        <v>1188</v>
      </c>
      <c r="B1099" s="7" t="s">
        <v>1089</v>
      </c>
      <c r="C1099" s="8">
        <v>2169.0</v>
      </c>
      <c r="D1099" s="8">
        <v>3279.0</v>
      </c>
      <c r="E1099" s="9">
        <v>0.34</v>
      </c>
      <c r="F1099" s="10">
        <v>4.1</v>
      </c>
      <c r="G1099" s="11">
        <v>1716.0</v>
      </c>
      <c r="I1099" s="7"/>
      <c r="J1099" s="7"/>
      <c r="K1099" s="13" t="str">
        <f>IF(discount&gt;50%, product, "")</f>
        <v/>
      </c>
      <c r="L1099" s="7"/>
      <c r="M1099" s="7"/>
      <c r="N1099" s="7"/>
      <c r="O1099" s="14"/>
      <c r="P1099" s="14"/>
    </row>
    <row r="1100">
      <c r="A1100" s="7" t="s">
        <v>1189</v>
      </c>
      <c r="B1100" s="7" t="s">
        <v>1190</v>
      </c>
      <c r="C1100" s="8">
        <v>2799.0</v>
      </c>
      <c r="D1100" s="8">
        <v>3799.0</v>
      </c>
      <c r="E1100" s="9">
        <v>0.26</v>
      </c>
      <c r="F1100" s="10">
        <v>3.9</v>
      </c>
      <c r="G1100" s="11">
        <v>32931.0</v>
      </c>
      <c r="I1100" s="7"/>
      <c r="J1100" s="7"/>
      <c r="K1100" s="13" t="str">
        <f>IF(discount&gt;50%, product, "")</f>
        <v/>
      </c>
      <c r="L1100" s="7"/>
      <c r="M1100" s="7"/>
      <c r="N1100" s="7"/>
      <c r="O1100" s="14"/>
      <c r="P1100" s="14"/>
    </row>
    <row r="1101">
      <c r="A1101" s="7" t="s">
        <v>1191</v>
      </c>
      <c r="B1101" s="7" t="s">
        <v>1086</v>
      </c>
      <c r="C1101" s="8">
        <v>899.0</v>
      </c>
      <c r="D1101" s="8">
        <v>1249.0</v>
      </c>
      <c r="E1101" s="9">
        <v>0.28</v>
      </c>
      <c r="F1101" s="10">
        <v>3.9</v>
      </c>
      <c r="G1101" s="11">
        <v>17424.0</v>
      </c>
      <c r="I1101" s="7"/>
      <c r="J1101" s="7"/>
      <c r="K1101" s="13" t="str">
        <f>IF(discount&gt;50%, product, "")</f>
        <v/>
      </c>
      <c r="L1101" s="7"/>
      <c r="M1101" s="7"/>
      <c r="N1101" s="7"/>
      <c r="O1101" s="14"/>
      <c r="P1101" s="14"/>
    </row>
    <row r="1102">
      <c r="A1102" s="7" t="s">
        <v>1192</v>
      </c>
      <c r="B1102" s="7" t="s">
        <v>1117</v>
      </c>
      <c r="C1102" s="8">
        <v>2499.0</v>
      </c>
      <c r="D1102" s="8">
        <v>5000.0</v>
      </c>
      <c r="E1102" s="9">
        <v>0.5</v>
      </c>
      <c r="F1102" s="10">
        <v>3.8</v>
      </c>
      <c r="G1102" s="11">
        <v>1889.0</v>
      </c>
      <c r="I1102" s="7"/>
      <c r="J1102" s="7"/>
      <c r="K1102" s="13" t="str">
        <f>IF(discount&gt;50%, product, "")</f>
        <v/>
      </c>
      <c r="L1102" s="7"/>
      <c r="M1102" s="7"/>
      <c r="N1102" s="7"/>
      <c r="O1102" s="14"/>
      <c r="P1102" s="14"/>
    </row>
    <row r="1103">
      <c r="A1103" s="7" t="s">
        <v>1193</v>
      </c>
      <c r="B1103" s="7" t="s">
        <v>1115</v>
      </c>
      <c r="C1103" s="8">
        <v>3599.0</v>
      </c>
      <c r="D1103" s="8">
        <v>7299.0</v>
      </c>
      <c r="E1103" s="9">
        <v>0.51</v>
      </c>
      <c r="F1103" s="10">
        <v>4.0</v>
      </c>
      <c r="G1103" s="11">
        <v>10324.0</v>
      </c>
      <c r="I1103" s="7"/>
      <c r="J1103" s="7"/>
      <c r="K1103" s="13" t="str">
        <f>IF(discount&gt;50%, product, "")</f>
        <v>Crompton Gracee 5-L Instant Water Heater (Geyser)</v>
      </c>
      <c r="L1103" s="7"/>
      <c r="M1103" s="7"/>
      <c r="N1103" s="7"/>
      <c r="O1103" s="14"/>
      <c r="P1103" s="14"/>
    </row>
    <row r="1104">
      <c r="A1104" s="7" t="s">
        <v>1194</v>
      </c>
      <c r="B1104" s="7" t="s">
        <v>1111</v>
      </c>
      <c r="C1104" s="8">
        <v>499.0</v>
      </c>
      <c r="D1104" s="8">
        <v>625.0</v>
      </c>
      <c r="E1104" s="9">
        <v>0.2</v>
      </c>
      <c r="F1104" s="10">
        <v>4.2</v>
      </c>
      <c r="G1104" s="11">
        <v>5355.0</v>
      </c>
      <c r="I1104" s="7"/>
      <c r="J1104" s="7"/>
      <c r="K1104" s="13" t="str">
        <f>IF(discount&gt;50%, product, "")</f>
        <v/>
      </c>
      <c r="L1104" s="7"/>
      <c r="M1104" s="7"/>
      <c r="N1104" s="7"/>
      <c r="O1104" s="14"/>
      <c r="P1104" s="14"/>
    </row>
    <row r="1105">
      <c r="A1105" s="7" t="s">
        <v>1195</v>
      </c>
      <c r="B1105" s="7" t="s">
        <v>1131</v>
      </c>
      <c r="C1105" s="8">
        <v>653.0</v>
      </c>
      <c r="D1105" s="8">
        <v>1020.0</v>
      </c>
      <c r="E1105" s="9">
        <v>0.36</v>
      </c>
      <c r="F1105" s="10">
        <v>4.1</v>
      </c>
      <c r="G1105" s="11">
        <v>3366.0</v>
      </c>
      <c r="I1105" s="7"/>
      <c r="J1105" s="7"/>
      <c r="K1105" s="13" t="str">
        <f>IF(discount&gt;50%, product, "")</f>
        <v/>
      </c>
      <c r="L1105" s="7"/>
      <c r="M1105" s="7"/>
      <c r="N1105" s="7"/>
      <c r="O1105" s="14"/>
      <c r="P1105" s="14"/>
    </row>
    <row r="1106">
      <c r="A1106" s="7" t="s">
        <v>1196</v>
      </c>
      <c r="B1106" s="7" t="s">
        <v>1197</v>
      </c>
      <c r="C1106" s="8">
        <v>4789.0</v>
      </c>
      <c r="D1106" s="8">
        <v>8990.0</v>
      </c>
      <c r="E1106" s="9">
        <v>0.47</v>
      </c>
      <c r="F1106" s="10">
        <v>4.3</v>
      </c>
      <c r="G1106" s="11">
        <v>1017.0</v>
      </c>
      <c r="I1106" s="7"/>
      <c r="J1106" s="7"/>
      <c r="K1106" s="13" t="str">
        <f>IF(discount&gt;50%, product, "")</f>
        <v/>
      </c>
      <c r="L1106" s="7"/>
      <c r="M1106" s="7"/>
      <c r="N1106" s="7"/>
      <c r="O1106" s="14"/>
      <c r="P1106" s="14"/>
    </row>
    <row r="1107">
      <c r="A1107" s="7" t="s">
        <v>1198</v>
      </c>
      <c r="B1107" s="7" t="s">
        <v>1199</v>
      </c>
      <c r="C1107" s="8">
        <v>1409.0</v>
      </c>
      <c r="D1107" s="8">
        <v>1639.0</v>
      </c>
      <c r="E1107" s="9">
        <v>0.14</v>
      </c>
      <c r="F1107" s="10">
        <v>3.7</v>
      </c>
      <c r="G1107" s="10">
        <v>787.0</v>
      </c>
      <c r="I1107" s="7"/>
      <c r="J1107" s="7"/>
      <c r="K1107" s="13" t="str">
        <f>IF(discount&gt;50%, product, "")</f>
        <v/>
      </c>
      <c r="L1107" s="7"/>
      <c r="M1107" s="7"/>
      <c r="N1107" s="7"/>
      <c r="O1107" s="14"/>
      <c r="P1107" s="14"/>
    </row>
    <row r="1108">
      <c r="A1108" s="7" t="s">
        <v>1200</v>
      </c>
      <c r="B1108" s="7" t="s">
        <v>1109</v>
      </c>
      <c r="C1108" s="8">
        <v>753.0</v>
      </c>
      <c r="D1108" s="8">
        <v>899.0</v>
      </c>
      <c r="E1108" s="9">
        <v>0.16</v>
      </c>
      <c r="F1108" s="10">
        <v>4.2</v>
      </c>
      <c r="G1108" s="11">
        <v>18462.0</v>
      </c>
      <c r="I1108" s="7"/>
      <c r="J1108" s="7"/>
      <c r="K1108" s="13" t="str">
        <f>IF(discount&gt;50%, product, "")</f>
        <v/>
      </c>
      <c r="L1108" s="7"/>
      <c r="M1108" s="7"/>
      <c r="N1108" s="7"/>
      <c r="O1108" s="14"/>
      <c r="P1108" s="14"/>
    </row>
    <row r="1109">
      <c r="A1109" s="7" t="s">
        <v>1201</v>
      </c>
      <c r="B1109" s="7" t="s">
        <v>1155</v>
      </c>
      <c r="C1109" s="8">
        <v>353.0</v>
      </c>
      <c r="D1109" s="8">
        <v>1199.0</v>
      </c>
      <c r="E1109" s="9">
        <v>0.71</v>
      </c>
      <c r="F1109" s="10">
        <v>4.3</v>
      </c>
      <c r="G1109" s="10">
        <v>629.0</v>
      </c>
      <c r="I1109" s="7"/>
      <c r="J1109" s="7"/>
      <c r="K1109" s="13" t="str">
        <f>IF(discount&gt;50%, product, "")</f>
        <v>GILTON Egg Boiler Electric Automatic Off 7 Egg Poacher for Steaming, Cooking Also Boiling and Frying, Multi Color</v>
      </c>
      <c r="L1109" s="7"/>
      <c r="M1109" s="7"/>
      <c r="N1109" s="7"/>
      <c r="O1109" s="14"/>
      <c r="P1109" s="14"/>
    </row>
    <row r="1110">
      <c r="A1110" s="7" t="s">
        <v>1202</v>
      </c>
      <c r="B1110" s="7" t="s">
        <v>1095</v>
      </c>
      <c r="C1110" s="8">
        <v>1099.0</v>
      </c>
      <c r="D1110" s="8">
        <v>1899.0</v>
      </c>
      <c r="E1110" s="9">
        <v>0.42</v>
      </c>
      <c r="F1110" s="10">
        <v>4.3</v>
      </c>
      <c r="G1110" s="11">
        <v>15276.0</v>
      </c>
      <c r="I1110" s="7"/>
      <c r="J1110" s="7"/>
      <c r="K1110" s="13" t="str">
        <f>IF(discount&gt;50%, product, "")</f>
        <v/>
      </c>
      <c r="L1110" s="7"/>
      <c r="M1110" s="7"/>
      <c r="N1110" s="7"/>
      <c r="O1110" s="14"/>
      <c r="P1110" s="14"/>
    </row>
    <row r="1111">
      <c r="A1111" s="7" t="s">
        <v>1203</v>
      </c>
      <c r="B1111" s="7" t="s">
        <v>1135</v>
      </c>
      <c r="C1111" s="8">
        <v>8799.0</v>
      </c>
      <c r="D1111" s="8">
        <v>11595.0</v>
      </c>
      <c r="E1111" s="9">
        <v>0.24</v>
      </c>
      <c r="F1111" s="10">
        <v>4.4</v>
      </c>
      <c r="G1111" s="11">
        <v>2981.0</v>
      </c>
      <c r="I1111" s="7"/>
      <c r="J1111" s="7"/>
      <c r="K1111" s="13" t="str">
        <f>IF(discount&gt;50%, product, "")</f>
        <v/>
      </c>
      <c r="L1111" s="7"/>
      <c r="M1111" s="7"/>
      <c r="N1111" s="7"/>
      <c r="O1111" s="14"/>
      <c r="P1111" s="14"/>
    </row>
    <row r="1112">
      <c r="A1112" s="7" t="s">
        <v>1204</v>
      </c>
      <c r="B1112" s="7" t="s">
        <v>1086</v>
      </c>
      <c r="C1112" s="8">
        <v>1345.0</v>
      </c>
      <c r="D1112" s="8">
        <v>1750.0</v>
      </c>
      <c r="E1112" s="9">
        <v>0.23</v>
      </c>
      <c r="F1112" s="10">
        <v>3.8</v>
      </c>
      <c r="G1112" s="11">
        <v>2466.0</v>
      </c>
      <c r="I1112" s="7"/>
      <c r="J1112" s="7"/>
      <c r="K1112" s="13" t="str">
        <f>IF(discount&gt;50%, product, "")</f>
        <v/>
      </c>
      <c r="L1112" s="7"/>
      <c r="M1112" s="7"/>
      <c r="N1112" s="7"/>
      <c r="O1112" s="14"/>
      <c r="P1112" s="14"/>
    </row>
    <row r="1113">
      <c r="A1113" s="7" t="s">
        <v>1205</v>
      </c>
      <c r="B1113" s="7" t="s">
        <v>1206</v>
      </c>
      <c r="C1113" s="8">
        <v>2095.0</v>
      </c>
      <c r="D1113" s="8">
        <v>2095.0</v>
      </c>
      <c r="E1113" s="9">
        <v>0.0</v>
      </c>
      <c r="F1113" s="10">
        <v>4.5</v>
      </c>
      <c r="G1113" s="11">
        <v>7949.0</v>
      </c>
      <c r="I1113" s="7"/>
      <c r="J1113" s="7"/>
      <c r="K1113" s="13" t="str">
        <f>IF(discount&gt;50%, product, "")</f>
        <v/>
      </c>
      <c r="L1113" s="7"/>
      <c r="M1113" s="7"/>
      <c r="N1113" s="7"/>
      <c r="O1113" s="14"/>
      <c r="P1113" s="14"/>
    </row>
    <row r="1114">
      <c r="A1114" s="7" t="s">
        <v>1207</v>
      </c>
      <c r="B1114" s="7" t="s">
        <v>1089</v>
      </c>
      <c r="C1114" s="8">
        <v>1498.0</v>
      </c>
      <c r="D1114" s="8">
        <v>2300.0</v>
      </c>
      <c r="E1114" s="9">
        <v>0.35</v>
      </c>
      <c r="F1114" s="10">
        <v>3.8</v>
      </c>
      <c r="G1114" s="10">
        <v>95.0</v>
      </c>
      <c r="I1114" s="7"/>
      <c r="J1114" s="7"/>
      <c r="K1114" s="13" t="str">
        <f>IF(discount&gt;50%, product, "")</f>
        <v/>
      </c>
      <c r="L1114" s="7"/>
      <c r="M1114" s="7"/>
      <c r="N1114" s="7"/>
      <c r="O1114" s="14"/>
      <c r="P1114" s="14"/>
    </row>
    <row r="1115">
      <c r="A1115" s="7" t="s">
        <v>1208</v>
      </c>
      <c r="B1115" s="7" t="s">
        <v>1209</v>
      </c>
      <c r="C1115" s="8">
        <v>2199.0</v>
      </c>
      <c r="D1115" s="8">
        <v>2990.0</v>
      </c>
      <c r="E1115" s="9">
        <v>0.26</v>
      </c>
      <c r="F1115" s="10">
        <v>3.8</v>
      </c>
      <c r="G1115" s="11">
        <v>1558.0</v>
      </c>
      <c r="I1115" s="7"/>
      <c r="J1115" s="7"/>
      <c r="K1115" s="13" t="str">
        <f>IF(discount&gt;50%, product, "")</f>
        <v/>
      </c>
      <c r="L1115" s="7"/>
      <c r="M1115" s="7"/>
      <c r="N1115" s="7"/>
      <c r="O1115" s="14"/>
      <c r="P1115" s="14"/>
    </row>
    <row r="1116">
      <c r="A1116" s="7" t="s">
        <v>1210</v>
      </c>
      <c r="B1116" s="7" t="s">
        <v>1113</v>
      </c>
      <c r="C1116" s="8">
        <v>3699.0</v>
      </c>
      <c r="D1116" s="8">
        <v>4295.0</v>
      </c>
      <c r="E1116" s="9">
        <v>0.14</v>
      </c>
      <c r="F1116" s="10">
        <v>4.1</v>
      </c>
      <c r="G1116" s="11">
        <v>26543.0</v>
      </c>
      <c r="I1116" s="7"/>
      <c r="J1116" s="7"/>
      <c r="K1116" s="13" t="str">
        <f>IF(discount&gt;50%, product, "")</f>
        <v/>
      </c>
      <c r="L1116" s="7"/>
      <c r="M1116" s="7"/>
      <c r="N1116" s="7"/>
      <c r="O1116" s="14"/>
      <c r="P1116" s="14"/>
    </row>
    <row r="1117">
      <c r="A1117" s="7" t="s">
        <v>1211</v>
      </c>
      <c r="B1117" s="7" t="s">
        <v>1137</v>
      </c>
      <c r="C1117" s="8">
        <v>177.0</v>
      </c>
      <c r="D1117" s="8">
        <v>199.0</v>
      </c>
      <c r="E1117" s="9">
        <v>0.11</v>
      </c>
      <c r="F1117" s="10">
        <v>4.1</v>
      </c>
      <c r="G1117" s="11">
        <v>3688.0</v>
      </c>
      <c r="I1117" s="7"/>
      <c r="J1117" s="7"/>
      <c r="K1117" s="13" t="str">
        <f>IF(discount&gt;50%, product, "")</f>
        <v/>
      </c>
      <c r="L1117" s="7"/>
      <c r="M1117" s="7"/>
      <c r="N1117" s="7"/>
      <c r="O1117" s="14"/>
      <c r="P1117" s="14"/>
    </row>
    <row r="1118">
      <c r="A1118" s="7" t="s">
        <v>1212</v>
      </c>
      <c r="B1118" s="7" t="s">
        <v>1113</v>
      </c>
      <c r="C1118" s="8">
        <v>1149.0</v>
      </c>
      <c r="D1118" s="8">
        <v>2499.0</v>
      </c>
      <c r="E1118" s="9">
        <v>0.54</v>
      </c>
      <c r="F1118" s="10">
        <v>3.8</v>
      </c>
      <c r="G1118" s="11">
        <v>4383.0</v>
      </c>
      <c r="I1118" s="7"/>
      <c r="J1118" s="7"/>
      <c r="K1118" s="13" t="str">
        <f>IF(discount&gt;50%, product, "")</f>
        <v>Lifelong LLMG93 500 Watt Duos Mixer Grinder, 2 Stainless Steel Jar (Liquidizing and Chutney Jar)| ABS Body, Stainless Steel Blades, 3 Speed Options with Whip (1 Year Warranty, Black)</v>
      </c>
      <c r="L1118" s="7"/>
      <c r="M1118" s="7"/>
      <c r="N1118" s="7"/>
      <c r="O1118" s="14"/>
      <c r="P1118" s="14"/>
    </row>
    <row r="1119">
      <c r="A1119" s="7" t="s">
        <v>1213</v>
      </c>
      <c r="B1119" s="7" t="s">
        <v>1214</v>
      </c>
      <c r="C1119" s="8">
        <v>244.0</v>
      </c>
      <c r="D1119" s="8">
        <v>499.0</v>
      </c>
      <c r="E1119" s="9">
        <v>0.51</v>
      </c>
      <c r="F1119" s="10">
        <v>3.3</v>
      </c>
      <c r="G1119" s="10">
        <v>478.0</v>
      </c>
      <c r="I1119" s="7"/>
      <c r="J1119" s="7"/>
      <c r="K1119" s="13" t="str">
        <f>IF(discount&gt;50%, product, "")</f>
        <v>IKEA Frother for Milk</v>
      </c>
      <c r="L1119" s="7"/>
      <c r="M1119" s="7"/>
      <c r="N1119" s="7"/>
      <c r="O1119" s="14"/>
      <c r="P1119" s="14"/>
    </row>
    <row r="1120">
      <c r="A1120" s="7" t="s">
        <v>1215</v>
      </c>
      <c r="B1120" s="7" t="s">
        <v>1089</v>
      </c>
      <c r="C1120" s="8">
        <v>1959.0</v>
      </c>
      <c r="D1120" s="8">
        <v>2400.0</v>
      </c>
      <c r="E1120" s="9">
        <v>0.18</v>
      </c>
      <c r="F1120" s="10">
        <v>4.0</v>
      </c>
      <c r="G1120" s="10">
        <v>237.0</v>
      </c>
      <c r="I1120" s="7"/>
      <c r="J1120" s="7"/>
      <c r="K1120" s="13" t="str">
        <f>IF(discount&gt;50%, product, "")</f>
        <v/>
      </c>
      <c r="L1120" s="7"/>
      <c r="M1120" s="7"/>
      <c r="N1120" s="7"/>
      <c r="O1120" s="14"/>
      <c r="P1120" s="14"/>
    </row>
    <row r="1121">
      <c r="A1121" s="7" t="s">
        <v>1216</v>
      </c>
      <c r="B1121" s="7" t="s">
        <v>1093</v>
      </c>
      <c r="C1121" s="8">
        <v>319.0</v>
      </c>
      <c r="D1121" s="8">
        <v>749.0</v>
      </c>
      <c r="E1121" s="9">
        <v>0.57</v>
      </c>
      <c r="F1121" s="10">
        <v>4.6</v>
      </c>
      <c r="G1121" s="10">
        <v>124.0</v>
      </c>
      <c r="I1121" s="7"/>
      <c r="J1121" s="7"/>
      <c r="K1121" s="13" t="str">
        <f>IF(discount&gt;50%, product, "")</f>
        <v>Lint Remover Woolen Clothes Lint Extractor Battery Lint Removing Machine Bhur Remover</v>
      </c>
      <c r="L1121" s="7"/>
      <c r="M1121" s="7"/>
      <c r="N1121" s="7"/>
      <c r="O1121" s="14"/>
      <c r="P1121" s="14"/>
    </row>
    <row r="1122">
      <c r="A1122" s="7" t="s">
        <v>1217</v>
      </c>
      <c r="B1122" s="7" t="s">
        <v>1086</v>
      </c>
      <c r="C1122" s="8">
        <v>1499.0</v>
      </c>
      <c r="D1122" s="8">
        <v>1775.0</v>
      </c>
      <c r="E1122" s="9">
        <v>0.16</v>
      </c>
      <c r="F1122" s="10">
        <v>3.9</v>
      </c>
      <c r="G1122" s="11">
        <v>14667.0</v>
      </c>
      <c r="I1122" s="7"/>
      <c r="J1122" s="7"/>
      <c r="K1122" s="13" t="str">
        <f>IF(discount&gt;50%, product, "")</f>
        <v/>
      </c>
      <c r="L1122" s="7"/>
      <c r="M1122" s="7"/>
      <c r="N1122" s="7"/>
      <c r="O1122" s="14"/>
      <c r="P1122" s="14"/>
    </row>
    <row r="1123">
      <c r="A1123" s="7" t="s">
        <v>1218</v>
      </c>
      <c r="B1123" s="7" t="s">
        <v>1093</v>
      </c>
      <c r="C1123" s="8">
        <v>469.0</v>
      </c>
      <c r="D1123" s="8">
        <v>1599.0</v>
      </c>
      <c r="E1123" s="9">
        <v>0.71</v>
      </c>
      <c r="F1123" s="10">
        <v>3.7</v>
      </c>
      <c r="G1123" s="10">
        <v>6.0</v>
      </c>
      <c r="I1123" s="7"/>
      <c r="J1123" s="7"/>
      <c r="K1123" s="13" t="str">
        <f>IF(discount&gt;50%, product, "")</f>
        <v>C (DEVICE) Lint Remover for Woolen Clothes, Electric Lint Remover, Best Lint Shaver for Clothes Pack of 1</v>
      </c>
      <c r="L1123" s="7"/>
      <c r="M1123" s="7"/>
      <c r="N1123" s="7"/>
      <c r="O1123" s="14"/>
      <c r="P1123" s="14"/>
    </row>
    <row r="1124">
      <c r="A1124" s="7" t="s">
        <v>1219</v>
      </c>
      <c r="B1124" s="7" t="s">
        <v>1206</v>
      </c>
      <c r="C1124" s="8">
        <v>1099.0</v>
      </c>
      <c r="D1124" s="8">
        <v>1795.0</v>
      </c>
      <c r="E1124" s="9">
        <v>0.39</v>
      </c>
      <c r="F1124" s="10">
        <v>4.2</v>
      </c>
      <c r="G1124" s="11">
        <v>4244.0</v>
      </c>
      <c r="I1124" s="7"/>
      <c r="J1124" s="7"/>
      <c r="K1124" s="13" t="str">
        <f>IF(discount&gt;50%, product, "")</f>
        <v/>
      </c>
      <c r="L1124" s="7"/>
      <c r="M1124" s="7"/>
      <c r="N1124" s="7"/>
      <c r="O1124" s="14"/>
      <c r="P1124" s="14"/>
    </row>
    <row r="1125">
      <c r="A1125" s="7" t="s">
        <v>1220</v>
      </c>
      <c r="B1125" s="7" t="s">
        <v>1091</v>
      </c>
      <c r="C1125" s="8">
        <v>9590.0</v>
      </c>
      <c r="D1125" s="8">
        <v>15999.0</v>
      </c>
      <c r="E1125" s="9">
        <v>0.4</v>
      </c>
      <c r="F1125" s="10">
        <v>4.1</v>
      </c>
      <c r="G1125" s="11">
        <v>1017.0</v>
      </c>
      <c r="I1125" s="7"/>
      <c r="J1125" s="7"/>
      <c r="K1125" s="13" t="str">
        <f>IF(discount&gt;50%, product, "")</f>
        <v/>
      </c>
      <c r="L1125" s="7"/>
      <c r="M1125" s="7"/>
      <c r="N1125" s="7"/>
      <c r="O1125" s="14"/>
      <c r="P1125" s="14"/>
    </row>
    <row r="1126">
      <c r="A1126" s="7" t="s">
        <v>1221</v>
      </c>
      <c r="B1126" s="7" t="s">
        <v>1222</v>
      </c>
      <c r="C1126" s="8">
        <v>999.0</v>
      </c>
      <c r="D1126" s="8">
        <v>1490.0</v>
      </c>
      <c r="E1126" s="9">
        <v>0.33</v>
      </c>
      <c r="F1126" s="10">
        <v>4.1</v>
      </c>
      <c r="G1126" s="11">
        <v>12999.0</v>
      </c>
      <c r="I1126" s="7"/>
      <c r="J1126" s="7"/>
      <c r="K1126" s="13" t="str">
        <f>IF(discount&gt;50%, product, "")</f>
        <v/>
      </c>
      <c r="L1126" s="7"/>
      <c r="M1126" s="7"/>
      <c r="N1126" s="7"/>
      <c r="O1126" s="14"/>
      <c r="P1126" s="14"/>
    </row>
    <row r="1127">
      <c r="A1127" s="7" t="s">
        <v>1223</v>
      </c>
      <c r="B1127" s="7" t="s">
        <v>1121</v>
      </c>
      <c r="C1127" s="8">
        <v>1299.0</v>
      </c>
      <c r="D1127" s="8">
        <v>1999.0</v>
      </c>
      <c r="E1127" s="9">
        <v>0.35</v>
      </c>
      <c r="F1127" s="10">
        <v>3.8</v>
      </c>
      <c r="G1127" s="10">
        <v>311.0</v>
      </c>
      <c r="I1127" s="7"/>
      <c r="J1127" s="7"/>
      <c r="K1127" s="13" t="str">
        <f>IF(discount&gt;50%, product, "")</f>
        <v/>
      </c>
      <c r="L1127" s="7"/>
      <c r="M1127" s="7"/>
      <c r="N1127" s="7"/>
      <c r="O1127" s="14"/>
      <c r="P1127" s="14"/>
    </row>
    <row r="1128">
      <c r="A1128" s="7" t="s">
        <v>1224</v>
      </c>
      <c r="B1128" s="7" t="s">
        <v>1225</v>
      </c>
      <c r="C1128" s="8">
        <v>292.0</v>
      </c>
      <c r="D1128" s="8">
        <v>499.0</v>
      </c>
      <c r="E1128" s="9">
        <v>0.41</v>
      </c>
      <c r="F1128" s="10">
        <v>4.1</v>
      </c>
      <c r="G1128" s="11">
        <v>4238.0</v>
      </c>
      <c r="I1128" s="7"/>
      <c r="J1128" s="7"/>
      <c r="K1128" s="13" t="str">
        <f>IF(discount&gt;50%, product, "")</f>
        <v/>
      </c>
      <c r="L1128" s="7"/>
      <c r="M1128" s="7"/>
      <c r="N1128" s="7"/>
      <c r="O1128" s="14"/>
      <c r="P1128" s="14"/>
    </row>
    <row r="1129">
      <c r="A1129" s="7" t="s">
        <v>1226</v>
      </c>
      <c r="B1129" s="7" t="s">
        <v>1184</v>
      </c>
      <c r="C1129" s="8">
        <v>160.0</v>
      </c>
      <c r="D1129" s="8">
        <v>299.0</v>
      </c>
      <c r="E1129" s="9">
        <v>0.46</v>
      </c>
      <c r="F1129" s="10">
        <v>4.6</v>
      </c>
      <c r="G1129" s="11">
        <v>2781.0</v>
      </c>
      <c r="I1129" s="7"/>
      <c r="J1129" s="7"/>
      <c r="K1129" s="13" t="str">
        <f>IF(discount&gt;50%, product, "")</f>
        <v/>
      </c>
      <c r="L1129" s="7"/>
      <c r="M1129" s="7"/>
      <c r="N1129" s="7"/>
      <c r="O1129" s="14"/>
      <c r="P1129" s="14"/>
    </row>
    <row r="1130">
      <c r="A1130" s="7" t="s">
        <v>1227</v>
      </c>
      <c r="B1130" s="7" t="s">
        <v>1228</v>
      </c>
      <c r="C1130" s="8">
        <v>600.0</v>
      </c>
      <c r="D1130" s="8">
        <v>600.0</v>
      </c>
      <c r="E1130" s="9">
        <v>0.0</v>
      </c>
      <c r="F1130" s="10">
        <v>4.1</v>
      </c>
      <c r="G1130" s="11">
        <v>10907.0</v>
      </c>
      <c r="I1130" s="7"/>
      <c r="J1130" s="7"/>
      <c r="K1130" s="13" t="str">
        <f>IF(discount&gt;50%, product, "")</f>
        <v/>
      </c>
      <c r="L1130" s="7"/>
      <c r="M1130" s="7"/>
      <c r="N1130" s="7"/>
      <c r="O1130" s="14"/>
      <c r="P1130" s="14"/>
    </row>
    <row r="1131">
      <c r="A1131" s="7" t="s">
        <v>1229</v>
      </c>
      <c r="B1131" s="7" t="s">
        <v>1230</v>
      </c>
      <c r="C1131" s="8">
        <v>1130.0</v>
      </c>
      <c r="D1131" s="8">
        <v>1130.0</v>
      </c>
      <c r="E1131" s="9">
        <v>0.0</v>
      </c>
      <c r="F1131" s="10">
        <v>4.2</v>
      </c>
      <c r="G1131" s="11">
        <v>13250.0</v>
      </c>
      <c r="I1131" s="7"/>
      <c r="J1131" s="7"/>
      <c r="K1131" s="13" t="str">
        <f>IF(discount&gt;50%, product, "")</f>
        <v/>
      </c>
      <c r="L1131" s="7"/>
      <c r="M1131" s="7"/>
      <c r="N1131" s="7"/>
      <c r="O1131" s="14"/>
      <c r="P1131" s="14"/>
    </row>
    <row r="1132">
      <c r="A1132" s="7" t="s">
        <v>1231</v>
      </c>
      <c r="B1132" s="7" t="s">
        <v>1113</v>
      </c>
      <c r="C1132" s="8">
        <v>3249.0</v>
      </c>
      <c r="D1132" s="8">
        <v>6295.0</v>
      </c>
      <c r="E1132" s="9">
        <v>0.48</v>
      </c>
      <c r="F1132" s="10">
        <v>3.9</v>
      </c>
      <c r="G1132" s="11">
        <v>43070.0</v>
      </c>
      <c r="I1132" s="7"/>
      <c r="J1132" s="7"/>
      <c r="K1132" s="13" t="str">
        <f>IF(discount&gt;50%, product, "")</f>
        <v/>
      </c>
      <c r="L1132" s="7"/>
      <c r="M1132" s="7"/>
      <c r="N1132" s="7"/>
      <c r="O1132" s="14"/>
      <c r="P1132" s="14"/>
    </row>
    <row r="1133">
      <c r="A1133" s="7" t="s">
        <v>1232</v>
      </c>
      <c r="B1133" s="7" t="s">
        <v>1113</v>
      </c>
      <c r="C1133" s="8">
        <v>3599.0</v>
      </c>
      <c r="D1133" s="8">
        <v>9455.0</v>
      </c>
      <c r="E1133" s="9">
        <v>0.62</v>
      </c>
      <c r="F1133" s="10">
        <v>4.1</v>
      </c>
      <c r="G1133" s="11">
        <v>11828.0</v>
      </c>
      <c r="I1133" s="7"/>
      <c r="J1133" s="7"/>
      <c r="K1133" s="13" t="str">
        <f>IF(discount&gt;50%, product, "")</f>
        <v>Preethi Blue Leaf Diamond MG-214 mixer grinder 750 watt (Blue/White), 3 jars &amp; Flexi Lid, FBT motor with 2yr Guarantee &amp; Lifelong Free Service</v>
      </c>
      <c r="L1133" s="7"/>
      <c r="M1133" s="7"/>
      <c r="N1133" s="7"/>
      <c r="O1133" s="14"/>
      <c r="P1133" s="14"/>
    </row>
    <row r="1134">
      <c r="A1134" s="7" t="s">
        <v>1233</v>
      </c>
      <c r="B1134" s="7" t="s">
        <v>1155</v>
      </c>
      <c r="C1134" s="8">
        <v>368.0</v>
      </c>
      <c r="D1134" s="8">
        <v>699.0</v>
      </c>
      <c r="E1134" s="9">
        <v>0.47</v>
      </c>
      <c r="F1134" s="10">
        <v>4.1</v>
      </c>
      <c r="G1134" s="11">
        <v>1240.0</v>
      </c>
      <c r="I1134" s="7"/>
      <c r="J1134" s="7"/>
      <c r="K1134" s="13" t="str">
        <f>IF(discount&gt;50%, product, "")</f>
        <v/>
      </c>
      <c r="L1134" s="7"/>
      <c r="M1134" s="7"/>
      <c r="N1134" s="7"/>
      <c r="O1134" s="14"/>
      <c r="P1134" s="14"/>
    </row>
    <row r="1135">
      <c r="A1135" s="7" t="s">
        <v>1234</v>
      </c>
      <c r="B1135" s="7" t="s">
        <v>1113</v>
      </c>
      <c r="C1135" s="8">
        <v>3199.0</v>
      </c>
      <c r="D1135" s="8">
        <v>4999.0</v>
      </c>
      <c r="E1135" s="9">
        <v>0.36</v>
      </c>
      <c r="F1135" s="10">
        <v>4.0</v>
      </c>
      <c r="G1135" s="11">
        <v>20869.0</v>
      </c>
      <c r="I1135" s="7"/>
      <c r="J1135" s="7"/>
      <c r="K1135" s="13" t="str">
        <f>IF(discount&gt;50%, product, "")</f>
        <v/>
      </c>
      <c r="L1135" s="7"/>
      <c r="M1135" s="7"/>
      <c r="N1135" s="7"/>
      <c r="O1135" s="14"/>
      <c r="P1135" s="14"/>
    </row>
    <row r="1136">
      <c r="A1136" s="7" t="s">
        <v>1235</v>
      </c>
      <c r="B1136" s="7" t="s">
        <v>1236</v>
      </c>
      <c r="C1136" s="8">
        <v>1599.0</v>
      </c>
      <c r="D1136" s="8">
        <v>2900.0</v>
      </c>
      <c r="E1136" s="9">
        <v>0.45</v>
      </c>
      <c r="F1136" s="10">
        <v>3.7</v>
      </c>
      <c r="G1136" s="10">
        <v>441.0</v>
      </c>
      <c r="I1136" s="7"/>
      <c r="J1136" s="7"/>
      <c r="K1136" s="13" t="str">
        <f>IF(discount&gt;50%, product, "")</f>
        <v/>
      </c>
      <c r="L1136" s="7"/>
      <c r="M1136" s="7"/>
      <c r="N1136" s="7"/>
      <c r="O1136" s="14"/>
      <c r="P1136" s="14"/>
    </row>
    <row r="1137">
      <c r="A1137" s="7" t="s">
        <v>1237</v>
      </c>
      <c r="B1137" s="7" t="s">
        <v>1109</v>
      </c>
      <c r="C1137" s="8">
        <v>1999.0</v>
      </c>
      <c r="D1137" s="8">
        <v>2499.0</v>
      </c>
      <c r="E1137" s="9">
        <v>0.2</v>
      </c>
      <c r="F1137" s="10">
        <v>4.1</v>
      </c>
      <c r="G1137" s="11">
        <v>1034.0</v>
      </c>
      <c r="I1137" s="7"/>
      <c r="J1137" s="7"/>
      <c r="K1137" s="13" t="str">
        <f>IF(discount&gt;50%, product, "")</f>
        <v/>
      </c>
      <c r="L1137" s="7"/>
      <c r="M1137" s="7"/>
      <c r="N1137" s="7"/>
      <c r="O1137" s="14"/>
      <c r="P1137" s="14"/>
    </row>
    <row r="1138">
      <c r="A1138" s="7" t="s">
        <v>1238</v>
      </c>
      <c r="B1138" s="7" t="s">
        <v>1111</v>
      </c>
      <c r="C1138" s="8">
        <v>616.0</v>
      </c>
      <c r="D1138" s="8">
        <v>1190.0</v>
      </c>
      <c r="E1138" s="9">
        <v>0.48</v>
      </c>
      <c r="F1138" s="10">
        <v>4.1</v>
      </c>
      <c r="G1138" s="11">
        <v>37126.0</v>
      </c>
      <c r="I1138" s="7"/>
      <c r="J1138" s="7"/>
      <c r="K1138" s="13" t="str">
        <f>IF(discount&gt;50%, product, "")</f>
        <v/>
      </c>
      <c r="L1138" s="7"/>
      <c r="M1138" s="7"/>
      <c r="N1138" s="7"/>
      <c r="O1138" s="14"/>
      <c r="P1138" s="14"/>
    </row>
    <row r="1139">
      <c r="A1139" s="7" t="s">
        <v>1239</v>
      </c>
      <c r="B1139" s="7" t="s">
        <v>1109</v>
      </c>
      <c r="C1139" s="8">
        <v>1499.0</v>
      </c>
      <c r="D1139" s="8">
        <v>2100.0</v>
      </c>
      <c r="E1139" s="9">
        <v>0.29</v>
      </c>
      <c r="F1139" s="10">
        <v>4.1</v>
      </c>
      <c r="G1139" s="11">
        <v>6355.0</v>
      </c>
      <c r="I1139" s="7"/>
      <c r="J1139" s="7"/>
      <c r="K1139" s="13" t="str">
        <f>IF(discount&gt;50%, product, "")</f>
        <v/>
      </c>
      <c r="L1139" s="7"/>
      <c r="M1139" s="7"/>
      <c r="N1139" s="7"/>
      <c r="O1139" s="14"/>
      <c r="P1139" s="14"/>
    </row>
    <row r="1140">
      <c r="A1140" s="7" t="s">
        <v>1240</v>
      </c>
      <c r="B1140" s="7" t="s">
        <v>1184</v>
      </c>
      <c r="C1140" s="8">
        <v>199.0</v>
      </c>
      <c r="D1140" s="8">
        <v>499.0</v>
      </c>
      <c r="E1140" s="9">
        <v>0.6</v>
      </c>
      <c r="F1140" s="10">
        <v>3.3</v>
      </c>
      <c r="G1140" s="10">
        <v>12.0</v>
      </c>
      <c r="I1140" s="7"/>
      <c r="J1140" s="7"/>
      <c r="K1140" s="13" t="str">
        <f>IF(discount&gt;50%, product, "")</f>
        <v>White Feather Portable Heat Sealer Mini Sealing Machine for Food Storage Vacuum Bag, Chip, Plastic, Snack Bags, Package Home Closer Storage Tool (Multicolor) Random Colour</v>
      </c>
      <c r="L1140" s="7"/>
      <c r="M1140" s="7"/>
      <c r="N1140" s="7"/>
      <c r="O1140" s="14"/>
      <c r="P1140" s="14"/>
    </row>
    <row r="1141">
      <c r="A1141" s="7" t="s">
        <v>1241</v>
      </c>
      <c r="B1141" s="7" t="s">
        <v>1131</v>
      </c>
      <c r="C1141" s="8">
        <v>610.0</v>
      </c>
      <c r="D1141" s="8">
        <v>825.0</v>
      </c>
      <c r="E1141" s="9">
        <v>0.26</v>
      </c>
      <c r="F1141" s="10">
        <v>4.1</v>
      </c>
      <c r="G1141" s="11">
        <v>13165.0</v>
      </c>
      <c r="I1141" s="7"/>
      <c r="J1141" s="7"/>
      <c r="K1141" s="13" t="str">
        <f>IF(discount&gt;50%, product, "")</f>
        <v/>
      </c>
      <c r="L1141" s="7"/>
      <c r="M1141" s="7"/>
      <c r="N1141" s="7"/>
      <c r="O1141" s="14"/>
      <c r="P1141" s="14"/>
    </row>
    <row r="1142">
      <c r="A1142" s="7" t="s">
        <v>1242</v>
      </c>
      <c r="B1142" s="7" t="s">
        <v>1173</v>
      </c>
      <c r="C1142" s="8">
        <v>999.0</v>
      </c>
      <c r="D1142" s="8">
        <v>1499.0</v>
      </c>
      <c r="E1142" s="9">
        <v>0.33</v>
      </c>
      <c r="F1142" s="10">
        <v>4.1</v>
      </c>
      <c r="G1142" s="11">
        <v>1646.0</v>
      </c>
      <c r="I1142" s="7"/>
      <c r="J1142" s="7"/>
      <c r="K1142" s="13" t="str">
        <f>IF(discount&gt;50%, product, "")</f>
        <v/>
      </c>
      <c r="L1142" s="7"/>
      <c r="M1142" s="7"/>
      <c r="N1142" s="7"/>
      <c r="O1142" s="14"/>
      <c r="P1142" s="14"/>
    </row>
    <row r="1143">
      <c r="A1143" s="7" t="s">
        <v>1243</v>
      </c>
      <c r="B1143" s="7" t="s">
        <v>1190</v>
      </c>
      <c r="C1143" s="8">
        <v>8999.0</v>
      </c>
      <c r="D1143" s="8">
        <v>9995.0</v>
      </c>
      <c r="E1143" s="9">
        <v>0.1</v>
      </c>
      <c r="F1143" s="10">
        <v>4.4</v>
      </c>
      <c r="G1143" s="11">
        <v>17994.0</v>
      </c>
      <c r="I1143" s="7"/>
      <c r="J1143" s="7"/>
      <c r="K1143" s="13" t="str">
        <f>IF(discount&gt;50%, product, "")</f>
        <v/>
      </c>
      <c r="L1143" s="7"/>
      <c r="M1143" s="7"/>
      <c r="N1143" s="7"/>
      <c r="O1143" s="14"/>
      <c r="P1143" s="14"/>
    </row>
    <row r="1144">
      <c r="A1144" s="7" t="s">
        <v>1244</v>
      </c>
      <c r="B1144" s="7" t="s">
        <v>1093</v>
      </c>
      <c r="C1144" s="8">
        <v>453.0</v>
      </c>
      <c r="D1144" s="8">
        <v>999.0</v>
      </c>
      <c r="E1144" s="9">
        <v>0.55</v>
      </c>
      <c r="F1144" s="10">
        <v>4.3</v>
      </c>
      <c r="G1144" s="10">
        <v>610.0</v>
      </c>
      <c r="I1144" s="7"/>
      <c r="J1144" s="7"/>
      <c r="K1144" s="13" t="str">
        <f>IF(discount&gt;50%, product, "")</f>
        <v>SAIELLIN Electric Lint Remover for Clothes Fabric Shaver Lint Shaver for Woolen Clothes Blanket Jackets Stainless Steel Blades, Clothes and Furniture Lint Roller for Fabrics Portable Lint Shavers (White Orange)</v>
      </c>
      <c r="L1144" s="7"/>
      <c r="M1144" s="7"/>
      <c r="N1144" s="7"/>
      <c r="O1144" s="14"/>
      <c r="P1144" s="14"/>
    </row>
    <row r="1145">
      <c r="A1145" s="7" t="s">
        <v>1245</v>
      </c>
      <c r="B1145" s="7" t="s">
        <v>1113</v>
      </c>
      <c r="C1145" s="8">
        <v>2464.0</v>
      </c>
      <c r="D1145" s="8">
        <v>6000.0</v>
      </c>
      <c r="E1145" s="9">
        <v>0.59</v>
      </c>
      <c r="F1145" s="10">
        <v>4.1</v>
      </c>
      <c r="G1145" s="11">
        <v>8866.0</v>
      </c>
      <c r="I1145" s="7"/>
      <c r="J1145" s="7"/>
      <c r="K1145" s="13" t="str">
        <f>IF(discount&gt;50%, product, "")</f>
        <v>Cookwell Bullet Mixer Grinder (5 Jars, 3 Blades, Silver)</v>
      </c>
      <c r="L1145" s="7"/>
      <c r="M1145" s="7"/>
      <c r="N1145" s="7"/>
      <c r="O1145" s="14"/>
      <c r="P1145" s="14"/>
    </row>
    <row r="1146">
      <c r="A1146" s="7" t="s">
        <v>1246</v>
      </c>
      <c r="B1146" s="7" t="s">
        <v>1236</v>
      </c>
      <c r="C1146" s="8">
        <v>2719.0</v>
      </c>
      <c r="D1146" s="8">
        <v>3945.0</v>
      </c>
      <c r="E1146" s="9">
        <v>0.31</v>
      </c>
      <c r="F1146" s="10">
        <v>3.7</v>
      </c>
      <c r="G1146" s="11">
        <v>13406.0</v>
      </c>
      <c r="I1146" s="7"/>
      <c r="J1146" s="7"/>
      <c r="K1146" s="13" t="str">
        <f>IF(discount&gt;50%, product, "")</f>
        <v/>
      </c>
      <c r="L1146" s="7"/>
      <c r="M1146" s="7"/>
      <c r="N1146" s="7"/>
      <c r="O1146" s="14"/>
      <c r="P1146" s="14"/>
    </row>
    <row r="1147">
      <c r="A1147" s="7" t="s">
        <v>1247</v>
      </c>
      <c r="B1147" s="7" t="s">
        <v>1115</v>
      </c>
      <c r="C1147" s="8">
        <v>1439.0</v>
      </c>
      <c r="D1147" s="8">
        <v>1999.0</v>
      </c>
      <c r="E1147" s="9">
        <v>0.28</v>
      </c>
      <c r="F1147" s="10">
        <v>4.8</v>
      </c>
      <c r="G1147" s="11">
        <v>53803.0</v>
      </c>
      <c r="I1147" s="7"/>
      <c r="J1147" s="7"/>
      <c r="K1147" s="13" t="str">
        <f>IF(discount&gt;50%, product, "")</f>
        <v/>
      </c>
      <c r="L1147" s="7"/>
      <c r="M1147" s="7"/>
      <c r="N1147" s="7"/>
      <c r="O1147" s="14"/>
      <c r="P1147" s="14"/>
    </row>
    <row r="1148">
      <c r="A1148" s="7" t="s">
        <v>1248</v>
      </c>
      <c r="B1148" s="7" t="s">
        <v>1109</v>
      </c>
      <c r="C1148" s="8">
        <v>2799.0</v>
      </c>
      <c r="D1148" s="8">
        <v>3499.0</v>
      </c>
      <c r="E1148" s="9">
        <v>0.2</v>
      </c>
      <c r="F1148" s="10">
        <v>4.5</v>
      </c>
      <c r="G1148" s="10">
        <v>546.0</v>
      </c>
      <c r="I1148" s="7"/>
      <c r="J1148" s="7"/>
      <c r="K1148" s="13" t="str">
        <f>IF(discount&gt;50%, product, "")</f>
        <v/>
      </c>
      <c r="L1148" s="7"/>
      <c r="M1148" s="7"/>
      <c r="N1148" s="7"/>
      <c r="O1148" s="14"/>
      <c r="P1148" s="14"/>
    </row>
    <row r="1149">
      <c r="A1149" s="7" t="s">
        <v>1249</v>
      </c>
      <c r="B1149" s="7" t="s">
        <v>1115</v>
      </c>
      <c r="C1149" s="8">
        <v>2088.0</v>
      </c>
      <c r="D1149" s="8">
        <v>5550.0</v>
      </c>
      <c r="E1149" s="9">
        <v>0.62</v>
      </c>
      <c r="F1149" s="10">
        <v>4.0</v>
      </c>
      <c r="G1149" s="11">
        <v>5292.0</v>
      </c>
      <c r="I1149" s="7"/>
      <c r="J1149" s="7"/>
      <c r="K1149" s="13" t="str">
        <f>IF(discount&gt;50%, product, "")</f>
        <v>Lifelong LLWH106 Flash 3 Litres Instant Water Heater for Home Use, 8 Bar Pressure,Power On/Off Indicator and Advanced Safety, (3000W, ISI Certified, 2 Years Warranty)</v>
      </c>
      <c r="L1149" s="7"/>
      <c r="M1149" s="7"/>
      <c r="N1149" s="7"/>
      <c r="O1149" s="14"/>
      <c r="P1149" s="14"/>
    </row>
    <row r="1150">
      <c r="A1150" s="7" t="s">
        <v>1250</v>
      </c>
      <c r="B1150" s="7" t="s">
        <v>1115</v>
      </c>
      <c r="C1150" s="8">
        <v>2399.0</v>
      </c>
      <c r="D1150" s="8">
        <v>4590.0</v>
      </c>
      <c r="E1150" s="9">
        <v>0.48</v>
      </c>
      <c r="F1150" s="10">
        <v>4.1</v>
      </c>
      <c r="G1150" s="10">
        <v>444.0</v>
      </c>
      <c r="I1150" s="7"/>
      <c r="J1150" s="7"/>
      <c r="K1150" s="13" t="str">
        <f>IF(discount&gt;50%, product, "")</f>
        <v/>
      </c>
      <c r="L1150" s="7"/>
      <c r="M1150" s="7"/>
      <c r="N1150" s="7"/>
      <c r="O1150" s="14"/>
      <c r="P1150" s="14"/>
    </row>
    <row r="1151">
      <c r="A1151" s="7" t="s">
        <v>1251</v>
      </c>
      <c r="B1151" s="7" t="s">
        <v>1095</v>
      </c>
      <c r="C1151" s="8">
        <v>308.0</v>
      </c>
      <c r="D1151" s="8">
        <v>499.0</v>
      </c>
      <c r="E1151" s="9">
        <v>0.38</v>
      </c>
      <c r="F1151" s="10">
        <v>3.9</v>
      </c>
      <c r="G1151" s="11">
        <v>4584.0</v>
      </c>
      <c r="I1151" s="7"/>
      <c r="J1151" s="7"/>
      <c r="K1151" s="13" t="str">
        <f>IF(discount&gt;50%, product, "")</f>
        <v/>
      </c>
      <c r="L1151" s="7"/>
      <c r="M1151" s="7"/>
      <c r="N1151" s="7"/>
      <c r="O1151" s="14"/>
      <c r="P1151" s="14"/>
    </row>
    <row r="1152">
      <c r="A1152" s="7" t="s">
        <v>1252</v>
      </c>
      <c r="B1152" s="7" t="s">
        <v>1115</v>
      </c>
      <c r="C1152" s="8">
        <v>2599.0</v>
      </c>
      <c r="D1152" s="8">
        <v>4400.0</v>
      </c>
      <c r="E1152" s="9">
        <v>0.41</v>
      </c>
      <c r="F1152" s="10">
        <v>4.1</v>
      </c>
      <c r="G1152" s="11">
        <v>14947.0</v>
      </c>
      <c r="I1152" s="7"/>
      <c r="J1152" s="7"/>
      <c r="K1152" s="13" t="str">
        <f>IF(discount&gt;50%, product, "")</f>
        <v/>
      </c>
      <c r="L1152" s="7"/>
      <c r="M1152" s="7"/>
      <c r="N1152" s="7"/>
      <c r="O1152" s="14"/>
      <c r="P1152" s="14"/>
    </row>
    <row r="1153">
      <c r="A1153" s="7" t="s">
        <v>1253</v>
      </c>
      <c r="B1153" s="7" t="s">
        <v>1111</v>
      </c>
      <c r="C1153" s="8">
        <v>479.0</v>
      </c>
      <c r="D1153" s="8">
        <v>1000.0</v>
      </c>
      <c r="E1153" s="9">
        <v>0.52</v>
      </c>
      <c r="F1153" s="10">
        <v>4.2</v>
      </c>
      <c r="G1153" s="11">
        <v>1559.0</v>
      </c>
      <c r="I1153" s="7"/>
      <c r="J1153" s="7"/>
      <c r="K1153" s="13" t="str">
        <f>IF(discount&gt;50%, product, "")</f>
        <v>Croma 1100 W Dry Iron with Weilburger Dual Soleplate Coating (CRSHAH702SIR11, White)</v>
      </c>
      <c r="L1153" s="7"/>
      <c r="M1153" s="7"/>
      <c r="N1153" s="7"/>
      <c r="O1153" s="14"/>
      <c r="P1153" s="14"/>
    </row>
    <row r="1154">
      <c r="A1154" s="7" t="s">
        <v>1254</v>
      </c>
      <c r="B1154" s="7" t="s">
        <v>1093</v>
      </c>
      <c r="C1154" s="8">
        <v>245.0</v>
      </c>
      <c r="D1154" s="8">
        <v>299.0</v>
      </c>
      <c r="E1154" s="9">
        <v>0.18</v>
      </c>
      <c r="F1154" s="10">
        <v>4.1</v>
      </c>
      <c r="G1154" s="11">
        <v>1660.0</v>
      </c>
      <c r="I1154" s="7"/>
      <c r="J1154" s="7"/>
      <c r="K1154" s="13" t="str">
        <f>IF(discount&gt;50%, product, "")</f>
        <v/>
      </c>
      <c r="L1154" s="7"/>
      <c r="M1154" s="7"/>
      <c r="N1154" s="7"/>
      <c r="O1154" s="14"/>
      <c r="P1154" s="14"/>
    </row>
    <row r="1155">
      <c r="A1155" s="7" t="s">
        <v>1255</v>
      </c>
      <c r="B1155" s="7" t="s">
        <v>1093</v>
      </c>
      <c r="C1155" s="8">
        <v>179.0</v>
      </c>
      <c r="D1155" s="8">
        <v>799.0</v>
      </c>
      <c r="E1155" s="9">
        <v>0.78</v>
      </c>
      <c r="F1155" s="10">
        <v>3.5</v>
      </c>
      <c r="G1155" s="10">
        <v>132.0</v>
      </c>
      <c r="I1155" s="7"/>
      <c r="J1155" s="7"/>
      <c r="K1155" s="13" t="str">
        <f>IF(discount&gt;50%, product, "")</f>
        <v>Portable Lint Remover Pet Fur Remover Clothes Fuzz Remover Pet Hairball Quick Epilator Shaver Removing Dust Pet Hair from Clothing Furniture Perfect for Clothing,Furniture,Couch,Carpet (Standard)</v>
      </c>
      <c r="L1155" s="7"/>
      <c r="M1155" s="7"/>
      <c r="N1155" s="7"/>
      <c r="O1155" s="14"/>
      <c r="P1155" s="14"/>
    </row>
    <row r="1156">
      <c r="A1156" s="7" t="s">
        <v>1256</v>
      </c>
      <c r="B1156" s="7" t="s">
        <v>1186</v>
      </c>
      <c r="C1156" s="8">
        <v>3569.0</v>
      </c>
      <c r="D1156" s="8">
        <v>5190.0</v>
      </c>
      <c r="E1156" s="9">
        <v>0.31</v>
      </c>
      <c r="F1156" s="10">
        <v>4.3</v>
      </c>
      <c r="G1156" s="11">
        <v>28629.0</v>
      </c>
      <c r="I1156" s="7"/>
      <c r="J1156" s="7"/>
      <c r="K1156" s="13" t="str">
        <f>IF(discount&gt;50%, product, "")</f>
        <v/>
      </c>
      <c r="L1156" s="7"/>
      <c r="M1156" s="7"/>
      <c r="N1156" s="7"/>
      <c r="O1156" s="14"/>
      <c r="P1156" s="14"/>
    </row>
    <row r="1157">
      <c r="A1157" s="7" t="s">
        <v>1257</v>
      </c>
      <c r="B1157" s="7" t="s">
        <v>1086</v>
      </c>
      <c r="C1157" s="8">
        <v>699.0</v>
      </c>
      <c r="D1157" s="8">
        <v>1345.0</v>
      </c>
      <c r="E1157" s="9">
        <v>0.48</v>
      </c>
      <c r="F1157" s="10">
        <v>3.9</v>
      </c>
      <c r="G1157" s="11">
        <v>8446.0</v>
      </c>
      <c r="I1157" s="7"/>
      <c r="J1157" s="7"/>
      <c r="K1157" s="13" t="str">
        <f>IF(discount&gt;50%, product, "")</f>
        <v/>
      </c>
      <c r="L1157" s="7"/>
      <c r="M1157" s="7"/>
      <c r="N1157" s="7"/>
      <c r="O1157" s="14"/>
      <c r="P1157" s="14"/>
    </row>
    <row r="1158">
      <c r="A1158" s="7" t="s">
        <v>1258</v>
      </c>
      <c r="B1158" s="7" t="s">
        <v>1104</v>
      </c>
      <c r="C1158" s="8">
        <v>2089.0</v>
      </c>
      <c r="D1158" s="8">
        <v>4000.0</v>
      </c>
      <c r="E1158" s="9">
        <v>0.48</v>
      </c>
      <c r="F1158" s="10">
        <v>4.2</v>
      </c>
      <c r="G1158" s="11">
        <v>11199.0</v>
      </c>
      <c r="I1158" s="7"/>
      <c r="J1158" s="7"/>
      <c r="K1158" s="13" t="str">
        <f>IF(discount&gt;50%, product, "")</f>
        <v/>
      </c>
      <c r="L1158" s="7"/>
      <c r="M1158" s="7"/>
      <c r="N1158" s="7"/>
      <c r="O1158" s="14"/>
      <c r="P1158" s="14"/>
    </row>
    <row r="1159">
      <c r="A1159" s="7" t="s">
        <v>1259</v>
      </c>
      <c r="B1159" s="7" t="s">
        <v>1260</v>
      </c>
      <c r="C1159" s="8">
        <v>2339.0</v>
      </c>
      <c r="D1159" s="8">
        <v>4000.0</v>
      </c>
      <c r="E1159" s="9">
        <v>0.42</v>
      </c>
      <c r="F1159" s="10">
        <v>3.8</v>
      </c>
      <c r="G1159" s="11">
        <v>1118.0</v>
      </c>
      <c r="I1159" s="7"/>
      <c r="J1159" s="7"/>
      <c r="K1159" s="13" t="str">
        <f>IF(discount&gt;50%, product, "")</f>
        <v/>
      </c>
      <c r="L1159" s="7"/>
      <c r="M1159" s="7"/>
      <c r="N1159" s="7"/>
      <c r="O1159" s="14"/>
      <c r="P1159" s="14"/>
    </row>
    <row r="1160">
      <c r="A1160" s="7" t="s">
        <v>1261</v>
      </c>
      <c r="B1160" s="7" t="s">
        <v>1091</v>
      </c>
      <c r="C1160" s="8">
        <v>784.0</v>
      </c>
      <c r="D1160" s="8">
        <v>1599.0</v>
      </c>
      <c r="E1160" s="9">
        <v>0.51</v>
      </c>
      <c r="F1160" s="10">
        <v>4.5</v>
      </c>
      <c r="G1160" s="10">
        <v>11.0</v>
      </c>
      <c r="I1160" s="7"/>
      <c r="J1160" s="7"/>
      <c r="K1160" s="13" t="str">
        <f>IF(discount&gt;50%, product, "")</f>
        <v>!!1000 Watt/2000-Watt Room Heater!! Fan Heater!!Pure White!!HN-2500!!Made in India!!</v>
      </c>
      <c r="L1160" s="7"/>
      <c r="M1160" s="7"/>
      <c r="N1160" s="7"/>
      <c r="O1160" s="14"/>
      <c r="P1160" s="14"/>
    </row>
    <row r="1161">
      <c r="A1161" s="7" t="s">
        <v>1262</v>
      </c>
      <c r="B1161" s="7" t="s">
        <v>1263</v>
      </c>
      <c r="C1161" s="8">
        <v>5499.0</v>
      </c>
      <c r="D1161" s="8">
        <v>9999.0</v>
      </c>
      <c r="E1161" s="9">
        <v>0.45</v>
      </c>
      <c r="F1161" s="10">
        <v>3.8</v>
      </c>
      <c r="G1161" s="11">
        <v>4353.0</v>
      </c>
      <c r="I1161" s="7"/>
      <c r="J1161" s="7"/>
      <c r="K1161" s="13" t="str">
        <f>IF(discount&gt;50%, product, "")</f>
        <v/>
      </c>
      <c r="L1161" s="7"/>
      <c r="M1161" s="7"/>
      <c r="N1161" s="7"/>
      <c r="O1161" s="14"/>
      <c r="P1161" s="14"/>
    </row>
    <row r="1162">
      <c r="A1162" s="7" t="s">
        <v>1264</v>
      </c>
      <c r="B1162" s="7" t="s">
        <v>1091</v>
      </c>
      <c r="C1162" s="8">
        <v>899.0</v>
      </c>
      <c r="D1162" s="8">
        <v>1990.0</v>
      </c>
      <c r="E1162" s="9">
        <v>0.55</v>
      </c>
      <c r="F1162" s="10">
        <v>4.1</v>
      </c>
      <c r="G1162" s="10">
        <v>185.0</v>
      </c>
      <c r="I1162" s="7"/>
      <c r="J1162" s="7"/>
      <c r="K1162" s="13" t="str">
        <f>IF(discount&gt;50%, product, "")</f>
        <v>Activa Heat-Max 2000 Watts Room Heater (White color ) with ABS body</v>
      </c>
      <c r="L1162" s="7"/>
      <c r="M1162" s="7"/>
      <c r="N1162" s="7"/>
      <c r="O1162" s="14"/>
      <c r="P1162" s="14"/>
    </row>
    <row r="1163">
      <c r="A1163" s="7" t="s">
        <v>1265</v>
      </c>
      <c r="B1163" s="7" t="s">
        <v>1109</v>
      </c>
      <c r="C1163" s="8">
        <v>1695.0</v>
      </c>
      <c r="D1163" s="8">
        <v>1695.0</v>
      </c>
      <c r="E1163" s="9">
        <v>0.0</v>
      </c>
      <c r="F1163" s="10">
        <v>4.2</v>
      </c>
      <c r="G1163" s="11">
        <v>14290.0</v>
      </c>
      <c r="I1163" s="7"/>
      <c r="J1163" s="7"/>
      <c r="K1163" s="13" t="str">
        <f>IF(discount&gt;50%, product, "")</f>
        <v/>
      </c>
      <c r="L1163" s="7"/>
      <c r="M1163" s="7"/>
      <c r="N1163" s="7"/>
      <c r="O1163" s="14"/>
      <c r="P1163" s="14"/>
    </row>
    <row r="1164">
      <c r="A1164" s="7" t="s">
        <v>1266</v>
      </c>
      <c r="B1164" s="7" t="s">
        <v>1111</v>
      </c>
      <c r="C1164" s="8">
        <v>499.0</v>
      </c>
      <c r="D1164" s="8">
        <v>940.0</v>
      </c>
      <c r="E1164" s="9">
        <v>0.47</v>
      </c>
      <c r="F1164" s="10">
        <v>4.1</v>
      </c>
      <c r="G1164" s="11">
        <v>3036.0</v>
      </c>
      <c r="I1164" s="7"/>
      <c r="J1164" s="7"/>
      <c r="K1164" s="13" t="str">
        <f>IF(discount&gt;50%, product, "")</f>
        <v/>
      </c>
      <c r="L1164" s="7"/>
      <c r="M1164" s="7"/>
      <c r="N1164" s="7"/>
      <c r="O1164" s="14"/>
      <c r="P1164" s="14"/>
    </row>
    <row r="1165">
      <c r="A1165" s="7" t="s">
        <v>1267</v>
      </c>
      <c r="B1165" s="7" t="s">
        <v>1115</v>
      </c>
      <c r="C1165" s="8">
        <v>2699.0</v>
      </c>
      <c r="D1165" s="8">
        <v>4700.0</v>
      </c>
      <c r="E1165" s="9">
        <v>0.43</v>
      </c>
      <c r="F1165" s="10">
        <v>4.2</v>
      </c>
      <c r="G1165" s="11">
        <v>1296.0</v>
      </c>
      <c r="I1165" s="7"/>
      <c r="J1165" s="7"/>
      <c r="K1165" s="13" t="str">
        <f>IF(discount&gt;50%, product, "")</f>
        <v/>
      </c>
      <c r="L1165" s="7"/>
      <c r="M1165" s="7"/>
      <c r="N1165" s="7"/>
      <c r="O1165" s="14"/>
      <c r="P1165" s="14"/>
    </row>
    <row r="1166">
      <c r="A1166" s="7" t="s">
        <v>1268</v>
      </c>
      <c r="B1166" s="7" t="s">
        <v>1115</v>
      </c>
      <c r="C1166" s="8">
        <v>1448.0</v>
      </c>
      <c r="D1166" s="8">
        <v>2999.0</v>
      </c>
      <c r="E1166" s="9">
        <v>0.52</v>
      </c>
      <c r="F1166" s="10">
        <v>4.5</v>
      </c>
      <c r="G1166" s="10">
        <v>19.0</v>
      </c>
      <c r="I1166" s="7"/>
      <c r="J1166" s="7"/>
      <c r="K1166" s="13" t="str">
        <f>IF(discount&gt;50%, product, "")</f>
        <v>Homeistic Applience™ Instant Electric Water Heater Faucet Tap For Kitchen And Bathroom Sink Digital Water Heating Tap with Shower Head ABS Body- Shock Proof (Pack Of 1. White)</v>
      </c>
      <c r="L1166" s="7"/>
      <c r="M1166" s="7"/>
      <c r="N1166" s="7"/>
      <c r="O1166" s="14"/>
      <c r="P1166" s="14"/>
    </row>
    <row r="1167">
      <c r="A1167" s="7" t="s">
        <v>1269</v>
      </c>
      <c r="B1167" s="7" t="s">
        <v>1184</v>
      </c>
      <c r="C1167" s="8">
        <v>79.0</v>
      </c>
      <c r="D1167" s="8">
        <v>79.0</v>
      </c>
      <c r="E1167" s="9">
        <v>0.0</v>
      </c>
      <c r="F1167" s="10">
        <v>4.0</v>
      </c>
      <c r="G1167" s="10">
        <v>97.0</v>
      </c>
      <c r="I1167" s="7"/>
      <c r="J1167" s="7"/>
      <c r="K1167" s="13" t="str">
        <f>IF(discount&gt;50%, product, "")</f>
        <v/>
      </c>
      <c r="L1167" s="7"/>
      <c r="M1167" s="7"/>
      <c r="N1167" s="7"/>
      <c r="O1167" s="14"/>
      <c r="P1167" s="14"/>
    </row>
    <row r="1168">
      <c r="A1168" s="7" t="s">
        <v>1270</v>
      </c>
      <c r="B1168" s="7" t="s">
        <v>1123</v>
      </c>
      <c r="C1168" s="8">
        <v>6990.0</v>
      </c>
      <c r="D1168" s="8">
        <v>14290.0</v>
      </c>
      <c r="E1168" s="9">
        <v>0.51</v>
      </c>
      <c r="F1168" s="10">
        <v>4.4</v>
      </c>
      <c r="G1168" s="11">
        <v>1771.0</v>
      </c>
      <c r="I1168" s="7"/>
      <c r="J1168" s="7"/>
      <c r="K1168" s="13" t="str">
        <f>IF(discount&gt;50%, product, "")</f>
        <v>Havells Instanio 10 Litre Storage Water Heater with Flexi Pipe and Free installation (White Blue)</v>
      </c>
      <c r="L1168" s="7"/>
      <c r="M1168" s="7"/>
      <c r="N1168" s="7"/>
      <c r="O1168" s="14"/>
      <c r="P1168" s="14"/>
    </row>
    <row r="1169">
      <c r="A1169" s="7" t="s">
        <v>1271</v>
      </c>
      <c r="B1169" s="7" t="s">
        <v>1104</v>
      </c>
      <c r="C1169" s="8">
        <v>2698.0</v>
      </c>
      <c r="D1169" s="8">
        <v>3945.0</v>
      </c>
      <c r="E1169" s="9">
        <v>0.32</v>
      </c>
      <c r="F1169" s="10">
        <v>4.0</v>
      </c>
      <c r="G1169" s="11">
        <v>15034.0</v>
      </c>
      <c r="I1169" s="7"/>
      <c r="J1169" s="7"/>
      <c r="K1169" s="13" t="str">
        <f>IF(discount&gt;50%, product, "")</f>
        <v/>
      </c>
      <c r="L1169" s="7"/>
      <c r="M1169" s="7"/>
      <c r="N1169" s="7"/>
      <c r="O1169" s="14"/>
      <c r="P1169" s="14"/>
    </row>
    <row r="1170">
      <c r="A1170" s="7" t="s">
        <v>1272</v>
      </c>
      <c r="B1170" s="7" t="s">
        <v>1263</v>
      </c>
      <c r="C1170" s="8">
        <v>3199.0</v>
      </c>
      <c r="D1170" s="8">
        <v>5999.0</v>
      </c>
      <c r="E1170" s="9">
        <v>0.47</v>
      </c>
      <c r="F1170" s="10">
        <v>4.0</v>
      </c>
      <c r="G1170" s="11">
        <v>3242.0</v>
      </c>
      <c r="I1170" s="7"/>
      <c r="J1170" s="7"/>
      <c r="K1170" s="13" t="str">
        <f>IF(discount&gt;50%, product, "")</f>
        <v/>
      </c>
      <c r="L1170" s="7"/>
      <c r="M1170" s="7"/>
      <c r="N1170" s="7"/>
      <c r="O1170" s="14"/>
      <c r="P1170" s="14"/>
    </row>
    <row r="1171">
      <c r="A1171" s="7" t="s">
        <v>1273</v>
      </c>
      <c r="B1171" s="7" t="s">
        <v>1121</v>
      </c>
      <c r="C1171" s="8">
        <v>1199.0</v>
      </c>
      <c r="D1171" s="8">
        <v>1950.0</v>
      </c>
      <c r="E1171" s="9">
        <v>0.39</v>
      </c>
      <c r="F1171" s="10">
        <v>3.9</v>
      </c>
      <c r="G1171" s="11">
        <v>2832.0</v>
      </c>
      <c r="I1171" s="7"/>
      <c r="J1171" s="7"/>
      <c r="K1171" s="13" t="str">
        <f>IF(discount&gt;50%, product, "")</f>
        <v/>
      </c>
      <c r="L1171" s="7"/>
      <c r="M1171" s="7"/>
      <c r="N1171" s="7"/>
      <c r="O1171" s="14"/>
      <c r="P1171" s="14"/>
    </row>
    <row r="1172">
      <c r="A1172" s="7" t="s">
        <v>1274</v>
      </c>
      <c r="B1172" s="7" t="s">
        <v>1173</v>
      </c>
      <c r="C1172" s="8">
        <v>1414.0</v>
      </c>
      <c r="D1172" s="8">
        <v>2799.0</v>
      </c>
      <c r="E1172" s="9">
        <v>0.49</v>
      </c>
      <c r="F1172" s="10">
        <v>4.0</v>
      </c>
      <c r="G1172" s="11">
        <v>1498.0</v>
      </c>
      <c r="I1172" s="7"/>
      <c r="J1172" s="7"/>
      <c r="K1172" s="13" t="str">
        <f>IF(discount&gt;50%, product, "")</f>
        <v/>
      </c>
      <c r="L1172" s="7"/>
      <c r="M1172" s="7"/>
      <c r="N1172" s="7"/>
      <c r="O1172" s="14"/>
      <c r="P1172" s="14"/>
    </row>
    <row r="1173">
      <c r="A1173" s="7" t="s">
        <v>1275</v>
      </c>
      <c r="B1173" s="7" t="s">
        <v>1086</v>
      </c>
      <c r="C1173" s="8">
        <v>999.0</v>
      </c>
      <c r="D1173" s="8">
        <v>1950.0</v>
      </c>
      <c r="E1173" s="9">
        <v>0.49</v>
      </c>
      <c r="F1173" s="10">
        <v>3.8</v>
      </c>
      <c r="G1173" s="10">
        <v>305.0</v>
      </c>
      <c r="I1173" s="7"/>
      <c r="J1173" s="7"/>
      <c r="K1173" s="13" t="str">
        <f>IF(discount&gt;50%, product, "")</f>
        <v/>
      </c>
      <c r="L1173" s="7"/>
      <c r="M1173" s="7"/>
      <c r="N1173" s="7"/>
      <c r="O1173" s="14"/>
      <c r="P1173" s="14"/>
    </row>
    <row r="1174">
      <c r="A1174" s="7" t="s">
        <v>1276</v>
      </c>
      <c r="B1174" s="7" t="s">
        <v>1190</v>
      </c>
      <c r="C1174" s="8">
        <v>5999.0</v>
      </c>
      <c r="D1174" s="8">
        <v>9999.0</v>
      </c>
      <c r="E1174" s="9">
        <v>0.4</v>
      </c>
      <c r="F1174" s="10">
        <v>4.2</v>
      </c>
      <c r="G1174" s="11">
        <v>1191.0</v>
      </c>
      <c r="I1174" s="7"/>
      <c r="J1174" s="7"/>
      <c r="K1174" s="13" t="str">
        <f>IF(discount&gt;50%, product, "")</f>
        <v/>
      </c>
      <c r="L1174" s="7"/>
      <c r="M1174" s="7"/>
      <c r="N1174" s="7"/>
      <c r="O1174" s="14"/>
      <c r="P1174" s="14"/>
    </row>
    <row r="1175">
      <c r="A1175" s="7" t="s">
        <v>1277</v>
      </c>
      <c r="B1175" s="7" t="s">
        <v>1278</v>
      </c>
      <c r="C1175" s="8">
        <v>9970.0</v>
      </c>
      <c r="D1175" s="8">
        <v>12999.0</v>
      </c>
      <c r="E1175" s="9">
        <v>0.23</v>
      </c>
      <c r="F1175" s="10">
        <v>4.3</v>
      </c>
      <c r="G1175" s="11">
        <v>4049.0</v>
      </c>
      <c r="I1175" s="7"/>
      <c r="J1175" s="7"/>
      <c r="K1175" s="13" t="str">
        <f>IF(discount&gt;50%, product, "")</f>
        <v/>
      </c>
      <c r="L1175" s="7"/>
      <c r="M1175" s="7"/>
      <c r="N1175" s="7"/>
      <c r="O1175" s="14"/>
      <c r="P1175" s="14"/>
    </row>
    <row r="1176">
      <c r="A1176" s="7" t="s">
        <v>1279</v>
      </c>
      <c r="B1176" s="7" t="s">
        <v>1280</v>
      </c>
      <c r="C1176" s="8">
        <v>698.0</v>
      </c>
      <c r="D1176" s="8">
        <v>699.0</v>
      </c>
      <c r="E1176" s="9">
        <v>0.0</v>
      </c>
      <c r="F1176" s="10">
        <v>4.2</v>
      </c>
      <c r="G1176" s="11">
        <v>3160.0</v>
      </c>
      <c r="I1176" s="7"/>
      <c r="J1176" s="7"/>
      <c r="K1176" s="13" t="str">
        <f>IF(discount&gt;50%, product, "")</f>
        <v/>
      </c>
      <c r="L1176" s="7"/>
      <c r="M1176" s="7"/>
      <c r="N1176" s="7"/>
      <c r="O1176" s="14"/>
      <c r="P1176" s="14"/>
    </row>
    <row r="1177">
      <c r="A1177" s="7" t="s">
        <v>1281</v>
      </c>
      <c r="B1177" s="7" t="s">
        <v>1186</v>
      </c>
      <c r="C1177" s="8">
        <v>2199.0</v>
      </c>
      <c r="D1177" s="8">
        <v>3190.0</v>
      </c>
      <c r="E1177" s="9">
        <v>0.31</v>
      </c>
      <c r="F1177" s="10">
        <v>4.3</v>
      </c>
      <c r="G1177" s="11">
        <v>9650.0</v>
      </c>
      <c r="I1177" s="7"/>
      <c r="J1177" s="7"/>
      <c r="K1177" s="13" t="str">
        <f>IF(discount&gt;50%, product, "")</f>
        <v/>
      </c>
      <c r="L1177" s="7"/>
      <c r="M1177" s="7"/>
      <c r="N1177" s="7"/>
      <c r="O1177" s="14"/>
      <c r="P1177" s="14"/>
    </row>
    <row r="1178">
      <c r="A1178" s="7" t="s">
        <v>1282</v>
      </c>
      <c r="B1178" s="7" t="s">
        <v>1283</v>
      </c>
      <c r="C1178" s="8">
        <v>320.0</v>
      </c>
      <c r="D1178" s="8">
        <v>799.0</v>
      </c>
      <c r="E1178" s="9">
        <v>0.6</v>
      </c>
      <c r="F1178" s="10">
        <v>4.2</v>
      </c>
      <c r="G1178" s="11">
        <v>3846.0</v>
      </c>
      <c r="I1178" s="7"/>
      <c r="J1178" s="7"/>
      <c r="K1178" s="13" t="str">
        <f>IF(discount&gt;50%, product, "")</f>
        <v>PrettyKrafts Laundry Bag / Basket for Dirty Clothes, Folding Round Laundry Bag,Set of 2, Black Wave</v>
      </c>
      <c r="L1178" s="7"/>
      <c r="M1178" s="7"/>
      <c r="N1178" s="7"/>
      <c r="O1178" s="14"/>
      <c r="P1178" s="14"/>
    </row>
    <row r="1179">
      <c r="A1179" s="7" t="s">
        <v>1284</v>
      </c>
      <c r="B1179" s="7" t="s">
        <v>1093</v>
      </c>
      <c r="C1179" s="8">
        <v>298.0</v>
      </c>
      <c r="D1179" s="8">
        <v>499.0</v>
      </c>
      <c r="E1179" s="9">
        <v>0.4</v>
      </c>
      <c r="F1179" s="10">
        <v>4.4</v>
      </c>
      <c r="G1179" s="10">
        <v>290.0</v>
      </c>
      <c r="I1179" s="7"/>
      <c r="J1179" s="7"/>
      <c r="K1179" s="13" t="str">
        <f>IF(discount&gt;50%, product, "")</f>
        <v/>
      </c>
      <c r="L1179" s="7"/>
      <c r="M1179" s="7"/>
      <c r="N1179" s="7"/>
      <c r="O1179" s="14"/>
      <c r="P1179" s="14"/>
    </row>
    <row r="1180">
      <c r="A1180" s="7" t="s">
        <v>1285</v>
      </c>
      <c r="B1180" s="7" t="s">
        <v>1144</v>
      </c>
      <c r="C1180" s="8">
        <v>1199.0</v>
      </c>
      <c r="D1180" s="8">
        <v>1499.0</v>
      </c>
      <c r="E1180" s="9">
        <v>0.2</v>
      </c>
      <c r="F1180" s="10">
        <v>3.8</v>
      </c>
      <c r="G1180" s="11">
        <v>2206.0</v>
      </c>
      <c r="I1180" s="7"/>
      <c r="J1180" s="7"/>
      <c r="K1180" s="13" t="str">
        <f>IF(discount&gt;50%, product, "")</f>
        <v/>
      </c>
      <c r="L1180" s="7"/>
      <c r="M1180" s="7"/>
      <c r="N1180" s="7"/>
      <c r="O1180" s="14"/>
      <c r="P1180" s="14"/>
    </row>
    <row r="1181">
      <c r="A1181" s="7" t="s">
        <v>1286</v>
      </c>
      <c r="B1181" s="7" t="s">
        <v>1186</v>
      </c>
      <c r="C1181" s="8">
        <v>1399.0</v>
      </c>
      <c r="D1181" s="8">
        <v>2660.0</v>
      </c>
      <c r="E1181" s="9">
        <v>0.47</v>
      </c>
      <c r="F1181" s="10">
        <v>4.1</v>
      </c>
      <c r="G1181" s="11">
        <v>9349.0</v>
      </c>
      <c r="I1181" s="7"/>
      <c r="J1181" s="7"/>
      <c r="K1181" s="13" t="str">
        <f>IF(discount&gt;50%, product, "")</f>
        <v/>
      </c>
      <c r="L1181" s="7"/>
      <c r="M1181" s="7"/>
      <c r="N1181" s="7"/>
      <c r="O1181" s="14"/>
      <c r="P1181" s="14"/>
    </row>
    <row r="1182">
      <c r="A1182" s="7" t="s">
        <v>1287</v>
      </c>
      <c r="B1182" s="7" t="s">
        <v>1095</v>
      </c>
      <c r="C1182" s="8">
        <v>599.0</v>
      </c>
      <c r="D1182" s="8">
        <v>2799.0</v>
      </c>
      <c r="E1182" s="9">
        <v>0.79</v>
      </c>
      <c r="F1182" s="10">
        <v>3.9</v>
      </c>
      <c r="G1182" s="10">
        <v>578.0</v>
      </c>
      <c r="I1182" s="7"/>
      <c r="J1182" s="7"/>
      <c r="K1182" s="13" t="str">
        <f>IF(discount&gt;50%, product, "")</f>
        <v>Venus Digital Kitchen Weighing Scale &amp; Food Weight Machine for Health, Fitness, Home Baking &amp; Cooking Scale, 2 Year Warranty &amp; Battery Included (Weighing Scale Without Bowl) Capacity 10 Kg, 1 Gm</v>
      </c>
      <c r="L1182" s="7"/>
      <c r="M1182" s="7"/>
      <c r="N1182" s="7"/>
      <c r="O1182" s="14"/>
      <c r="P1182" s="14"/>
    </row>
    <row r="1183">
      <c r="A1183" s="7" t="s">
        <v>1288</v>
      </c>
      <c r="B1183" s="7" t="s">
        <v>1206</v>
      </c>
      <c r="C1183" s="8">
        <v>1499.0</v>
      </c>
      <c r="D1183" s="8">
        <v>1499.0</v>
      </c>
      <c r="E1183" s="9">
        <v>0.0</v>
      </c>
      <c r="F1183" s="10">
        <v>4.3</v>
      </c>
      <c r="G1183" s="11">
        <v>9331.0</v>
      </c>
      <c r="I1183" s="7"/>
      <c r="J1183" s="7"/>
      <c r="K1183" s="13" t="str">
        <f>IF(discount&gt;50%, product, "")</f>
        <v/>
      </c>
      <c r="L1183" s="7"/>
      <c r="M1183" s="7"/>
      <c r="N1183" s="7"/>
      <c r="O1183" s="14"/>
      <c r="P1183" s="14"/>
    </row>
    <row r="1184">
      <c r="A1184" s="7" t="s">
        <v>1289</v>
      </c>
      <c r="B1184" s="7" t="s">
        <v>1278</v>
      </c>
      <c r="C1184" s="8">
        <v>14400.0</v>
      </c>
      <c r="D1184" s="8">
        <v>59900.0</v>
      </c>
      <c r="E1184" s="9">
        <v>0.76</v>
      </c>
      <c r="F1184" s="10">
        <v>4.4</v>
      </c>
      <c r="G1184" s="11">
        <v>3837.0</v>
      </c>
      <c r="I1184" s="7"/>
      <c r="J1184" s="7"/>
      <c r="K1184" s="13" t="str">
        <f>IF(discount&gt;50%, product, "")</f>
        <v>Coway Professional Air Purifier for Home, Longest Filter Life 8500 Hrs, Green True HEPA Filter, Traps 99.99% Virus &amp; PM 0.1 Particles, Warranty 7 Years (AirMega 150 (AP-1019C))</v>
      </c>
      <c r="L1184" s="7"/>
      <c r="M1184" s="7"/>
      <c r="N1184" s="7"/>
      <c r="O1184" s="14"/>
      <c r="P1184" s="14"/>
    </row>
    <row r="1185">
      <c r="A1185" s="7" t="s">
        <v>1290</v>
      </c>
      <c r="B1185" s="7" t="s">
        <v>1280</v>
      </c>
      <c r="C1185" s="8">
        <v>1699.0</v>
      </c>
      <c r="D1185" s="8">
        <v>1900.0</v>
      </c>
      <c r="E1185" s="9">
        <v>0.11</v>
      </c>
      <c r="F1185" s="10">
        <v>3.6</v>
      </c>
      <c r="G1185" s="11">
        <v>11456.0</v>
      </c>
      <c r="I1185" s="7"/>
      <c r="J1185" s="7"/>
      <c r="K1185" s="13" t="str">
        <f>IF(discount&gt;50%, product, "")</f>
        <v/>
      </c>
      <c r="L1185" s="7"/>
      <c r="M1185" s="7"/>
      <c r="N1185" s="7"/>
      <c r="O1185" s="14"/>
      <c r="P1185" s="14"/>
    </row>
    <row r="1186">
      <c r="A1186" s="7" t="s">
        <v>1291</v>
      </c>
      <c r="B1186" s="7" t="s">
        <v>1089</v>
      </c>
      <c r="C1186" s="8">
        <v>649.0</v>
      </c>
      <c r="D1186" s="8">
        <v>999.0</v>
      </c>
      <c r="E1186" s="9">
        <v>0.35</v>
      </c>
      <c r="F1186" s="10">
        <v>3.8</v>
      </c>
      <c r="G1186" s="10">
        <v>49.0</v>
      </c>
      <c r="I1186" s="7"/>
      <c r="J1186" s="7"/>
      <c r="K1186" s="13" t="str">
        <f>IF(discount&gt;50%, product, "")</f>
        <v/>
      </c>
      <c r="L1186" s="7"/>
      <c r="M1186" s="7"/>
      <c r="N1186" s="7"/>
      <c r="O1186" s="14"/>
      <c r="P1186" s="14"/>
    </row>
    <row r="1187">
      <c r="A1187" s="7" t="s">
        <v>1292</v>
      </c>
      <c r="B1187" s="7" t="s">
        <v>1113</v>
      </c>
      <c r="C1187" s="8">
        <v>3249.0</v>
      </c>
      <c r="D1187" s="8">
        <v>6375.0</v>
      </c>
      <c r="E1187" s="9">
        <v>0.49</v>
      </c>
      <c r="F1187" s="10">
        <v>4.0</v>
      </c>
      <c r="G1187" s="11">
        <v>4978.0</v>
      </c>
      <c r="I1187" s="7"/>
      <c r="J1187" s="7"/>
      <c r="K1187" s="13" t="str">
        <f>IF(discount&gt;50%, product, "")</f>
        <v/>
      </c>
      <c r="L1187" s="7"/>
      <c r="M1187" s="7"/>
      <c r="N1187" s="7"/>
      <c r="O1187" s="14"/>
      <c r="P1187" s="14"/>
    </row>
    <row r="1188">
      <c r="A1188" s="7" t="s">
        <v>1293</v>
      </c>
      <c r="B1188" s="7" t="s">
        <v>1137</v>
      </c>
      <c r="C1188" s="8">
        <v>199.0</v>
      </c>
      <c r="D1188" s="8">
        <v>499.0</v>
      </c>
      <c r="E1188" s="9">
        <v>0.6</v>
      </c>
      <c r="F1188" s="10">
        <v>4.1</v>
      </c>
      <c r="G1188" s="11">
        <v>1996.0</v>
      </c>
      <c r="I1188" s="7"/>
      <c r="J1188" s="7"/>
      <c r="K1188" s="13" t="str">
        <f>IF(discount&gt;50%, product, "")</f>
        <v>Heart Home Waterproof Round Non Wovan Laundry Bag/Hamper|Metalic Printed With Handles|Foldable Bin &amp; 45 Liter Capicity|Size 37 x 37 x 49, Pack of 1 (Grey &amp; Black)-HEARTXY11447</v>
      </c>
      <c r="L1188" s="7"/>
      <c r="M1188" s="7"/>
      <c r="N1188" s="7"/>
      <c r="O1188" s="14"/>
      <c r="P1188" s="14"/>
    </row>
    <row r="1189">
      <c r="A1189" s="7" t="s">
        <v>1294</v>
      </c>
      <c r="B1189" s="7" t="s">
        <v>1155</v>
      </c>
      <c r="C1189" s="8">
        <v>1099.0</v>
      </c>
      <c r="D1189" s="8">
        <v>1899.0</v>
      </c>
      <c r="E1189" s="9">
        <v>0.42</v>
      </c>
      <c r="F1189" s="10">
        <v>4.3</v>
      </c>
      <c r="G1189" s="11">
        <v>1811.0</v>
      </c>
      <c r="I1189" s="7"/>
      <c r="J1189" s="7"/>
      <c r="K1189" s="13" t="str">
        <f>IF(discount&gt;50%, product, "")</f>
        <v/>
      </c>
      <c r="L1189" s="7"/>
      <c r="M1189" s="7"/>
      <c r="N1189" s="7"/>
      <c r="O1189" s="14"/>
      <c r="P1189" s="14"/>
    </row>
    <row r="1190">
      <c r="A1190" s="7" t="s">
        <v>1295</v>
      </c>
      <c r="B1190" s="7" t="s">
        <v>1086</v>
      </c>
      <c r="C1190" s="8">
        <v>664.0</v>
      </c>
      <c r="D1190" s="8">
        <v>1490.0</v>
      </c>
      <c r="E1190" s="9">
        <v>0.55</v>
      </c>
      <c r="F1190" s="10">
        <v>4.0</v>
      </c>
      <c r="G1190" s="11">
        <v>2198.0</v>
      </c>
      <c r="I1190" s="7"/>
      <c r="J1190" s="7"/>
      <c r="K1190" s="13" t="str">
        <f>IF(discount&gt;50%, product, "")</f>
        <v>iBELL SEK15L Premium 1.5 Litre Stainless Steel Electric Kettle,1500W Auto Cut-Off Feature,Silver with Black</v>
      </c>
      <c r="L1190" s="7"/>
      <c r="M1190" s="7"/>
      <c r="N1190" s="7"/>
      <c r="O1190" s="14"/>
      <c r="P1190" s="14"/>
    </row>
    <row r="1191">
      <c r="A1191" s="7" t="s">
        <v>1296</v>
      </c>
      <c r="B1191" s="7" t="s">
        <v>1159</v>
      </c>
      <c r="C1191" s="8">
        <v>260.0</v>
      </c>
      <c r="D1191" s="8">
        <v>350.0</v>
      </c>
      <c r="E1191" s="9">
        <v>0.26</v>
      </c>
      <c r="F1191" s="10">
        <v>3.9</v>
      </c>
      <c r="G1191" s="11">
        <v>13127.0</v>
      </c>
      <c r="I1191" s="7"/>
      <c r="J1191" s="7"/>
      <c r="K1191" s="13" t="str">
        <f>IF(discount&gt;50%, product, "")</f>
        <v/>
      </c>
      <c r="L1191" s="7"/>
      <c r="M1191" s="7"/>
      <c r="N1191" s="7"/>
      <c r="O1191" s="14"/>
      <c r="P1191" s="14"/>
    </row>
    <row r="1192">
      <c r="A1192" s="7" t="s">
        <v>1297</v>
      </c>
      <c r="B1192" s="7" t="s">
        <v>1123</v>
      </c>
      <c r="C1192" s="8">
        <v>6499.0</v>
      </c>
      <c r="D1192" s="8">
        <v>8500.0</v>
      </c>
      <c r="E1192" s="9">
        <v>0.24</v>
      </c>
      <c r="F1192" s="10">
        <v>4.4</v>
      </c>
      <c r="G1192" s="11">
        <v>5865.0</v>
      </c>
      <c r="I1192" s="7"/>
      <c r="J1192" s="7"/>
      <c r="K1192" s="13" t="str">
        <f>IF(discount&gt;50%, product, "")</f>
        <v/>
      </c>
      <c r="L1192" s="7"/>
      <c r="M1192" s="7"/>
      <c r="N1192" s="7"/>
      <c r="O1192" s="14"/>
      <c r="P1192" s="14"/>
    </row>
    <row r="1193">
      <c r="A1193" s="7" t="s">
        <v>1298</v>
      </c>
      <c r="B1193" s="7" t="s">
        <v>1299</v>
      </c>
      <c r="C1193" s="8">
        <v>1484.0</v>
      </c>
      <c r="D1193" s="8">
        <v>2499.0</v>
      </c>
      <c r="E1193" s="9">
        <v>0.41</v>
      </c>
      <c r="F1193" s="10">
        <v>3.7</v>
      </c>
      <c r="G1193" s="11">
        <v>1067.0</v>
      </c>
      <c r="I1193" s="7"/>
      <c r="J1193" s="7"/>
      <c r="K1193" s="13" t="str">
        <f>IF(discount&gt;50%, product, "")</f>
        <v/>
      </c>
      <c r="L1193" s="7"/>
      <c r="M1193" s="7"/>
      <c r="N1193" s="7"/>
      <c r="O1193" s="14"/>
      <c r="P1193" s="14"/>
    </row>
    <row r="1194">
      <c r="A1194" s="7" t="s">
        <v>1300</v>
      </c>
      <c r="B1194" s="7" t="s">
        <v>1139</v>
      </c>
      <c r="C1194" s="8">
        <v>999.0</v>
      </c>
      <c r="D1194" s="8">
        <v>1560.0</v>
      </c>
      <c r="E1194" s="9">
        <v>0.36</v>
      </c>
      <c r="F1194" s="10">
        <v>3.6</v>
      </c>
      <c r="G1194" s="11">
        <v>4881.0</v>
      </c>
      <c r="I1194" s="7"/>
      <c r="J1194" s="7"/>
      <c r="K1194" s="13" t="str">
        <f>IF(discount&gt;50%, product, "")</f>
        <v/>
      </c>
      <c r="L1194" s="7"/>
      <c r="M1194" s="7"/>
      <c r="N1194" s="7"/>
      <c r="O1194" s="14"/>
      <c r="P1194" s="14"/>
    </row>
    <row r="1195">
      <c r="A1195" s="7" t="s">
        <v>1301</v>
      </c>
      <c r="B1195" s="7" t="s">
        <v>1144</v>
      </c>
      <c r="C1195" s="8">
        <v>3299.0</v>
      </c>
      <c r="D1195" s="8">
        <v>6500.0</v>
      </c>
      <c r="E1195" s="9">
        <v>0.49</v>
      </c>
      <c r="F1195" s="10">
        <v>3.7</v>
      </c>
      <c r="G1195" s="11">
        <v>11217.0</v>
      </c>
      <c r="I1195" s="7"/>
      <c r="J1195" s="7"/>
      <c r="K1195" s="13" t="str">
        <f>IF(discount&gt;50%, product, "")</f>
        <v/>
      </c>
      <c r="L1195" s="7"/>
      <c r="M1195" s="7"/>
      <c r="N1195" s="7"/>
      <c r="O1195" s="14"/>
      <c r="P1195" s="14"/>
    </row>
    <row r="1196">
      <c r="A1196" s="7" t="s">
        <v>1302</v>
      </c>
      <c r="B1196" s="7" t="s">
        <v>1109</v>
      </c>
      <c r="C1196" s="8">
        <v>259.0</v>
      </c>
      <c r="D1196" s="8">
        <v>999.0</v>
      </c>
      <c r="E1196" s="9">
        <v>0.74</v>
      </c>
      <c r="F1196" s="10">
        <v>4.0</v>
      </c>
      <c r="G1196" s="10">
        <v>43.0</v>
      </c>
      <c r="I1196" s="7"/>
      <c r="J1196" s="7"/>
      <c r="K1196" s="13" t="str">
        <f>IF(discount&gt;50%, product, "")</f>
        <v>WIDEWINGS Electric Handheld Milk Wand Mixer Frother for Latte Coffee Hot Milk, Milk Frother for Coffee, Egg Beater, Hand Blender, Coffee Beater with Stand</v>
      </c>
      <c r="L1196" s="7"/>
      <c r="M1196" s="7"/>
      <c r="N1196" s="7"/>
      <c r="O1196" s="14"/>
      <c r="P1196" s="14"/>
    </row>
    <row r="1197">
      <c r="A1197" s="7" t="s">
        <v>1303</v>
      </c>
      <c r="B1197" s="7" t="s">
        <v>1113</v>
      </c>
      <c r="C1197" s="8">
        <v>3249.0</v>
      </c>
      <c r="D1197" s="8">
        <v>7795.0</v>
      </c>
      <c r="E1197" s="9">
        <v>0.58</v>
      </c>
      <c r="F1197" s="10">
        <v>4.2</v>
      </c>
      <c r="G1197" s="11">
        <v>4664.0</v>
      </c>
      <c r="I1197" s="7"/>
      <c r="J1197" s="7"/>
      <c r="K1197" s="13" t="str">
        <f>IF(discount&gt;50%, product, "")</f>
        <v>Morphy Richards Icon Superb 750W Mixer Grinder, 4 Jars, Silver and Black</v>
      </c>
      <c r="L1197" s="7"/>
      <c r="M1197" s="7"/>
      <c r="N1197" s="7"/>
      <c r="O1197" s="14"/>
      <c r="P1197" s="14"/>
    </row>
    <row r="1198">
      <c r="A1198" s="7" t="s">
        <v>1304</v>
      </c>
      <c r="B1198" s="7" t="s">
        <v>1139</v>
      </c>
      <c r="C1198" s="8">
        <v>4280.0</v>
      </c>
      <c r="D1198" s="8">
        <v>5995.0</v>
      </c>
      <c r="E1198" s="9">
        <v>0.29</v>
      </c>
      <c r="F1198" s="10">
        <v>3.8</v>
      </c>
      <c r="G1198" s="11">
        <v>2112.0</v>
      </c>
      <c r="I1198" s="7"/>
      <c r="J1198" s="7"/>
      <c r="K1198" s="13" t="str">
        <f>IF(discount&gt;50%, product, "")</f>
        <v/>
      </c>
      <c r="L1198" s="7"/>
      <c r="M1198" s="7"/>
      <c r="N1198" s="7"/>
      <c r="O1198" s="14"/>
      <c r="P1198" s="14"/>
    </row>
    <row r="1199">
      <c r="A1199" s="7" t="s">
        <v>1305</v>
      </c>
      <c r="B1199" s="7" t="s">
        <v>1306</v>
      </c>
      <c r="C1199" s="8">
        <v>189.0</v>
      </c>
      <c r="D1199" s="8">
        <v>299.0</v>
      </c>
      <c r="E1199" s="9">
        <v>0.37</v>
      </c>
      <c r="F1199" s="10">
        <v>4.2</v>
      </c>
      <c r="G1199" s="11">
        <v>2737.0</v>
      </c>
      <c r="I1199" s="7"/>
      <c r="J1199" s="7"/>
      <c r="K1199" s="13" t="str">
        <f>IF(discount&gt;50%, product, "")</f>
        <v/>
      </c>
      <c r="L1199" s="7"/>
      <c r="M1199" s="7"/>
      <c r="N1199" s="7"/>
      <c r="O1199" s="14"/>
      <c r="P1199" s="14"/>
    </row>
    <row r="1200">
      <c r="A1200" s="7" t="s">
        <v>1307</v>
      </c>
      <c r="B1200" s="7" t="s">
        <v>1186</v>
      </c>
      <c r="C1200" s="8">
        <v>1449.0</v>
      </c>
      <c r="D1200" s="8">
        <v>2349.0</v>
      </c>
      <c r="E1200" s="9">
        <v>0.38</v>
      </c>
      <c r="F1200" s="10">
        <v>3.9</v>
      </c>
      <c r="G1200" s="11">
        <v>9019.0</v>
      </c>
      <c r="I1200" s="7"/>
      <c r="J1200" s="7"/>
      <c r="K1200" s="13" t="str">
        <f>IF(discount&gt;50%, product, "")</f>
        <v/>
      </c>
      <c r="L1200" s="7"/>
      <c r="M1200" s="7"/>
      <c r="N1200" s="7"/>
      <c r="O1200" s="14"/>
      <c r="P1200" s="14"/>
    </row>
    <row r="1201">
      <c r="A1201" s="7" t="s">
        <v>1308</v>
      </c>
      <c r="B1201" s="7" t="s">
        <v>1137</v>
      </c>
      <c r="C1201" s="8">
        <v>199.0</v>
      </c>
      <c r="D1201" s="8">
        <v>499.0</v>
      </c>
      <c r="E1201" s="9">
        <v>0.6</v>
      </c>
      <c r="F1201" s="10">
        <v>4.0</v>
      </c>
      <c r="G1201" s="11">
        <v>10234.0</v>
      </c>
      <c r="I1201" s="7"/>
      <c r="J1201" s="7"/>
      <c r="K1201" s="13" t="str">
        <f>IF(discount&gt;50%, product, "")</f>
        <v>Kuber Industries Waterproof Canvas Laundry Bag/Hamper|Metalic Printed With Handles|Foldable Bin &amp; 45 Liter Capicity|Size 37 x 37 x 46, Pack of 1 (Brown)</v>
      </c>
      <c r="L1201" s="7"/>
      <c r="M1201" s="7"/>
      <c r="N1201" s="7"/>
      <c r="O1201" s="14"/>
      <c r="P1201" s="14"/>
    </row>
    <row r="1202">
      <c r="A1202" s="7" t="s">
        <v>1309</v>
      </c>
      <c r="B1202" s="7" t="s">
        <v>1310</v>
      </c>
      <c r="C1202" s="8">
        <v>474.0</v>
      </c>
      <c r="D1202" s="8">
        <v>1299.0</v>
      </c>
      <c r="E1202" s="9">
        <v>0.64</v>
      </c>
      <c r="F1202" s="10">
        <v>4.1</v>
      </c>
      <c r="G1202" s="10">
        <v>550.0</v>
      </c>
      <c r="I1202" s="7"/>
      <c r="J1202" s="7"/>
      <c r="K1202" s="13" t="str">
        <f>IF(discount&gt;50%, product, "")</f>
        <v>JM SELLER 180 W 2021 Edition Electric Beater High Speed Hand Mixer Egg Beater for Cake Making and Whipping Cream with 7 Speed Control (White) with Free Spatula and Oil Brush</v>
      </c>
      <c r="L1202" s="7"/>
      <c r="M1202" s="7"/>
      <c r="N1202" s="7"/>
      <c r="O1202" s="14"/>
      <c r="P1202" s="14"/>
    </row>
    <row r="1203">
      <c r="A1203" s="7" t="s">
        <v>1311</v>
      </c>
      <c r="B1203" s="7" t="s">
        <v>1109</v>
      </c>
      <c r="C1203" s="8">
        <v>279.0</v>
      </c>
      <c r="D1203" s="8">
        <v>499.0</v>
      </c>
      <c r="E1203" s="9">
        <v>0.44</v>
      </c>
      <c r="F1203" s="10">
        <v>4.8</v>
      </c>
      <c r="G1203" s="10">
        <v>28.0</v>
      </c>
      <c r="I1203" s="7"/>
      <c r="J1203" s="7"/>
      <c r="K1203" s="13" t="str">
        <f>IF(discount&gt;50%, product, "")</f>
        <v/>
      </c>
      <c r="L1203" s="7"/>
      <c r="M1203" s="7"/>
      <c r="N1203" s="7"/>
      <c r="O1203" s="14"/>
      <c r="P1203" s="14"/>
    </row>
    <row r="1204">
      <c r="A1204" s="7" t="s">
        <v>1312</v>
      </c>
      <c r="B1204" s="7" t="s">
        <v>1186</v>
      </c>
      <c r="C1204" s="8">
        <v>1999.0</v>
      </c>
      <c r="D1204" s="8">
        <v>4775.0</v>
      </c>
      <c r="E1204" s="9">
        <v>0.58</v>
      </c>
      <c r="F1204" s="10">
        <v>4.2</v>
      </c>
      <c r="G1204" s="11">
        <v>1353.0</v>
      </c>
      <c r="I1204" s="7"/>
      <c r="J1204" s="7"/>
      <c r="K1204" s="13" t="str">
        <f>IF(discount&gt;50%, product, "")</f>
        <v>Havells Glaze 74W Pearl Ivory Gold Ceiling Fan, Sweep: 1200 Mm</v>
      </c>
      <c r="L1204" s="7"/>
      <c r="M1204" s="7"/>
      <c r="N1204" s="7"/>
      <c r="O1204" s="14"/>
      <c r="P1204" s="14"/>
    </row>
    <row r="1205">
      <c r="A1205" s="7" t="s">
        <v>1313</v>
      </c>
      <c r="B1205" s="7" t="s">
        <v>1093</v>
      </c>
      <c r="C1205" s="8">
        <v>799.0</v>
      </c>
      <c r="D1205" s="8">
        <v>1230.0</v>
      </c>
      <c r="E1205" s="9">
        <v>0.35</v>
      </c>
      <c r="F1205" s="10">
        <v>4.1</v>
      </c>
      <c r="G1205" s="11">
        <v>2138.0</v>
      </c>
      <c r="I1205" s="7"/>
      <c r="J1205" s="7"/>
      <c r="K1205" s="13" t="str">
        <f>IF(discount&gt;50%, product, "")</f>
        <v/>
      </c>
      <c r="L1205" s="7"/>
      <c r="M1205" s="7"/>
      <c r="N1205" s="7"/>
      <c r="O1205" s="14"/>
      <c r="P1205" s="14"/>
    </row>
    <row r="1206">
      <c r="A1206" s="7" t="s">
        <v>1314</v>
      </c>
      <c r="B1206" s="7" t="s">
        <v>1173</v>
      </c>
      <c r="C1206" s="8">
        <v>949.0</v>
      </c>
      <c r="D1206" s="8">
        <v>1999.0</v>
      </c>
      <c r="E1206" s="9">
        <v>0.53</v>
      </c>
      <c r="F1206" s="10">
        <v>4.0</v>
      </c>
      <c r="G1206" s="11">
        <v>1679.0</v>
      </c>
      <c r="I1206" s="7"/>
      <c r="J1206" s="7"/>
      <c r="K1206" s="13" t="str">
        <f>IF(discount&gt;50%, product, "")</f>
        <v>Rico Japanese Technology Rechargeable Wireless Electric Chopper with Replacement Warranty - Stainless Steel Blades, One Touch Operation, 10 Seconds Chopping, Mincing Vegetable, Meat - 250 ML, 30 Watts</v>
      </c>
      <c r="L1206" s="7"/>
      <c r="M1206" s="7"/>
      <c r="N1206" s="7"/>
      <c r="O1206" s="14"/>
      <c r="P1206" s="14"/>
    </row>
    <row r="1207">
      <c r="A1207" s="7" t="s">
        <v>1315</v>
      </c>
      <c r="B1207" s="7" t="s">
        <v>1316</v>
      </c>
      <c r="C1207" s="8">
        <v>3657.66</v>
      </c>
      <c r="D1207" s="8">
        <v>5156.0</v>
      </c>
      <c r="E1207" s="9">
        <v>0.29</v>
      </c>
      <c r="F1207" s="10">
        <v>3.9</v>
      </c>
      <c r="G1207" s="11">
        <v>12837.0</v>
      </c>
      <c r="I1207" s="7"/>
      <c r="J1207" s="7"/>
      <c r="K1207" s="13" t="str">
        <f>IF(discount&gt;50%, product, "")</f>
        <v/>
      </c>
      <c r="L1207" s="7"/>
      <c r="M1207" s="7"/>
      <c r="N1207" s="7"/>
      <c r="O1207" s="14"/>
      <c r="P1207" s="14"/>
    </row>
    <row r="1208">
      <c r="A1208" s="7" t="s">
        <v>1317</v>
      </c>
      <c r="B1208" s="7" t="s">
        <v>1318</v>
      </c>
      <c r="C1208" s="8">
        <v>1699.0</v>
      </c>
      <c r="D1208" s="8">
        <v>1999.0</v>
      </c>
      <c r="E1208" s="9">
        <v>0.15</v>
      </c>
      <c r="F1208" s="10">
        <v>4.1</v>
      </c>
      <c r="G1208" s="11">
        <v>8873.0</v>
      </c>
      <c r="I1208" s="7"/>
      <c r="J1208" s="7"/>
      <c r="K1208" s="13" t="str">
        <f>IF(discount&gt;50%, product, "")</f>
        <v/>
      </c>
      <c r="L1208" s="7"/>
      <c r="M1208" s="7"/>
      <c r="N1208" s="7"/>
      <c r="O1208" s="14"/>
      <c r="P1208" s="14"/>
    </row>
    <row r="1209">
      <c r="A1209" s="7" t="s">
        <v>1319</v>
      </c>
      <c r="B1209" s="7" t="s">
        <v>1139</v>
      </c>
      <c r="C1209" s="8">
        <v>1849.0</v>
      </c>
      <c r="D1209" s="8">
        <v>2095.0</v>
      </c>
      <c r="E1209" s="9">
        <v>0.12</v>
      </c>
      <c r="F1209" s="10">
        <v>4.3</v>
      </c>
      <c r="G1209" s="11">
        <v>7681.0</v>
      </c>
      <c r="I1209" s="7"/>
      <c r="J1209" s="7"/>
      <c r="K1209" s="13" t="str">
        <f>IF(discount&gt;50%, product, "")</f>
        <v/>
      </c>
      <c r="L1209" s="7"/>
      <c r="M1209" s="7"/>
      <c r="N1209" s="7"/>
      <c r="O1209" s="14"/>
      <c r="P1209" s="14"/>
    </row>
    <row r="1210">
      <c r="A1210" s="7" t="s">
        <v>1320</v>
      </c>
      <c r="B1210" s="7" t="s">
        <v>1091</v>
      </c>
      <c r="C1210" s="8">
        <v>12499.0</v>
      </c>
      <c r="D1210" s="8">
        <v>19825.0</v>
      </c>
      <c r="E1210" s="9">
        <v>0.37</v>
      </c>
      <c r="F1210" s="10">
        <v>4.1</v>
      </c>
      <c r="G1210" s="10">
        <v>322.0</v>
      </c>
      <c r="I1210" s="7"/>
      <c r="J1210" s="7"/>
      <c r="K1210" s="13" t="str">
        <f>IF(discount&gt;50%, product, "")</f>
        <v/>
      </c>
      <c r="L1210" s="7"/>
      <c r="M1210" s="7"/>
      <c r="N1210" s="7"/>
      <c r="O1210" s="14"/>
      <c r="P1210" s="14"/>
    </row>
    <row r="1211">
      <c r="A1211" s="7" t="s">
        <v>1321</v>
      </c>
      <c r="B1211" s="7" t="s">
        <v>1111</v>
      </c>
      <c r="C1211" s="8">
        <v>1099.0</v>
      </c>
      <c r="D1211" s="8">
        <v>1920.0</v>
      </c>
      <c r="E1211" s="9">
        <v>0.43</v>
      </c>
      <c r="F1211" s="10">
        <v>4.2</v>
      </c>
      <c r="G1211" s="11">
        <v>9772.0</v>
      </c>
      <c r="I1211" s="7"/>
      <c r="J1211" s="7"/>
      <c r="K1211" s="13" t="str">
        <f>IF(discount&gt;50%, product, "")</f>
        <v/>
      </c>
      <c r="L1211" s="7"/>
      <c r="M1211" s="7"/>
      <c r="N1211" s="7"/>
      <c r="O1211" s="14"/>
      <c r="P1211" s="14"/>
    </row>
    <row r="1212">
      <c r="A1212" s="7" t="s">
        <v>1322</v>
      </c>
      <c r="B1212" s="7" t="s">
        <v>1280</v>
      </c>
      <c r="C1212" s="8">
        <v>8199.0</v>
      </c>
      <c r="D1212" s="8">
        <v>16000.0</v>
      </c>
      <c r="E1212" s="9">
        <v>0.49</v>
      </c>
      <c r="F1212" s="10">
        <v>3.9</v>
      </c>
      <c r="G1212" s="11">
        <v>18497.0</v>
      </c>
      <c r="I1212" s="7"/>
      <c r="J1212" s="7"/>
      <c r="K1212" s="13" t="str">
        <f>IF(discount&gt;50%, product, "")</f>
        <v/>
      </c>
      <c r="L1212" s="7"/>
      <c r="M1212" s="7"/>
      <c r="N1212" s="7"/>
      <c r="O1212" s="14"/>
      <c r="P1212" s="14"/>
    </row>
    <row r="1213">
      <c r="A1213" s="7" t="s">
        <v>1323</v>
      </c>
      <c r="B1213" s="7" t="s">
        <v>1144</v>
      </c>
      <c r="C1213" s="8">
        <v>499.0</v>
      </c>
      <c r="D1213" s="8">
        <v>2199.0</v>
      </c>
      <c r="E1213" s="9">
        <v>0.77</v>
      </c>
      <c r="F1213" s="10">
        <v>3.7</v>
      </c>
      <c r="G1213" s="10">
        <v>53.0</v>
      </c>
      <c r="I1213" s="7"/>
      <c r="J1213" s="7"/>
      <c r="K1213" s="13" t="str">
        <f>IF(discount&gt;50%, product, "")</f>
        <v>ROYAL STEP Portable Electric USB Juice Maker Juicer Bottle Blender Grinder Mixer,6 Blades Rechargeable Bottle with (MULTII) (MULTI COLOUR 6 BLED JUICER MIXER)</v>
      </c>
      <c r="L1213" s="7"/>
      <c r="M1213" s="7"/>
      <c r="N1213" s="7"/>
      <c r="O1213" s="14"/>
      <c r="P1213" s="14"/>
    </row>
    <row r="1214">
      <c r="A1214" s="7" t="s">
        <v>1324</v>
      </c>
      <c r="B1214" s="7" t="s">
        <v>1148</v>
      </c>
      <c r="C1214" s="8">
        <v>6999.0</v>
      </c>
      <c r="D1214" s="8">
        <v>14999.0</v>
      </c>
      <c r="E1214" s="9">
        <v>0.53</v>
      </c>
      <c r="F1214" s="10">
        <v>4.1</v>
      </c>
      <c r="G1214" s="11">
        <v>1728.0</v>
      </c>
      <c r="I1214" s="7"/>
      <c r="J1214" s="7"/>
      <c r="K1214" s="13" t="str">
        <f>IF(discount&gt;50%, product, "")</f>
        <v>KENT 16068 Zoom Vacuum Cleaner for Home and Car 130 W | Cordless, Hoseless, Rechargeable HEPA Filters Vacuum Cleaner with Cyclonic Technology | Bagless Design and Multi Nozzle Operation | Blue</v>
      </c>
      <c r="L1214" s="7"/>
      <c r="M1214" s="7"/>
      <c r="N1214" s="7"/>
      <c r="O1214" s="14"/>
      <c r="P1214" s="14"/>
    </row>
    <row r="1215">
      <c r="A1215" s="7" t="s">
        <v>1325</v>
      </c>
      <c r="B1215" s="7" t="s">
        <v>1184</v>
      </c>
      <c r="C1215" s="8">
        <v>1595.0</v>
      </c>
      <c r="D1215" s="8">
        <v>1799.0</v>
      </c>
      <c r="E1215" s="9">
        <v>0.11</v>
      </c>
      <c r="F1215" s="10">
        <v>4.0</v>
      </c>
      <c r="G1215" s="11">
        <v>2877.0</v>
      </c>
      <c r="I1215" s="7"/>
      <c r="J1215" s="7"/>
      <c r="K1215" s="13" t="str">
        <f>IF(discount&gt;50%, product, "")</f>
        <v/>
      </c>
      <c r="L1215" s="7"/>
      <c r="M1215" s="7"/>
      <c r="N1215" s="7"/>
      <c r="O1215" s="14"/>
      <c r="P1215" s="14"/>
    </row>
    <row r="1216">
      <c r="A1216" s="7" t="s">
        <v>1326</v>
      </c>
      <c r="B1216" s="7" t="s">
        <v>1111</v>
      </c>
      <c r="C1216" s="8">
        <v>1049.0</v>
      </c>
      <c r="D1216" s="8">
        <v>1950.0</v>
      </c>
      <c r="E1216" s="9">
        <v>0.46</v>
      </c>
      <c r="F1216" s="10">
        <v>3.8</v>
      </c>
      <c r="G1216" s="10">
        <v>250.0</v>
      </c>
      <c r="I1216" s="7"/>
      <c r="J1216" s="7"/>
      <c r="K1216" s="13" t="str">
        <f>IF(discount&gt;50%, product, "")</f>
        <v/>
      </c>
      <c r="L1216" s="7"/>
      <c r="M1216" s="7"/>
      <c r="N1216" s="7"/>
      <c r="O1216" s="14"/>
      <c r="P1216" s="14"/>
    </row>
    <row r="1217">
      <c r="A1217" s="7" t="s">
        <v>1327</v>
      </c>
      <c r="B1217" s="7" t="s">
        <v>1121</v>
      </c>
      <c r="C1217" s="8">
        <v>1182.0</v>
      </c>
      <c r="D1217" s="8">
        <v>2995.0</v>
      </c>
      <c r="E1217" s="9">
        <v>0.61</v>
      </c>
      <c r="F1217" s="10">
        <v>4.2</v>
      </c>
      <c r="G1217" s="11">
        <v>5178.0</v>
      </c>
      <c r="I1217" s="7"/>
      <c r="J1217" s="7"/>
      <c r="K1217" s="13" t="str">
        <f>IF(discount&gt;50%, product, "")</f>
        <v>Inalsa Electric Kettle Prism Inox - 1350 W with LED Illumination &amp; Boro-Silicate Body, 1.8 L Capacity along with Cordless Base, 2 Year Warranty (Black)</v>
      </c>
      <c r="L1217" s="7"/>
      <c r="M1217" s="7"/>
      <c r="N1217" s="7"/>
      <c r="O1217" s="14"/>
      <c r="P1217" s="14"/>
    </row>
    <row r="1218">
      <c r="A1218" s="7" t="s">
        <v>1328</v>
      </c>
      <c r="B1218" s="7" t="s">
        <v>1093</v>
      </c>
      <c r="C1218" s="8">
        <v>499.0</v>
      </c>
      <c r="D1218" s="8">
        <v>999.0</v>
      </c>
      <c r="E1218" s="9">
        <v>0.5</v>
      </c>
      <c r="F1218" s="10">
        <v>4.6</v>
      </c>
      <c r="G1218" s="10">
        <v>79.0</v>
      </c>
      <c r="I1218" s="7"/>
      <c r="J1218" s="7"/>
      <c r="K1218" s="13" t="str">
        <f>IF(discount&gt;50%, product, "")</f>
        <v/>
      </c>
      <c r="L1218" s="7"/>
      <c r="M1218" s="7"/>
      <c r="N1218" s="7"/>
      <c r="O1218" s="14"/>
      <c r="P1218" s="14"/>
    </row>
    <row r="1219">
      <c r="A1219" s="7" t="s">
        <v>1329</v>
      </c>
      <c r="B1219" s="7" t="s">
        <v>1278</v>
      </c>
      <c r="C1219" s="8">
        <v>8799.0</v>
      </c>
      <c r="D1219" s="8">
        <v>11995.0</v>
      </c>
      <c r="E1219" s="9">
        <v>0.27</v>
      </c>
      <c r="F1219" s="10">
        <v>4.1</v>
      </c>
      <c r="G1219" s="11">
        <v>4157.0</v>
      </c>
      <c r="I1219" s="7"/>
      <c r="J1219" s="7"/>
      <c r="K1219" s="13" t="str">
        <f>IF(discount&gt;50%, product, "")</f>
        <v/>
      </c>
      <c r="L1219" s="7"/>
      <c r="M1219" s="7"/>
      <c r="N1219" s="7"/>
      <c r="O1219" s="14"/>
      <c r="P1219" s="14"/>
    </row>
    <row r="1220">
      <c r="A1220" s="7" t="s">
        <v>1330</v>
      </c>
      <c r="B1220" s="7" t="s">
        <v>1089</v>
      </c>
      <c r="C1220" s="8">
        <v>1529.0</v>
      </c>
      <c r="D1220" s="8">
        <v>2999.0</v>
      </c>
      <c r="E1220" s="9">
        <v>0.49</v>
      </c>
      <c r="F1220" s="10">
        <v>3.3</v>
      </c>
      <c r="G1220" s="10">
        <v>29.0</v>
      </c>
      <c r="I1220" s="7"/>
      <c r="J1220" s="7"/>
      <c r="K1220" s="13" t="str">
        <f>IF(discount&gt;50%, product, "")</f>
        <v/>
      </c>
      <c r="L1220" s="7"/>
      <c r="M1220" s="7"/>
      <c r="N1220" s="7"/>
      <c r="O1220" s="14"/>
      <c r="P1220" s="14"/>
    </row>
    <row r="1221">
      <c r="A1221" s="7" t="s">
        <v>1331</v>
      </c>
      <c r="B1221" s="7" t="s">
        <v>1111</v>
      </c>
      <c r="C1221" s="8">
        <v>1199.0</v>
      </c>
      <c r="D1221" s="8">
        <v>1690.0</v>
      </c>
      <c r="E1221" s="9">
        <v>0.29</v>
      </c>
      <c r="F1221" s="10">
        <v>4.2</v>
      </c>
      <c r="G1221" s="11">
        <v>4580.0</v>
      </c>
      <c r="I1221" s="7"/>
      <c r="J1221" s="7"/>
      <c r="K1221" s="13" t="str">
        <f>IF(discount&gt;50%, product, "")</f>
        <v/>
      </c>
      <c r="L1221" s="7"/>
      <c r="M1221" s="7"/>
      <c r="N1221" s="7"/>
      <c r="O1221" s="14"/>
      <c r="P1221" s="14"/>
    </row>
    <row r="1222">
      <c r="A1222" s="7" t="s">
        <v>1332</v>
      </c>
      <c r="B1222" s="7" t="s">
        <v>1155</v>
      </c>
      <c r="C1222" s="8">
        <v>1052.0</v>
      </c>
      <c r="D1222" s="8">
        <v>1790.0</v>
      </c>
      <c r="E1222" s="9">
        <v>0.41</v>
      </c>
      <c r="F1222" s="10">
        <v>4.3</v>
      </c>
      <c r="G1222" s="11">
        <v>1404.0</v>
      </c>
      <c r="I1222" s="7"/>
      <c r="J1222" s="7"/>
      <c r="K1222" s="13" t="str">
        <f>IF(discount&gt;50%, product, "")</f>
        <v/>
      </c>
      <c r="L1222" s="7"/>
      <c r="M1222" s="7"/>
      <c r="N1222" s="7"/>
      <c r="O1222" s="14"/>
      <c r="P1222" s="14"/>
    </row>
    <row r="1223">
      <c r="A1223" s="7" t="s">
        <v>1333</v>
      </c>
      <c r="B1223" s="7" t="s">
        <v>1334</v>
      </c>
      <c r="C1223" s="8">
        <v>6499.0</v>
      </c>
      <c r="D1223" s="8">
        <v>8995.0</v>
      </c>
      <c r="E1223" s="9">
        <v>0.28</v>
      </c>
      <c r="F1223" s="10">
        <v>4.3</v>
      </c>
      <c r="G1223" s="11">
        <v>2810.0</v>
      </c>
      <c r="I1223" s="7"/>
      <c r="J1223" s="7"/>
      <c r="K1223" s="13" t="str">
        <f>IF(discount&gt;50%, product, "")</f>
        <v/>
      </c>
      <c r="L1223" s="7"/>
      <c r="M1223" s="7"/>
      <c r="N1223" s="7"/>
      <c r="O1223" s="14"/>
      <c r="P1223" s="14"/>
    </row>
    <row r="1224">
      <c r="A1224" s="7" t="s">
        <v>1335</v>
      </c>
      <c r="B1224" s="7" t="s">
        <v>1179</v>
      </c>
      <c r="C1224" s="8">
        <v>239.0</v>
      </c>
      <c r="D1224" s="8">
        <v>239.0</v>
      </c>
      <c r="E1224" s="9">
        <v>0.0</v>
      </c>
      <c r="F1224" s="10">
        <v>4.3</v>
      </c>
      <c r="G1224" s="10">
        <v>7.0</v>
      </c>
      <c r="I1224" s="7"/>
      <c r="J1224" s="7"/>
      <c r="K1224" s="13" t="str">
        <f>IF(discount&gt;50%, product, "")</f>
        <v/>
      </c>
      <c r="L1224" s="7"/>
      <c r="M1224" s="7"/>
      <c r="N1224" s="7"/>
      <c r="O1224" s="14"/>
      <c r="P1224" s="14"/>
    </row>
    <row r="1225">
      <c r="A1225" s="7" t="s">
        <v>1336</v>
      </c>
      <c r="B1225" s="7" t="s">
        <v>1109</v>
      </c>
      <c r="C1225" s="8">
        <v>699.0</v>
      </c>
      <c r="D1225" s="8">
        <v>1599.0</v>
      </c>
      <c r="E1225" s="9">
        <v>0.56</v>
      </c>
      <c r="F1225" s="10">
        <v>4.7</v>
      </c>
      <c r="G1225" s="11">
        <v>1729.0</v>
      </c>
      <c r="I1225" s="7"/>
      <c r="J1225" s="7"/>
      <c r="K1225" s="13" t="str">
        <f>IF(discount&gt;50%, product, "")</f>
        <v>FIGMENT Handheld Milk Frother Rechargeable, 3-Speed Electric Frother for Coffee with 2 Whisks and Coffee Decoration Tool, Coffee Frother Mixer, CRESCENT ENTERPRISES VRW0.50BK (A1)</v>
      </c>
      <c r="L1225" s="7"/>
      <c r="M1225" s="7"/>
      <c r="N1225" s="7"/>
      <c r="O1225" s="14"/>
      <c r="P1225" s="14"/>
    </row>
    <row r="1226">
      <c r="A1226" s="7" t="s">
        <v>1337</v>
      </c>
      <c r="B1226" s="7" t="s">
        <v>1338</v>
      </c>
      <c r="C1226" s="8">
        <v>2599.0</v>
      </c>
      <c r="D1226" s="8">
        <v>4290.0</v>
      </c>
      <c r="E1226" s="9">
        <v>0.39</v>
      </c>
      <c r="F1226" s="10">
        <v>4.4</v>
      </c>
      <c r="G1226" s="11">
        <v>2116.0</v>
      </c>
      <c r="I1226" s="7"/>
      <c r="J1226" s="7"/>
      <c r="K1226" s="13" t="str">
        <f>IF(discount&gt;50%, product, "")</f>
        <v/>
      </c>
      <c r="L1226" s="7"/>
      <c r="M1226" s="7"/>
      <c r="N1226" s="7"/>
      <c r="O1226" s="14"/>
      <c r="P1226" s="14"/>
    </row>
    <row r="1227">
      <c r="A1227" s="7" t="s">
        <v>1339</v>
      </c>
      <c r="B1227" s="7" t="s">
        <v>1148</v>
      </c>
      <c r="C1227" s="8">
        <v>1547.0</v>
      </c>
      <c r="D1227" s="8">
        <v>2890.0</v>
      </c>
      <c r="E1227" s="9">
        <v>0.46</v>
      </c>
      <c r="F1227" s="10">
        <v>3.9</v>
      </c>
      <c r="G1227" s="10">
        <v>463.0</v>
      </c>
      <c r="I1227" s="7"/>
      <c r="J1227" s="7"/>
      <c r="K1227" s="13" t="str">
        <f>IF(discount&gt;50%, product, "")</f>
        <v/>
      </c>
      <c r="L1227" s="7"/>
      <c r="M1227" s="7"/>
      <c r="N1227" s="7"/>
      <c r="O1227" s="14"/>
      <c r="P1227" s="14"/>
    </row>
    <row r="1228">
      <c r="A1228" s="7" t="s">
        <v>1340</v>
      </c>
      <c r="B1228" s="7" t="s">
        <v>1109</v>
      </c>
      <c r="C1228" s="8">
        <v>499.0</v>
      </c>
      <c r="D1228" s="8">
        <v>1299.0</v>
      </c>
      <c r="E1228" s="9">
        <v>0.62</v>
      </c>
      <c r="F1228" s="10">
        <v>4.7</v>
      </c>
      <c r="G1228" s="10">
        <v>54.0</v>
      </c>
      <c r="I1228" s="7"/>
      <c r="J1228" s="7"/>
      <c r="K1228" s="13" t="str">
        <f>IF(discount&gt;50%, product, "")</f>
        <v>Zuvexa USB Rechargeable Electric Foam Maker - Handheld Milk Wand Mixer Frother for Hot Milk, Hand Blender Coffee, Egg Beater (Black)</v>
      </c>
      <c r="L1228" s="7"/>
      <c r="M1228" s="7"/>
      <c r="N1228" s="7"/>
      <c r="O1228" s="14"/>
      <c r="P1228" s="14"/>
    </row>
    <row r="1229">
      <c r="A1229" s="7" t="s">
        <v>1341</v>
      </c>
      <c r="B1229" s="7" t="s">
        <v>1131</v>
      </c>
      <c r="C1229" s="8">
        <v>510.0</v>
      </c>
      <c r="D1229" s="8">
        <v>640.0</v>
      </c>
      <c r="E1229" s="9">
        <v>0.2</v>
      </c>
      <c r="F1229" s="10">
        <v>4.1</v>
      </c>
      <c r="G1229" s="11">
        <v>7229.0</v>
      </c>
      <c r="I1229" s="7"/>
      <c r="J1229" s="7"/>
      <c r="K1229" s="13" t="str">
        <f>IF(discount&gt;50%, product, "")</f>
        <v/>
      </c>
      <c r="L1229" s="7"/>
      <c r="M1229" s="7"/>
      <c r="N1229" s="7"/>
      <c r="O1229" s="14"/>
      <c r="P1229" s="14"/>
    </row>
    <row r="1230">
      <c r="A1230" s="7" t="s">
        <v>1342</v>
      </c>
      <c r="B1230" s="7" t="s">
        <v>1115</v>
      </c>
      <c r="C1230" s="8">
        <v>1899.0</v>
      </c>
      <c r="D1230" s="8">
        <v>3790.0</v>
      </c>
      <c r="E1230" s="9">
        <v>0.5</v>
      </c>
      <c r="F1230" s="10">
        <v>3.8</v>
      </c>
      <c r="G1230" s="11">
        <v>3842.0</v>
      </c>
      <c r="I1230" s="7"/>
      <c r="J1230" s="7"/>
      <c r="K1230" s="13" t="str">
        <f>IF(discount&gt;50%, product, "")</f>
        <v/>
      </c>
      <c r="L1230" s="7"/>
      <c r="M1230" s="7"/>
      <c r="N1230" s="7"/>
      <c r="O1230" s="14"/>
      <c r="P1230" s="14"/>
    </row>
    <row r="1231">
      <c r="A1231" s="7" t="s">
        <v>1343</v>
      </c>
      <c r="B1231" s="7" t="s">
        <v>1115</v>
      </c>
      <c r="C1231" s="8">
        <v>2599.0</v>
      </c>
      <c r="D1231" s="8">
        <v>4560.0</v>
      </c>
      <c r="E1231" s="9">
        <v>0.43</v>
      </c>
      <c r="F1231" s="10">
        <v>4.4</v>
      </c>
      <c r="G1231" s="10">
        <v>646.0</v>
      </c>
      <c r="I1231" s="7"/>
      <c r="J1231" s="7"/>
      <c r="K1231" s="13" t="str">
        <f>IF(discount&gt;50%, product, "")</f>
        <v/>
      </c>
      <c r="L1231" s="7"/>
      <c r="M1231" s="7"/>
      <c r="N1231" s="7"/>
      <c r="O1231" s="14"/>
      <c r="P1231" s="14"/>
    </row>
    <row r="1232">
      <c r="A1232" s="7" t="s">
        <v>1344</v>
      </c>
      <c r="B1232" s="7" t="s">
        <v>1155</v>
      </c>
      <c r="C1232" s="8">
        <v>1199.0</v>
      </c>
      <c r="D1232" s="8">
        <v>3500.0</v>
      </c>
      <c r="E1232" s="9">
        <v>0.66</v>
      </c>
      <c r="F1232" s="10">
        <v>4.3</v>
      </c>
      <c r="G1232" s="11">
        <v>1802.0</v>
      </c>
      <c r="I1232" s="7"/>
      <c r="J1232" s="7"/>
      <c r="K1232" s="13" t="str">
        <f>IF(discount&gt;50%, product, "")</f>
        <v>Lifelong 2-in1 Egg Boiler and Poacher 500-Watt (Transparent and Silver Grey), Boil 8 eggs, Poach 4 eggs, Easy to clean| 3 Boiling Modes, Stainless Steel Body and Heating Plate, Automatic Turn-Off</v>
      </c>
      <c r="L1232" s="7"/>
      <c r="M1232" s="7"/>
      <c r="N1232" s="7"/>
      <c r="O1232" s="14"/>
      <c r="P1232" s="14"/>
    </row>
    <row r="1233">
      <c r="A1233" s="7" t="s">
        <v>1345</v>
      </c>
      <c r="B1233" s="7" t="s">
        <v>1115</v>
      </c>
      <c r="C1233" s="8">
        <v>999.0</v>
      </c>
      <c r="D1233" s="8">
        <v>2600.0</v>
      </c>
      <c r="E1233" s="9">
        <v>0.62</v>
      </c>
      <c r="F1233" s="10">
        <v>3.4</v>
      </c>
      <c r="G1233" s="10">
        <v>252.0</v>
      </c>
      <c r="I1233" s="7"/>
      <c r="J1233" s="7"/>
      <c r="K1233" s="13" t="str">
        <f>IF(discount&gt;50%, product, "")</f>
        <v>INDIAS®™ Electro-Instant Water Geyser A.B.S. Body Shock Proof Can be Used in Bathroom, Kitchen, wash Area, Hotels, Hospital etc.</v>
      </c>
      <c r="L1233" s="7"/>
      <c r="M1233" s="7"/>
      <c r="N1233" s="7"/>
      <c r="O1233" s="14"/>
      <c r="P1233" s="14"/>
    </row>
    <row r="1234">
      <c r="A1234" s="7" t="s">
        <v>1346</v>
      </c>
      <c r="B1234" s="7" t="s">
        <v>1104</v>
      </c>
      <c r="C1234" s="8">
        <v>1999.0</v>
      </c>
      <c r="D1234" s="8">
        <v>3300.0</v>
      </c>
      <c r="E1234" s="9">
        <v>0.39</v>
      </c>
      <c r="F1234" s="10">
        <v>4.2</v>
      </c>
      <c r="G1234" s="10">
        <v>780.0</v>
      </c>
      <c r="I1234" s="7"/>
      <c r="J1234" s="7"/>
      <c r="K1234" s="13" t="str">
        <f>IF(discount&gt;50%, product, "")</f>
        <v/>
      </c>
      <c r="L1234" s="7"/>
      <c r="M1234" s="7"/>
      <c r="N1234" s="7"/>
      <c r="O1234" s="14"/>
      <c r="P1234" s="14"/>
    </row>
    <row r="1235">
      <c r="A1235" s="7" t="s">
        <v>1347</v>
      </c>
      <c r="B1235" s="7" t="s">
        <v>1109</v>
      </c>
      <c r="C1235" s="8">
        <v>210.0</v>
      </c>
      <c r="D1235" s="8">
        <v>699.0</v>
      </c>
      <c r="E1235" s="9">
        <v>0.7</v>
      </c>
      <c r="F1235" s="10">
        <v>3.7</v>
      </c>
      <c r="G1235" s="10">
        <v>74.0</v>
      </c>
      <c r="I1235" s="7"/>
      <c r="J1235" s="7"/>
      <c r="K1235" s="13" t="str">
        <f>IF(discount&gt;50%, product, "")</f>
        <v>Sui Generis Electric Handheld Milk Wand Mixer Frother for Latte Coffee Hot Milk, Milk Frother, Electric Coffee Beater, Egg Beater, Latte Maker, Mini Hand Blender Cappuccino Maker (Multicolor)</v>
      </c>
      <c r="L1235" s="7"/>
      <c r="M1235" s="7"/>
      <c r="N1235" s="7"/>
      <c r="O1235" s="14"/>
      <c r="P1235" s="14"/>
    </row>
    <row r="1236">
      <c r="A1236" s="7" t="s">
        <v>1348</v>
      </c>
      <c r="B1236" s="7" t="s">
        <v>1278</v>
      </c>
      <c r="C1236" s="8">
        <v>14499.0</v>
      </c>
      <c r="D1236" s="8">
        <v>23559.0</v>
      </c>
      <c r="E1236" s="9">
        <v>0.38</v>
      </c>
      <c r="F1236" s="10">
        <v>4.3</v>
      </c>
      <c r="G1236" s="11">
        <v>2026.0</v>
      </c>
      <c r="I1236" s="7"/>
      <c r="J1236" s="7"/>
      <c r="K1236" s="13" t="str">
        <f>IF(discount&gt;50%, product, "")</f>
        <v/>
      </c>
      <c r="L1236" s="7"/>
      <c r="M1236" s="7"/>
      <c r="N1236" s="7"/>
      <c r="O1236" s="14"/>
      <c r="P1236" s="14"/>
    </row>
    <row r="1237">
      <c r="A1237" s="7" t="s">
        <v>1349</v>
      </c>
      <c r="B1237" s="7" t="s">
        <v>1137</v>
      </c>
      <c r="C1237" s="8">
        <v>950.0</v>
      </c>
      <c r="D1237" s="8">
        <v>1599.0</v>
      </c>
      <c r="E1237" s="9">
        <v>0.41</v>
      </c>
      <c r="F1237" s="10">
        <v>4.3</v>
      </c>
      <c r="G1237" s="11">
        <v>5911.0</v>
      </c>
      <c r="I1237" s="7"/>
      <c r="J1237" s="7"/>
      <c r="K1237" s="13" t="str">
        <f>IF(discount&gt;50%, product, "")</f>
        <v/>
      </c>
      <c r="L1237" s="7"/>
      <c r="M1237" s="7"/>
      <c r="N1237" s="7"/>
      <c r="O1237" s="14"/>
      <c r="P1237" s="14"/>
    </row>
    <row r="1238">
      <c r="A1238" s="7" t="s">
        <v>1350</v>
      </c>
      <c r="B1238" s="7" t="s">
        <v>1135</v>
      </c>
      <c r="C1238" s="8">
        <v>7199.0</v>
      </c>
      <c r="D1238" s="8">
        <v>9995.0</v>
      </c>
      <c r="E1238" s="9">
        <v>0.28</v>
      </c>
      <c r="F1238" s="10">
        <v>4.4</v>
      </c>
      <c r="G1238" s="11">
        <v>1964.0</v>
      </c>
      <c r="I1238" s="7"/>
      <c r="J1238" s="7"/>
      <c r="K1238" s="13" t="str">
        <f>IF(discount&gt;50%, product, "")</f>
        <v/>
      </c>
      <c r="L1238" s="7"/>
      <c r="M1238" s="7"/>
      <c r="N1238" s="7"/>
      <c r="O1238" s="14"/>
      <c r="P1238" s="14"/>
    </row>
    <row r="1239">
      <c r="A1239" s="7" t="s">
        <v>1351</v>
      </c>
      <c r="B1239" s="7" t="s">
        <v>1089</v>
      </c>
      <c r="C1239" s="8">
        <v>2439.0</v>
      </c>
      <c r="D1239" s="8">
        <v>2545.0</v>
      </c>
      <c r="E1239" s="9">
        <v>0.04</v>
      </c>
      <c r="F1239" s="10">
        <v>4.1</v>
      </c>
      <c r="G1239" s="10">
        <v>25.0</v>
      </c>
      <c r="I1239" s="7"/>
      <c r="J1239" s="7"/>
      <c r="K1239" s="13" t="str">
        <f>IF(discount&gt;50%, product, "")</f>
        <v/>
      </c>
      <c r="L1239" s="7"/>
      <c r="M1239" s="7"/>
      <c r="N1239" s="7"/>
      <c r="O1239" s="14"/>
      <c r="P1239" s="14"/>
    </row>
    <row r="1240">
      <c r="A1240" s="7" t="s">
        <v>1352</v>
      </c>
      <c r="B1240" s="7" t="s">
        <v>1139</v>
      </c>
      <c r="C1240" s="8">
        <v>7799.0</v>
      </c>
      <c r="D1240" s="8">
        <v>8995.0</v>
      </c>
      <c r="E1240" s="9">
        <v>0.13</v>
      </c>
      <c r="F1240" s="10">
        <v>4.0</v>
      </c>
      <c r="G1240" s="11">
        <v>3160.0</v>
      </c>
      <c r="I1240" s="7"/>
      <c r="J1240" s="7"/>
      <c r="K1240" s="13" t="str">
        <f>IF(discount&gt;50%, product, "")</f>
        <v/>
      </c>
      <c r="L1240" s="7"/>
      <c r="M1240" s="7"/>
      <c r="N1240" s="7"/>
      <c r="O1240" s="14"/>
      <c r="P1240" s="14"/>
    </row>
    <row r="1241">
      <c r="A1241" s="7" t="s">
        <v>1353</v>
      </c>
      <c r="B1241" s="7" t="s">
        <v>1173</v>
      </c>
      <c r="C1241" s="8">
        <v>1599.0</v>
      </c>
      <c r="D1241" s="8">
        <v>1999.0</v>
      </c>
      <c r="E1241" s="9">
        <v>0.2</v>
      </c>
      <c r="F1241" s="10">
        <v>4.4</v>
      </c>
      <c r="G1241" s="11">
        <v>1558.0</v>
      </c>
      <c r="I1241" s="7"/>
      <c r="J1241" s="7"/>
      <c r="K1241" s="13" t="str">
        <f>IF(discount&gt;50%, product, "")</f>
        <v/>
      </c>
      <c r="L1241" s="7"/>
      <c r="M1241" s="7"/>
      <c r="N1241" s="7"/>
      <c r="O1241" s="14"/>
      <c r="P1241" s="14"/>
    </row>
    <row r="1242">
      <c r="A1242" s="7" t="s">
        <v>1354</v>
      </c>
      <c r="B1242" s="7" t="s">
        <v>1113</v>
      </c>
      <c r="C1242" s="8">
        <v>2899.0</v>
      </c>
      <c r="D1242" s="8">
        <v>5500.0</v>
      </c>
      <c r="E1242" s="9">
        <v>0.47</v>
      </c>
      <c r="F1242" s="10">
        <v>3.8</v>
      </c>
      <c r="G1242" s="11">
        <v>8958.0</v>
      </c>
      <c r="I1242" s="7"/>
      <c r="J1242" s="7"/>
      <c r="K1242" s="13" t="str">
        <f>IF(discount&gt;50%, product, "")</f>
        <v/>
      </c>
      <c r="L1242" s="7"/>
      <c r="M1242" s="7"/>
      <c r="N1242" s="7"/>
      <c r="O1242" s="14"/>
      <c r="P1242" s="14"/>
    </row>
    <row r="1243">
      <c r="A1243" s="7" t="s">
        <v>1355</v>
      </c>
      <c r="B1243" s="7" t="s">
        <v>1299</v>
      </c>
      <c r="C1243" s="8">
        <v>9799.0</v>
      </c>
      <c r="D1243" s="8">
        <v>12150.0</v>
      </c>
      <c r="E1243" s="9">
        <v>0.19</v>
      </c>
      <c r="F1243" s="10">
        <v>4.3</v>
      </c>
      <c r="G1243" s="11">
        <v>13251.0</v>
      </c>
      <c r="I1243" s="7"/>
      <c r="J1243" s="7"/>
      <c r="K1243" s="13" t="str">
        <f>IF(discount&gt;50%, product, "")</f>
        <v/>
      </c>
      <c r="L1243" s="7"/>
      <c r="M1243" s="7"/>
      <c r="N1243" s="7"/>
      <c r="O1243" s="14"/>
      <c r="P1243" s="14"/>
    </row>
    <row r="1244">
      <c r="A1244" s="7" t="s">
        <v>1356</v>
      </c>
      <c r="B1244" s="7" t="s">
        <v>1139</v>
      </c>
      <c r="C1244" s="8">
        <v>3299.0</v>
      </c>
      <c r="D1244" s="8">
        <v>4995.0</v>
      </c>
      <c r="E1244" s="9">
        <v>0.34</v>
      </c>
      <c r="F1244" s="10">
        <v>3.8</v>
      </c>
      <c r="G1244" s="11">
        <v>1393.0</v>
      </c>
      <c r="I1244" s="7"/>
      <c r="J1244" s="7"/>
      <c r="K1244" s="13" t="str">
        <f>IF(discount&gt;50%, product, "")</f>
        <v/>
      </c>
      <c r="L1244" s="7"/>
      <c r="M1244" s="7"/>
      <c r="N1244" s="7"/>
      <c r="O1244" s="14"/>
      <c r="P1244" s="14"/>
    </row>
    <row r="1245">
      <c r="A1245" s="7" t="s">
        <v>1357</v>
      </c>
      <c r="B1245" s="7" t="s">
        <v>1109</v>
      </c>
      <c r="C1245" s="8">
        <v>669.0</v>
      </c>
      <c r="D1245" s="8">
        <v>1499.0</v>
      </c>
      <c r="E1245" s="9">
        <v>0.55</v>
      </c>
      <c r="F1245" s="10">
        <v>2.3</v>
      </c>
      <c r="G1245" s="10">
        <v>13.0</v>
      </c>
      <c r="I1245" s="7"/>
      <c r="J1245" s="7"/>
      <c r="K1245" s="13" t="str">
        <f>IF(discount&gt;50%, product, "")</f>
        <v>Personal Size Blender, Portable Blender, Battery Powered USB Blender, with Four Blades, Mini Blender Travel Bottle for Juice, Shakes, and Smoothies (Pink)</v>
      </c>
      <c r="L1245" s="7"/>
      <c r="M1245" s="7"/>
      <c r="N1245" s="7"/>
      <c r="O1245" s="14"/>
      <c r="P1245" s="14"/>
    </row>
    <row r="1246">
      <c r="A1246" s="7" t="s">
        <v>1358</v>
      </c>
      <c r="B1246" s="7" t="s">
        <v>1144</v>
      </c>
      <c r="C1246" s="8">
        <v>5890.0</v>
      </c>
      <c r="D1246" s="8">
        <v>7506.0</v>
      </c>
      <c r="E1246" s="9">
        <v>0.22</v>
      </c>
      <c r="F1246" s="10">
        <v>4.5</v>
      </c>
      <c r="G1246" s="11">
        <v>7241.0</v>
      </c>
      <c r="I1246" s="7"/>
      <c r="J1246" s="7"/>
      <c r="K1246" s="13" t="str">
        <f>IF(discount&gt;50%, product, "")</f>
        <v/>
      </c>
      <c r="L1246" s="7"/>
      <c r="M1246" s="7"/>
      <c r="N1246" s="7"/>
      <c r="O1246" s="14"/>
      <c r="P1246" s="14"/>
    </row>
    <row r="1247">
      <c r="A1247" s="7" t="s">
        <v>1359</v>
      </c>
      <c r="B1247" s="7" t="s">
        <v>1280</v>
      </c>
      <c r="C1247" s="8">
        <v>9199.0</v>
      </c>
      <c r="D1247" s="8">
        <v>18000.0</v>
      </c>
      <c r="E1247" s="9">
        <v>0.49</v>
      </c>
      <c r="F1247" s="10">
        <v>4.0</v>
      </c>
      <c r="G1247" s="11">
        <v>16020.0</v>
      </c>
      <c r="I1247" s="7"/>
      <c r="J1247" s="7"/>
      <c r="K1247" s="13" t="str">
        <f>IF(discount&gt;50%, product, "")</f>
        <v/>
      </c>
      <c r="L1247" s="7"/>
      <c r="M1247" s="7"/>
      <c r="N1247" s="7"/>
      <c r="O1247" s="14"/>
      <c r="P1247" s="14"/>
    </row>
    <row r="1248">
      <c r="A1248" s="7" t="s">
        <v>1360</v>
      </c>
      <c r="B1248" s="7" t="s">
        <v>1137</v>
      </c>
      <c r="C1248" s="8">
        <v>351.0</v>
      </c>
      <c r="D1248" s="8">
        <v>1099.0</v>
      </c>
      <c r="E1248" s="9">
        <v>0.68</v>
      </c>
      <c r="F1248" s="10">
        <v>3.7</v>
      </c>
      <c r="G1248" s="11">
        <v>1470.0</v>
      </c>
      <c r="I1248" s="7"/>
      <c r="J1248" s="7"/>
      <c r="K1248" s="13" t="str">
        <f>IF(discount&gt;50%, product, "")</f>
        <v>PrettyKrafts Laundry Basket for clothes with Lid &amp; Handles, Toys Organiser, 75 Ltr Grey</v>
      </c>
      <c r="L1248" s="7"/>
      <c r="M1248" s="7"/>
      <c r="N1248" s="7"/>
      <c r="O1248" s="14"/>
      <c r="P1248" s="14"/>
    </row>
    <row r="1249">
      <c r="A1249" s="7" t="s">
        <v>1361</v>
      </c>
      <c r="B1249" s="7" t="s">
        <v>1362</v>
      </c>
      <c r="C1249" s="8">
        <v>899.0</v>
      </c>
      <c r="D1249" s="8">
        <v>1900.0</v>
      </c>
      <c r="E1249" s="9">
        <v>0.53</v>
      </c>
      <c r="F1249" s="10">
        <v>4.0</v>
      </c>
      <c r="G1249" s="11">
        <v>3663.0</v>
      </c>
      <c r="I1249" s="7"/>
      <c r="J1249" s="7"/>
      <c r="K1249" s="13" t="str">
        <f>IF(discount&gt;50%, product, "")</f>
        <v>Dr Trust Electronic Kitchen Digital Scale Weighing Machine (Blue)</v>
      </c>
      <c r="L1249" s="7"/>
      <c r="M1249" s="7"/>
      <c r="N1249" s="7"/>
      <c r="O1249" s="14"/>
      <c r="P1249" s="14"/>
    </row>
    <row r="1250">
      <c r="A1250" s="7" t="s">
        <v>1363</v>
      </c>
      <c r="B1250" s="7" t="s">
        <v>1121</v>
      </c>
      <c r="C1250" s="8">
        <v>1349.0</v>
      </c>
      <c r="D1250" s="8">
        <v>1850.0</v>
      </c>
      <c r="E1250" s="9">
        <v>0.27</v>
      </c>
      <c r="F1250" s="10">
        <v>4.4</v>
      </c>
      <c r="G1250" s="10">
        <v>638.0</v>
      </c>
      <c r="I1250" s="7"/>
      <c r="J1250" s="7"/>
      <c r="K1250" s="13" t="str">
        <f>IF(discount&gt;50%, product, "")</f>
        <v/>
      </c>
      <c r="L1250" s="7"/>
      <c r="M1250" s="7"/>
      <c r="N1250" s="7"/>
      <c r="O1250" s="14"/>
      <c r="P1250" s="14"/>
    </row>
    <row r="1251">
      <c r="A1251" s="7" t="s">
        <v>1364</v>
      </c>
      <c r="B1251" s="7" t="s">
        <v>1263</v>
      </c>
      <c r="C1251" s="8">
        <v>6236.0</v>
      </c>
      <c r="D1251" s="8">
        <v>9999.0</v>
      </c>
      <c r="E1251" s="9">
        <v>0.38</v>
      </c>
      <c r="F1251" s="10">
        <v>4.1</v>
      </c>
      <c r="G1251" s="11">
        <v>3552.0</v>
      </c>
      <c r="I1251" s="7"/>
      <c r="J1251" s="7"/>
      <c r="K1251" s="13" t="str">
        <f>IF(discount&gt;50%, product, "")</f>
        <v/>
      </c>
      <c r="L1251" s="7"/>
      <c r="M1251" s="7"/>
      <c r="N1251" s="7"/>
      <c r="O1251" s="14"/>
      <c r="P1251" s="14"/>
    </row>
    <row r="1252">
      <c r="A1252" s="7" t="s">
        <v>1365</v>
      </c>
      <c r="B1252" s="7" t="s">
        <v>1109</v>
      </c>
      <c r="C1252" s="8">
        <v>2742.0</v>
      </c>
      <c r="D1252" s="8">
        <v>3995.0</v>
      </c>
      <c r="E1252" s="9">
        <v>0.31</v>
      </c>
      <c r="F1252" s="10">
        <v>4.4</v>
      </c>
      <c r="G1252" s="11">
        <v>11148.0</v>
      </c>
      <c r="I1252" s="7"/>
      <c r="J1252" s="7"/>
      <c r="K1252" s="13" t="str">
        <f>IF(discount&gt;50%, product, "")</f>
        <v/>
      </c>
      <c r="L1252" s="7"/>
      <c r="M1252" s="7"/>
      <c r="N1252" s="7"/>
      <c r="O1252" s="14"/>
      <c r="P1252" s="14"/>
    </row>
    <row r="1253">
      <c r="A1253" s="7" t="s">
        <v>1366</v>
      </c>
      <c r="B1253" s="7" t="s">
        <v>1299</v>
      </c>
      <c r="C1253" s="8">
        <v>721.0</v>
      </c>
      <c r="D1253" s="8">
        <v>1499.0</v>
      </c>
      <c r="E1253" s="9">
        <v>0.52</v>
      </c>
      <c r="F1253" s="10">
        <v>3.1</v>
      </c>
      <c r="G1253" s="11">
        <v>2449.0</v>
      </c>
      <c r="I1253" s="7"/>
      <c r="J1253" s="7"/>
      <c r="K1253" s="13" t="str">
        <f>IF(discount&gt;50%, product, "")</f>
        <v>akiara - Makes life easy Electric Handy Sewing/Stitch Handheld Cordless Portable White Sewing Machine for Home Tailoring, Hand Machine | Mini Silai | White Hand Machine with Adapter</v>
      </c>
      <c r="L1253" s="7"/>
      <c r="M1253" s="7"/>
      <c r="N1253" s="7"/>
      <c r="O1253" s="14"/>
      <c r="P1253" s="14"/>
    </row>
    <row r="1254">
      <c r="A1254" s="7" t="s">
        <v>1367</v>
      </c>
      <c r="B1254" s="7" t="s">
        <v>1139</v>
      </c>
      <c r="C1254" s="8">
        <v>2903.0</v>
      </c>
      <c r="D1254" s="8">
        <v>3295.0</v>
      </c>
      <c r="E1254" s="9">
        <v>0.12</v>
      </c>
      <c r="F1254" s="10">
        <v>4.3</v>
      </c>
      <c r="G1254" s="11">
        <v>2299.0</v>
      </c>
      <c r="I1254" s="7"/>
      <c r="J1254" s="7"/>
      <c r="K1254" s="13" t="str">
        <f>IF(discount&gt;50%, product, "")</f>
        <v/>
      </c>
      <c r="L1254" s="7"/>
      <c r="M1254" s="7"/>
      <c r="N1254" s="7"/>
      <c r="O1254" s="14"/>
      <c r="P1254" s="14"/>
    </row>
    <row r="1255">
      <c r="A1255" s="7" t="s">
        <v>1368</v>
      </c>
      <c r="B1255" s="7" t="s">
        <v>1173</v>
      </c>
      <c r="C1255" s="8">
        <v>1656.0</v>
      </c>
      <c r="D1255" s="8">
        <v>2695.0</v>
      </c>
      <c r="E1255" s="9">
        <v>0.39</v>
      </c>
      <c r="F1255" s="10">
        <v>4.4</v>
      </c>
      <c r="G1255" s="11">
        <v>6027.0</v>
      </c>
      <c r="I1255" s="7"/>
      <c r="J1255" s="7"/>
      <c r="K1255" s="13" t="str">
        <f>IF(discount&gt;50%, product, "")</f>
        <v/>
      </c>
      <c r="L1255" s="7"/>
      <c r="M1255" s="7"/>
      <c r="N1255" s="7"/>
      <c r="O1255" s="14"/>
      <c r="P1255" s="14"/>
    </row>
    <row r="1256">
      <c r="A1256" s="7" t="s">
        <v>1369</v>
      </c>
      <c r="B1256" s="7" t="s">
        <v>1155</v>
      </c>
      <c r="C1256" s="8">
        <v>1399.0</v>
      </c>
      <c r="D1256" s="8">
        <v>2290.0</v>
      </c>
      <c r="E1256" s="9">
        <v>0.39</v>
      </c>
      <c r="F1256" s="10">
        <v>4.4</v>
      </c>
      <c r="G1256" s="10">
        <v>461.0</v>
      </c>
      <c r="I1256" s="7"/>
      <c r="J1256" s="7"/>
      <c r="K1256" s="13" t="str">
        <f>IF(discount&gt;50%, product, "")</f>
        <v/>
      </c>
      <c r="L1256" s="7"/>
      <c r="M1256" s="7"/>
      <c r="N1256" s="7"/>
      <c r="O1256" s="14"/>
      <c r="P1256" s="14"/>
    </row>
    <row r="1257">
      <c r="A1257" s="7" t="s">
        <v>1370</v>
      </c>
      <c r="B1257" s="7" t="s">
        <v>1159</v>
      </c>
      <c r="C1257" s="8">
        <v>2079.0</v>
      </c>
      <c r="D1257" s="8">
        <v>3099.0</v>
      </c>
      <c r="E1257" s="9">
        <v>0.33</v>
      </c>
      <c r="F1257" s="10">
        <v>4.1</v>
      </c>
      <c r="G1257" s="10">
        <v>282.0</v>
      </c>
      <c r="I1257" s="7"/>
      <c r="J1257" s="7"/>
      <c r="K1257" s="13" t="str">
        <f>IF(discount&gt;50%, product, "")</f>
        <v/>
      </c>
      <c r="L1257" s="7"/>
      <c r="M1257" s="7"/>
      <c r="N1257" s="7"/>
      <c r="O1257" s="14"/>
      <c r="P1257" s="14"/>
    </row>
    <row r="1258">
      <c r="A1258" s="7" t="s">
        <v>1371</v>
      </c>
      <c r="B1258" s="7" t="s">
        <v>1131</v>
      </c>
      <c r="C1258" s="8">
        <v>999.0</v>
      </c>
      <c r="D1258" s="8">
        <v>1075.0</v>
      </c>
      <c r="E1258" s="9">
        <v>0.07</v>
      </c>
      <c r="F1258" s="10">
        <v>4.1</v>
      </c>
      <c r="G1258" s="11">
        <v>9275.0</v>
      </c>
      <c r="I1258" s="7"/>
      <c r="J1258" s="7"/>
      <c r="K1258" s="13" t="str">
        <f>IF(discount&gt;50%, product, "")</f>
        <v/>
      </c>
      <c r="L1258" s="7"/>
      <c r="M1258" s="7"/>
      <c r="N1258" s="7"/>
      <c r="O1258" s="14"/>
      <c r="P1258" s="14"/>
    </row>
    <row r="1259">
      <c r="A1259" s="7" t="s">
        <v>1372</v>
      </c>
      <c r="B1259" s="7" t="s">
        <v>1148</v>
      </c>
      <c r="C1259" s="8">
        <v>3179.0</v>
      </c>
      <c r="D1259" s="8">
        <v>6999.0</v>
      </c>
      <c r="E1259" s="9">
        <v>0.55</v>
      </c>
      <c r="F1259" s="10">
        <v>4.0</v>
      </c>
      <c r="G1259" s="10">
        <v>743.0</v>
      </c>
      <c r="I1259" s="7"/>
      <c r="J1259" s="7"/>
      <c r="K1259" s="13" t="str">
        <f>IF(discount&gt;50%, product, "")</f>
        <v>Eureka Forbes Active Clean 700 Watts Powerful Suction &amp; Blower Vacuum Cleaner with Washable HEPA Filter &amp; 6 Accessories,1 Year Warranty,Compact,Light Weight &amp; Easy to use (Red &amp; Black)</v>
      </c>
      <c r="L1259" s="7"/>
      <c r="M1259" s="7"/>
      <c r="N1259" s="7"/>
      <c r="O1259" s="14"/>
      <c r="P1259" s="14"/>
    </row>
    <row r="1260">
      <c r="A1260" s="7" t="s">
        <v>1373</v>
      </c>
      <c r="B1260" s="7" t="s">
        <v>1115</v>
      </c>
      <c r="C1260" s="8">
        <v>1049.0</v>
      </c>
      <c r="D1260" s="8">
        <v>2499.0</v>
      </c>
      <c r="E1260" s="9">
        <v>0.58</v>
      </c>
      <c r="F1260" s="10">
        <v>3.6</v>
      </c>
      <c r="G1260" s="10">
        <v>328.0</v>
      </c>
      <c r="I1260" s="7"/>
      <c r="J1260" s="7"/>
      <c r="K1260" s="13" t="str">
        <f>IF(discount&gt;50%, product, "")</f>
        <v>CSI INTERNATIONAL® Instant Water Geyser, Water Heater, Portable Water Heater, Geyser Made of First Class ABS Plastic 3KW (White)</v>
      </c>
      <c r="L1260" s="7"/>
      <c r="M1260" s="7"/>
      <c r="N1260" s="7"/>
      <c r="O1260" s="14"/>
      <c r="P1260" s="14"/>
    </row>
    <row r="1261">
      <c r="A1261" s="7" t="s">
        <v>1374</v>
      </c>
      <c r="B1261" s="7" t="s">
        <v>1115</v>
      </c>
      <c r="C1261" s="8">
        <v>3599.0</v>
      </c>
      <c r="D1261" s="8">
        <v>7290.0</v>
      </c>
      <c r="E1261" s="9">
        <v>0.51</v>
      </c>
      <c r="F1261" s="10">
        <v>3.9</v>
      </c>
      <c r="G1261" s="10">
        <v>942.0</v>
      </c>
      <c r="I1261" s="7"/>
      <c r="J1261" s="7"/>
      <c r="K1261" s="13" t="str">
        <f>IF(discount&gt;50%, product, "")</f>
        <v>Hindware Atlantic Xceed 5L 3kW Instant Water Heater with Copper Heating Element and High Grade Stainless Steel Tank</v>
      </c>
      <c r="L1261" s="7"/>
      <c r="M1261" s="7"/>
      <c r="N1261" s="7"/>
      <c r="O1261" s="14"/>
      <c r="P1261" s="14"/>
    </row>
    <row r="1262">
      <c r="A1262" s="7" t="s">
        <v>1375</v>
      </c>
      <c r="B1262" s="7" t="s">
        <v>1376</v>
      </c>
      <c r="C1262" s="8">
        <v>4799.0</v>
      </c>
      <c r="D1262" s="8">
        <v>5795.0</v>
      </c>
      <c r="E1262" s="9">
        <v>0.17</v>
      </c>
      <c r="F1262" s="10">
        <v>3.9</v>
      </c>
      <c r="G1262" s="11">
        <v>3815.0</v>
      </c>
      <c r="I1262" s="7"/>
      <c r="J1262" s="7"/>
      <c r="K1262" s="13" t="str">
        <f>IF(discount&gt;50%, product, "")</f>
        <v/>
      </c>
      <c r="L1262" s="7"/>
      <c r="M1262" s="7"/>
      <c r="N1262" s="7"/>
      <c r="O1262" s="14"/>
      <c r="P1262" s="14"/>
    </row>
    <row r="1263">
      <c r="A1263" s="7" t="s">
        <v>1377</v>
      </c>
      <c r="B1263" s="7" t="s">
        <v>1113</v>
      </c>
      <c r="C1263" s="8">
        <v>1699.0</v>
      </c>
      <c r="D1263" s="8">
        <v>3398.0</v>
      </c>
      <c r="E1263" s="9">
        <v>0.5</v>
      </c>
      <c r="F1263" s="10">
        <v>3.8</v>
      </c>
      <c r="G1263" s="11">
        <v>7988.0</v>
      </c>
      <c r="I1263" s="7"/>
      <c r="J1263" s="7"/>
      <c r="K1263" s="13" t="str">
        <f>IF(discount&gt;50%, product, "")</f>
        <v/>
      </c>
      <c r="L1263" s="7"/>
      <c r="M1263" s="7"/>
      <c r="N1263" s="7"/>
      <c r="O1263" s="14"/>
      <c r="P1263" s="14"/>
    </row>
    <row r="1264">
      <c r="A1264" s="7" t="s">
        <v>1378</v>
      </c>
      <c r="B1264" s="7" t="s">
        <v>1121</v>
      </c>
      <c r="C1264" s="8">
        <v>664.0</v>
      </c>
      <c r="D1264" s="8">
        <v>1490.0</v>
      </c>
      <c r="E1264" s="9">
        <v>0.55</v>
      </c>
      <c r="F1264" s="10">
        <v>4.1</v>
      </c>
      <c r="G1264" s="10">
        <v>925.0</v>
      </c>
      <c r="I1264" s="7"/>
      <c r="J1264" s="7"/>
      <c r="K1264" s="13" t="str">
        <f>IF(discount&gt;50%, product, "")</f>
        <v>iBELL Castor CTEK15L Premium 1.5 Litre Stainless Steel Electric Kettle,1500W Auto Cut-Off Feature,Silver</v>
      </c>
      <c r="L1264" s="7"/>
      <c r="M1264" s="7"/>
      <c r="N1264" s="7"/>
      <c r="O1264" s="14"/>
      <c r="P1264" s="14"/>
    </row>
    <row r="1265">
      <c r="A1265" s="7" t="s">
        <v>1379</v>
      </c>
      <c r="B1265" s="7" t="s">
        <v>1380</v>
      </c>
      <c r="C1265" s="8">
        <v>948.0</v>
      </c>
      <c r="D1265" s="8">
        <v>1620.0</v>
      </c>
      <c r="E1265" s="9">
        <v>0.41</v>
      </c>
      <c r="F1265" s="10">
        <v>4.1</v>
      </c>
      <c r="G1265" s="11">
        <v>4370.0</v>
      </c>
      <c r="I1265" s="7"/>
      <c r="J1265" s="7"/>
      <c r="K1265" s="13" t="str">
        <f>IF(discount&gt;50%, product, "")</f>
        <v/>
      </c>
      <c r="L1265" s="7"/>
      <c r="M1265" s="7"/>
      <c r="N1265" s="7"/>
      <c r="O1265" s="14"/>
      <c r="P1265" s="14"/>
    </row>
    <row r="1266">
      <c r="A1266" s="7" t="s">
        <v>1381</v>
      </c>
      <c r="B1266" s="7" t="s">
        <v>1111</v>
      </c>
      <c r="C1266" s="8">
        <v>850.0</v>
      </c>
      <c r="D1266" s="8">
        <v>1000.0</v>
      </c>
      <c r="E1266" s="9">
        <v>0.15</v>
      </c>
      <c r="F1266" s="10">
        <v>4.1</v>
      </c>
      <c r="G1266" s="11">
        <v>7619.0</v>
      </c>
      <c r="I1266" s="7"/>
      <c r="J1266" s="7"/>
      <c r="K1266" s="13" t="str">
        <f>IF(discount&gt;50%, product, "")</f>
        <v/>
      </c>
      <c r="L1266" s="7"/>
      <c r="M1266" s="7"/>
      <c r="N1266" s="7"/>
      <c r="O1266" s="14"/>
      <c r="P1266" s="14"/>
    </row>
    <row r="1267">
      <c r="A1267" s="7" t="s">
        <v>1382</v>
      </c>
      <c r="B1267" s="7" t="s">
        <v>1230</v>
      </c>
      <c r="C1267" s="8">
        <v>600.0</v>
      </c>
      <c r="D1267" s="8">
        <v>640.0</v>
      </c>
      <c r="E1267" s="9">
        <v>0.06</v>
      </c>
      <c r="F1267" s="10">
        <v>3.8</v>
      </c>
      <c r="G1267" s="11">
        <v>2593.0</v>
      </c>
      <c r="I1267" s="7"/>
      <c r="J1267" s="7"/>
      <c r="K1267" s="13" t="str">
        <f>IF(discount&gt;50%, product, "")</f>
        <v/>
      </c>
      <c r="L1267" s="7"/>
      <c r="M1267" s="7"/>
      <c r="N1267" s="7"/>
      <c r="O1267" s="14"/>
      <c r="P1267" s="14"/>
    </row>
    <row r="1268">
      <c r="A1268" s="7" t="s">
        <v>1383</v>
      </c>
      <c r="B1268" s="7" t="s">
        <v>1089</v>
      </c>
      <c r="C1268" s="8">
        <v>3711.0</v>
      </c>
      <c r="D1268" s="8">
        <v>4495.0</v>
      </c>
      <c r="E1268" s="9">
        <v>0.17</v>
      </c>
      <c r="F1268" s="10">
        <v>4.3</v>
      </c>
      <c r="G1268" s="10">
        <v>356.0</v>
      </c>
      <c r="I1268" s="7"/>
      <c r="J1268" s="7"/>
      <c r="K1268" s="13" t="str">
        <f>IF(discount&gt;50%, product, "")</f>
        <v/>
      </c>
      <c r="L1268" s="7"/>
      <c r="M1268" s="7"/>
      <c r="N1268" s="7"/>
      <c r="O1268" s="14"/>
      <c r="P1268" s="14"/>
    </row>
    <row r="1269">
      <c r="A1269" s="7" t="s">
        <v>1384</v>
      </c>
      <c r="B1269" s="7" t="s">
        <v>1095</v>
      </c>
      <c r="C1269" s="8">
        <v>799.0</v>
      </c>
      <c r="D1269" s="8">
        <v>2999.0</v>
      </c>
      <c r="E1269" s="9">
        <v>0.73</v>
      </c>
      <c r="F1269" s="10">
        <v>4.5</v>
      </c>
      <c r="G1269" s="10">
        <v>63.0</v>
      </c>
      <c r="I1269" s="7"/>
      <c r="J1269" s="7"/>
      <c r="K1269" s="13" t="str">
        <f>IF(discount&gt;50%, product, "")</f>
        <v>Gadgetronics Digital Kitchen Weighing Scale &amp; Food Weight Machine for Health, Fitness, Home Baking &amp; Cooking (10 KGs,1 Year Warranty &amp; Batteries Included)</v>
      </c>
      <c r="L1269" s="7"/>
      <c r="M1269" s="7"/>
      <c r="N1269" s="7"/>
      <c r="O1269" s="14"/>
      <c r="P1269" s="14"/>
    </row>
    <row r="1270">
      <c r="A1270" s="7" t="s">
        <v>1385</v>
      </c>
      <c r="B1270" s="7" t="s">
        <v>1228</v>
      </c>
      <c r="C1270" s="8">
        <v>980.0</v>
      </c>
      <c r="D1270" s="8">
        <v>980.0</v>
      </c>
      <c r="E1270" s="9">
        <v>0.0</v>
      </c>
      <c r="F1270" s="10">
        <v>4.2</v>
      </c>
      <c r="G1270" s="11">
        <v>4740.0</v>
      </c>
      <c r="I1270" s="7"/>
      <c r="J1270" s="7"/>
      <c r="K1270" s="13" t="str">
        <f>IF(discount&gt;50%, product, "")</f>
        <v/>
      </c>
      <c r="L1270" s="7"/>
      <c r="M1270" s="7"/>
      <c r="N1270" s="7"/>
      <c r="O1270" s="14"/>
      <c r="P1270" s="14"/>
    </row>
    <row r="1271">
      <c r="A1271" s="7" t="s">
        <v>1386</v>
      </c>
      <c r="B1271" s="7" t="s">
        <v>1137</v>
      </c>
      <c r="C1271" s="8">
        <v>351.0</v>
      </c>
      <c r="D1271" s="8">
        <v>899.0</v>
      </c>
      <c r="E1271" s="9">
        <v>0.61</v>
      </c>
      <c r="F1271" s="10">
        <v>3.9</v>
      </c>
      <c r="G1271" s="10">
        <v>296.0</v>
      </c>
      <c r="I1271" s="7"/>
      <c r="J1271" s="7"/>
      <c r="K1271" s="13" t="str">
        <f>IF(discount&gt;50%, product, "")</f>
        <v>Tom &amp; Jerry Folding Laundry Basket for Clothes with Lid &amp; Handle, Toys Organiser, 75 Litre, Green</v>
      </c>
      <c r="L1271" s="7"/>
      <c r="M1271" s="7"/>
      <c r="N1271" s="7"/>
      <c r="O1271" s="14"/>
      <c r="P1271" s="14"/>
    </row>
    <row r="1272">
      <c r="A1272" s="7" t="s">
        <v>1387</v>
      </c>
      <c r="B1272" s="7" t="s">
        <v>1388</v>
      </c>
      <c r="C1272" s="8">
        <v>229.0</v>
      </c>
      <c r="D1272" s="8">
        <v>499.0</v>
      </c>
      <c r="E1272" s="9">
        <v>0.54</v>
      </c>
      <c r="F1272" s="10">
        <v>3.5</v>
      </c>
      <c r="G1272" s="10">
        <v>185.0</v>
      </c>
      <c r="I1272" s="7"/>
      <c r="J1272" s="7"/>
      <c r="K1272" s="13" t="str">
        <f>IF(discount&gt;50%, product, "")</f>
        <v>Ikea Little Loved Corner PRODUKT Milk-frother, Coffee/Tea Frother, Handheld Milk Wand Mixer Frother, Black</v>
      </c>
      <c r="L1272" s="7"/>
      <c r="M1272" s="7"/>
      <c r="N1272" s="7"/>
      <c r="O1272" s="14"/>
      <c r="P1272" s="14"/>
    </row>
    <row r="1273">
      <c r="A1273" s="7" t="s">
        <v>1389</v>
      </c>
      <c r="B1273" s="7" t="s">
        <v>1139</v>
      </c>
      <c r="C1273" s="8">
        <v>3349.0</v>
      </c>
      <c r="D1273" s="8">
        <v>3995.0</v>
      </c>
      <c r="E1273" s="9">
        <v>0.16</v>
      </c>
      <c r="F1273" s="10">
        <v>4.3</v>
      </c>
      <c r="G1273" s="11">
        <v>1954.0</v>
      </c>
      <c r="I1273" s="7"/>
      <c r="J1273" s="7"/>
      <c r="K1273" s="13" t="str">
        <f>IF(discount&gt;50%, product, "")</f>
        <v/>
      </c>
      <c r="L1273" s="7"/>
      <c r="M1273" s="7"/>
      <c r="N1273" s="7"/>
      <c r="O1273" s="14"/>
      <c r="P1273" s="14"/>
    </row>
    <row r="1274">
      <c r="A1274" s="7" t="s">
        <v>1390</v>
      </c>
      <c r="B1274" s="7" t="s">
        <v>1123</v>
      </c>
      <c r="C1274" s="8">
        <v>5499.0</v>
      </c>
      <c r="D1274" s="8">
        <v>11500.0</v>
      </c>
      <c r="E1274" s="9">
        <v>0.52</v>
      </c>
      <c r="F1274" s="10">
        <v>3.9</v>
      </c>
      <c r="G1274" s="10">
        <v>959.0</v>
      </c>
      <c r="I1274" s="7"/>
      <c r="J1274" s="7"/>
      <c r="K1274" s="13" t="str">
        <f>IF(discount&gt;50%, product, "")</f>
        <v>Bajaj New Shakti Neo Plus 15 Litre 4 Star Rated Storage Water Heater (Geyser) with Multiple Safety System, White</v>
      </c>
      <c r="L1274" s="7"/>
      <c r="M1274" s="7"/>
      <c r="N1274" s="7"/>
      <c r="O1274" s="14"/>
      <c r="P1274" s="14"/>
    </row>
    <row r="1275">
      <c r="A1275" s="7" t="s">
        <v>1391</v>
      </c>
      <c r="B1275" s="7" t="s">
        <v>1093</v>
      </c>
      <c r="C1275" s="8">
        <v>299.0</v>
      </c>
      <c r="D1275" s="8">
        <v>499.0</v>
      </c>
      <c r="E1275" s="9">
        <v>0.4</v>
      </c>
      <c r="F1275" s="10">
        <v>3.9</v>
      </c>
      <c r="G1275" s="11">
        <v>1015.0</v>
      </c>
      <c r="I1275" s="7"/>
      <c r="J1275" s="7"/>
      <c r="K1275" s="13" t="str">
        <f>IF(discount&gt;50%, product, "")</f>
        <v/>
      </c>
      <c r="L1275" s="7"/>
      <c r="M1275" s="7"/>
      <c r="N1275" s="7"/>
      <c r="O1275" s="14"/>
      <c r="P1275" s="14"/>
    </row>
    <row r="1276">
      <c r="A1276" s="7" t="s">
        <v>1392</v>
      </c>
      <c r="B1276" s="7" t="s">
        <v>1393</v>
      </c>
      <c r="C1276" s="8">
        <v>2249.0</v>
      </c>
      <c r="D1276" s="8">
        <v>3550.0</v>
      </c>
      <c r="E1276" s="9">
        <v>0.37</v>
      </c>
      <c r="F1276" s="10">
        <v>4.0</v>
      </c>
      <c r="G1276" s="11">
        <v>3973.0</v>
      </c>
      <c r="I1276" s="7"/>
      <c r="J1276" s="7"/>
      <c r="K1276" s="13" t="str">
        <f>IF(discount&gt;50%, product, "")</f>
        <v/>
      </c>
      <c r="L1276" s="7"/>
      <c r="M1276" s="7"/>
      <c r="N1276" s="7"/>
      <c r="O1276" s="14"/>
      <c r="P1276" s="14"/>
    </row>
    <row r="1277">
      <c r="A1277" s="7" t="s">
        <v>1394</v>
      </c>
      <c r="B1277" s="7" t="s">
        <v>1155</v>
      </c>
      <c r="C1277" s="8">
        <v>699.0</v>
      </c>
      <c r="D1277" s="8">
        <v>1599.0</v>
      </c>
      <c r="E1277" s="9">
        <v>0.56</v>
      </c>
      <c r="F1277" s="10">
        <v>4.7</v>
      </c>
      <c r="G1277" s="11">
        <v>2300.0</v>
      </c>
      <c r="I1277" s="7"/>
      <c r="J1277" s="7"/>
      <c r="K1277" s="13" t="str">
        <f>IF(discount&gt;50%, product, "")</f>
        <v>Multifunctional 2 in 1 Electric Egg Boiling Steamer Egg Frying Pan Egg Boiler Electric Automatic Off with Egg Boiler Machine Non-Stick Electric Egg Frying Pan-Tiger Woods (Multy)</v>
      </c>
      <c r="L1277" s="7"/>
      <c r="M1277" s="7"/>
      <c r="N1277" s="7"/>
      <c r="O1277" s="14"/>
      <c r="P1277" s="14"/>
    </row>
    <row r="1278">
      <c r="A1278" s="7" t="s">
        <v>1395</v>
      </c>
      <c r="B1278" s="7" t="s">
        <v>1089</v>
      </c>
      <c r="C1278" s="8">
        <v>1235.0</v>
      </c>
      <c r="D1278" s="8">
        <v>1499.0</v>
      </c>
      <c r="E1278" s="9">
        <v>0.18</v>
      </c>
      <c r="F1278" s="10">
        <v>4.1</v>
      </c>
      <c r="G1278" s="10">
        <v>203.0</v>
      </c>
      <c r="I1278" s="7"/>
      <c r="J1278" s="7"/>
      <c r="K1278" s="13" t="str">
        <f>IF(discount&gt;50%, product, "")</f>
        <v/>
      </c>
      <c r="L1278" s="7"/>
      <c r="M1278" s="7"/>
      <c r="N1278" s="7"/>
      <c r="O1278" s="14"/>
      <c r="P1278" s="14"/>
    </row>
    <row r="1279">
      <c r="A1279" s="7" t="s">
        <v>1396</v>
      </c>
      <c r="B1279" s="7" t="s">
        <v>1173</v>
      </c>
      <c r="C1279" s="8">
        <v>1349.0</v>
      </c>
      <c r="D1279" s="8">
        <v>2999.0</v>
      </c>
      <c r="E1279" s="9">
        <v>0.55</v>
      </c>
      <c r="F1279" s="10">
        <v>3.8</v>
      </c>
      <c r="G1279" s="10">
        <v>441.0</v>
      </c>
      <c r="I1279" s="7"/>
      <c r="J1279" s="7"/>
      <c r="K1279" s="13" t="str">
        <f>IF(discount&gt;50%, product, "")</f>
        <v>KENT Electric Chopper-B for Kitchen 250 Watt | Chop, Mince, Puree, Whisk, 400 ml Capacity | Stainless Steel Double Chopping Blades | Transparent Chopping Bowl | Anti-Skid | One Touch Operation | Black</v>
      </c>
      <c r="L1279" s="7"/>
      <c r="M1279" s="7"/>
      <c r="N1279" s="7"/>
      <c r="O1279" s="14"/>
      <c r="P1279" s="14"/>
    </row>
    <row r="1280">
      <c r="A1280" s="7" t="s">
        <v>1397</v>
      </c>
      <c r="B1280" s="7" t="s">
        <v>1123</v>
      </c>
      <c r="C1280" s="8">
        <v>6800.0</v>
      </c>
      <c r="D1280" s="8">
        <v>11500.0</v>
      </c>
      <c r="E1280" s="9">
        <v>0.41</v>
      </c>
      <c r="F1280" s="10">
        <v>4.1</v>
      </c>
      <c r="G1280" s="11">
        <v>10308.0</v>
      </c>
      <c r="I1280" s="7"/>
      <c r="J1280" s="7"/>
      <c r="K1280" s="13" t="str">
        <f>IF(discount&gt;50%, product, "")</f>
        <v/>
      </c>
      <c r="L1280" s="7"/>
      <c r="M1280" s="7"/>
      <c r="N1280" s="7"/>
      <c r="O1280" s="14"/>
      <c r="P1280" s="14"/>
    </row>
    <row r="1281">
      <c r="A1281" s="7" t="s">
        <v>1398</v>
      </c>
      <c r="B1281" s="7" t="s">
        <v>1148</v>
      </c>
      <c r="C1281" s="8">
        <v>2099.0</v>
      </c>
      <c r="D1281" s="8">
        <v>2499.0</v>
      </c>
      <c r="E1281" s="9">
        <v>0.16</v>
      </c>
      <c r="F1281" s="7" t="s">
        <v>1399</v>
      </c>
      <c r="G1281" s="10">
        <v>992.0</v>
      </c>
      <c r="I1281" s="7"/>
      <c r="J1281" s="7"/>
      <c r="K1281" s="13" t="str">
        <f>IF(discount&gt;50%, product, "")</f>
        <v/>
      </c>
      <c r="L1281" s="7"/>
      <c r="M1281" s="7"/>
      <c r="N1281" s="7"/>
      <c r="O1281" s="14"/>
      <c r="P1281" s="14"/>
    </row>
    <row r="1282">
      <c r="A1282" s="7" t="s">
        <v>1400</v>
      </c>
      <c r="B1282" s="7" t="s">
        <v>1159</v>
      </c>
      <c r="C1282" s="8">
        <v>1699.0</v>
      </c>
      <c r="D1282" s="8">
        <v>1975.0</v>
      </c>
      <c r="E1282" s="9">
        <v>0.14</v>
      </c>
      <c r="F1282" s="10">
        <v>4.1</v>
      </c>
      <c r="G1282" s="11">
        <v>4716.0</v>
      </c>
      <c r="I1282" s="7"/>
      <c r="J1282" s="7"/>
      <c r="K1282" s="13" t="str">
        <f>IF(discount&gt;50%, product, "")</f>
        <v/>
      </c>
      <c r="L1282" s="7"/>
      <c r="M1282" s="7"/>
      <c r="N1282" s="7"/>
      <c r="O1282" s="14"/>
      <c r="P1282" s="14"/>
    </row>
    <row r="1283">
      <c r="A1283" s="7" t="s">
        <v>1401</v>
      </c>
      <c r="B1283" s="7" t="s">
        <v>1091</v>
      </c>
      <c r="C1283" s="8">
        <v>1069.0</v>
      </c>
      <c r="D1283" s="8">
        <v>1699.0</v>
      </c>
      <c r="E1283" s="9">
        <v>0.37</v>
      </c>
      <c r="F1283" s="10">
        <v>3.9</v>
      </c>
      <c r="G1283" s="10">
        <v>313.0</v>
      </c>
      <c r="I1283" s="7"/>
      <c r="J1283" s="7"/>
      <c r="K1283" s="13" t="str">
        <f>IF(discount&gt;50%, product, "")</f>
        <v/>
      </c>
      <c r="L1283" s="7"/>
      <c r="M1283" s="7"/>
      <c r="N1283" s="7"/>
      <c r="O1283" s="14"/>
      <c r="P1283" s="14"/>
    </row>
    <row r="1284">
      <c r="A1284" s="7" t="s">
        <v>1402</v>
      </c>
      <c r="B1284" s="7" t="s">
        <v>1091</v>
      </c>
      <c r="C1284" s="8">
        <v>1349.0</v>
      </c>
      <c r="D1284" s="8">
        <v>2495.0</v>
      </c>
      <c r="E1284" s="9">
        <v>0.46</v>
      </c>
      <c r="F1284" s="10">
        <v>3.8</v>
      </c>
      <c r="G1284" s="10">
        <v>166.0</v>
      </c>
      <c r="I1284" s="7"/>
      <c r="J1284" s="7"/>
      <c r="K1284" s="13" t="str">
        <f>IF(discount&gt;50%, product, "")</f>
        <v/>
      </c>
      <c r="L1284" s="7"/>
      <c r="M1284" s="7"/>
      <c r="N1284" s="7"/>
      <c r="O1284" s="14"/>
      <c r="P1284" s="14"/>
    </row>
    <row r="1285">
      <c r="A1285" s="7" t="s">
        <v>1403</v>
      </c>
      <c r="B1285" s="7" t="s">
        <v>1131</v>
      </c>
      <c r="C1285" s="8">
        <v>1499.0</v>
      </c>
      <c r="D1285" s="8">
        <v>3500.0</v>
      </c>
      <c r="E1285" s="9">
        <v>0.57</v>
      </c>
      <c r="F1285" s="10">
        <v>4.1</v>
      </c>
      <c r="G1285" s="10">
        <v>303.0</v>
      </c>
      <c r="I1285" s="7"/>
      <c r="J1285" s="7"/>
      <c r="K1285" s="13" t="str">
        <f>IF(discount&gt;50%, product, "")</f>
        <v>Havells Zella Flap Auto Immersion Rod 1500 Watts</v>
      </c>
      <c r="L1285" s="7"/>
      <c r="M1285" s="7"/>
      <c r="N1285" s="7"/>
      <c r="O1285" s="14"/>
      <c r="P1285" s="14"/>
    </row>
    <row r="1286">
      <c r="A1286" s="7" t="s">
        <v>1404</v>
      </c>
      <c r="B1286" s="7" t="s">
        <v>1159</v>
      </c>
      <c r="C1286" s="8">
        <v>2092.0</v>
      </c>
      <c r="D1286" s="8">
        <v>4600.0</v>
      </c>
      <c r="E1286" s="9">
        <v>0.55</v>
      </c>
      <c r="F1286" s="10">
        <v>4.3</v>
      </c>
      <c r="G1286" s="10">
        <v>562.0</v>
      </c>
      <c r="I1286" s="7"/>
      <c r="J1286" s="7"/>
      <c r="K1286" s="13" t="str">
        <f>IF(discount&gt;50%, product, "")</f>
        <v>iBELL SM1301 3-in-1 Sandwich Maker with Detachable Plates for Toast / Waffle / Grill , 750 Watt (Black)</v>
      </c>
      <c r="L1286" s="7"/>
      <c r="M1286" s="7"/>
      <c r="N1286" s="7"/>
      <c r="O1286" s="14"/>
      <c r="P1286" s="14"/>
    </row>
    <row r="1287">
      <c r="A1287" s="7" t="s">
        <v>1405</v>
      </c>
      <c r="B1287" s="7" t="s">
        <v>1263</v>
      </c>
      <c r="C1287" s="8">
        <v>3859.0</v>
      </c>
      <c r="D1287" s="8">
        <v>10295.0</v>
      </c>
      <c r="E1287" s="9">
        <v>0.63</v>
      </c>
      <c r="F1287" s="10">
        <v>3.9</v>
      </c>
      <c r="G1287" s="11">
        <v>8095.0</v>
      </c>
      <c r="I1287" s="7"/>
      <c r="J1287" s="7"/>
      <c r="K1287" s="13" t="str">
        <f>IF(discount&gt;50%, product, "")</f>
        <v>Inalsa Vacuum Cleaner Wet and Dry Micro WD10 with 3in1 Multifunction Wet/Dry/Blowing| 14KPA Suction and Impact Resistant Polymer Tank,(Yellow/Black)</v>
      </c>
      <c r="L1287" s="7"/>
      <c r="M1287" s="7"/>
      <c r="N1287" s="7"/>
      <c r="O1287" s="14"/>
      <c r="P1287" s="14"/>
    </row>
    <row r="1288">
      <c r="A1288" s="7" t="s">
        <v>1406</v>
      </c>
      <c r="B1288" s="7" t="s">
        <v>1144</v>
      </c>
      <c r="C1288" s="8">
        <v>499.0</v>
      </c>
      <c r="D1288" s="8">
        <v>2199.0</v>
      </c>
      <c r="E1288" s="9">
        <v>0.77</v>
      </c>
      <c r="F1288" s="10">
        <v>2.8</v>
      </c>
      <c r="G1288" s="10">
        <v>109.0</v>
      </c>
      <c r="I1288" s="7"/>
      <c r="J1288" s="7"/>
      <c r="K1288" s="13" t="str">
        <f>IF(discount&gt;50%, product, "")</f>
        <v>MR. BRAND Portable USB Juicer Electric USB Juice Maker Mixer Bottle Blender Grinder Mixer,6 Blades Rechargeable Bottle with (Multi color) (MULTI MIXER 6 BLED)</v>
      </c>
      <c r="L1288" s="7"/>
      <c r="M1288" s="7"/>
      <c r="N1288" s="7"/>
      <c r="O1288" s="14"/>
      <c r="P1288" s="14"/>
    </row>
    <row r="1289">
      <c r="A1289" s="7" t="s">
        <v>1407</v>
      </c>
      <c r="B1289" s="7" t="s">
        <v>1186</v>
      </c>
      <c r="C1289" s="8">
        <v>1804.0</v>
      </c>
      <c r="D1289" s="8">
        <v>2380.0</v>
      </c>
      <c r="E1289" s="9">
        <v>0.24</v>
      </c>
      <c r="F1289" s="10">
        <v>4.0</v>
      </c>
      <c r="G1289" s="11">
        <v>15382.0</v>
      </c>
      <c r="I1289" s="7"/>
      <c r="J1289" s="7"/>
      <c r="K1289" s="13" t="str">
        <f>IF(discount&gt;50%, product, "")</f>
        <v/>
      </c>
      <c r="L1289" s="7"/>
      <c r="M1289" s="7"/>
      <c r="N1289" s="7"/>
      <c r="O1289" s="14"/>
      <c r="P1289" s="14"/>
    </row>
    <row r="1290">
      <c r="A1290" s="7" t="s">
        <v>1408</v>
      </c>
      <c r="B1290" s="7" t="s">
        <v>1144</v>
      </c>
      <c r="C1290" s="8">
        <v>6525.0</v>
      </c>
      <c r="D1290" s="8">
        <v>8820.0</v>
      </c>
      <c r="E1290" s="9">
        <v>0.26</v>
      </c>
      <c r="F1290" s="10">
        <v>4.5</v>
      </c>
      <c r="G1290" s="11">
        <v>5137.0</v>
      </c>
      <c r="I1290" s="7"/>
      <c r="J1290" s="7"/>
      <c r="K1290" s="13" t="str">
        <f>IF(discount&gt;50%, product, "")</f>
        <v/>
      </c>
      <c r="L1290" s="7"/>
      <c r="M1290" s="7"/>
      <c r="N1290" s="7"/>
      <c r="O1290" s="14"/>
      <c r="P1290" s="14"/>
    </row>
    <row r="1291">
      <c r="A1291" s="7" t="s">
        <v>1409</v>
      </c>
      <c r="B1291" s="7" t="s">
        <v>1280</v>
      </c>
      <c r="C1291" s="8">
        <v>4999.0</v>
      </c>
      <c r="D1291" s="8">
        <v>24999.0</v>
      </c>
      <c r="E1291" s="9">
        <v>0.8</v>
      </c>
      <c r="F1291" s="10">
        <v>4.6</v>
      </c>
      <c r="G1291" s="10">
        <v>124.0</v>
      </c>
      <c r="I1291" s="7"/>
      <c r="J1291" s="7"/>
      <c r="K1291" s="13" t="str">
        <f>IF(discount&gt;50%, product, "")</f>
        <v>Aquadpure Copper + Mineral RO+UV+UF 10 to 12 Liter RO + UV + TDS ADJUSTER Water Purifier with Copper Charge Technology black &amp; copper Best For Home and Office (Made In India)</v>
      </c>
      <c r="L1291" s="7"/>
      <c r="M1291" s="7"/>
      <c r="N1291" s="7"/>
      <c r="O1291" s="14"/>
      <c r="P1291" s="14"/>
    </row>
    <row r="1292">
      <c r="A1292" s="7" t="s">
        <v>1410</v>
      </c>
      <c r="B1292" s="7" t="s">
        <v>1225</v>
      </c>
      <c r="C1292" s="8">
        <v>1189.0</v>
      </c>
      <c r="D1292" s="8">
        <v>2400.0</v>
      </c>
      <c r="E1292" s="9">
        <v>0.5</v>
      </c>
      <c r="F1292" s="10">
        <v>4.1</v>
      </c>
      <c r="G1292" s="10">
        <v>618.0</v>
      </c>
      <c r="I1292" s="7"/>
      <c r="J1292" s="7"/>
      <c r="K1292" s="13" t="str">
        <f>IF(discount&gt;50%, product, "")</f>
        <v/>
      </c>
      <c r="L1292" s="7"/>
      <c r="M1292" s="7"/>
      <c r="N1292" s="7"/>
      <c r="O1292" s="14"/>
      <c r="P1292" s="14"/>
    </row>
    <row r="1293">
      <c r="A1293" s="7" t="s">
        <v>1411</v>
      </c>
      <c r="B1293" s="7" t="s">
        <v>1091</v>
      </c>
      <c r="C1293" s="8">
        <v>2590.0</v>
      </c>
      <c r="D1293" s="8">
        <v>4200.0</v>
      </c>
      <c r="E1293" s="9">
        <v>0.38</v>
      </c>
      <c r="F1293" s="10">
        <v>4.1</v>
      </c>
      <c r="G1293" s="10">
        <v>63.0</v>
      </c>
      <c r="I1293" s="7"/>
      <c r="J1293" s="7"/>
      <c r="K1293" s="13" t="str">
        <f>IF(discount&gt;50%, product, "")</f>
        <v/>
      </c>
      <c r="L1293" s="7"/>
      <c r="M1293" s="7"/>
      <c r="N1293" s="7"/>
      <c r="O1293" s="14"/>
      <c r="P1293" s="14"/>
    </row>
    <row r="1294">
      <c r="A1294" s="7" t="s">
        <v>1412</v>
      </c>
      <c r="B1294" s="7" t="s">
        <v>1091</v>
      </c>
      <c r="C1294" s="8">
        <v>899.0</v>
      </c>
      <c r="D1294" s="8">
        <v>1599.0</v>
      </c>
      <c r="E1294" s="9">
        <v>0.44</v>
      </c>
      <c r="F1294" s="10">
        <v>3.4</v>
      </c>
      <c r="G1294" s="10">
        <v>15.0</v>
      </c>
      <c r="I1294" s="7"/>
      <c r="J1294" s="7"/>
      <c r="K1294" s="13" t="str">
        <f>IF(discount&gt;50%, product, "")</f>
        <v/>
      </c>
      <c r="L1294" s="7"/>
      <c r="M1294" s="7"/>
      <c r="N1294" s="7"/>
      <c r="O1294" s="14"/>
      <c r="P1294" s="14"/>
    </row>
    <row r="1295">
      <c r="A1295" s="7" t="s">
        <v>1413</v>
      </c>
      <c r="B1295" s="7" t="s">
        <v>1091</v>
      </c>
      <c r="C1295" s="8">
        <v>998.0</v>
      </c>
      <c r="D1295" s="8">
        <v>2999.0</v>
      </c>
      <c r="E1295" s="9">
        <v>0.67</v>
      </c>
      <c r="F1295" s="10">
        <v>4.6</v>
      </c>
      <c r="G1295" s="10">
        <v>9.0</v>
      </c>
      <c r="I1295" s="7"/>
      <c r="J1295" s="7"/>
      <c r="K1295" s="13" t="str">
        <f>IF(discount&gt;50%, product, "")</f>
        <v>Melbon VM-905 2000-Watt Room Heater (ISI Certified, White Color) Ideal Electric Fan Heater for Small to Medium Room/Area (Plastic Body)</v>
      </c>
      <c r="L1295" s="7"/>
      <c r="M1295" s="7"/>
      <c r="N1295" s="7"/>
      <c r="O1295" s="14"/>
      <c r="P1295" s="14"/>
    </row>
    <row r="1296">
      <c r="A1296" s="7" t="s">
        <v>1414</v>
      </c>
      <c r="B1296" s="7" t="s">
        <v>1137</v>
      </c>
      <c r="C1296" s="8">
        <v>998.06</v>
      </c>
      <c r="D1296" s="8">
        <v>1282.0</v>
      </c>
      <c r="E1296" s="9">
        <v>0.22</v>
      </c>
      <c r="F1296" s="10">
        <v>4.2</v>
      </c>
      <c r="G1296" s="11">
        <v>7274.0</v>
      </c>
      <c r="I1296" s="7"/>
      <c r="J1296" s="7"/>
      <c r="K1296" s="13" t="str">
        <f>IF(discount&gt;50%, product, "")</f>
        <v/>
      </c>
      <c r="L1296" s="7"/>
      <c r="M1296" s="7"/>
      <c r="N1296" s="7"/>
      <c r="O1296" s="14"/>
      <c r="P1296" s="14"/>
    </row>
    <row r="1297">
      <c r="A1297" s="7" t="s">
        <v>1415</v>
      </c>
      <c r="B1297" s="7" t="s">
        <v>1186</v>
      </c>
      <c r="C1297" s="8">
        <v>1099.0</v>
      </c>
      <c r="D1297" s="8">
        <v>1990.0</v>
      </c>
      <c r="E1297" s="9">
        <v>0.45</v>
      </c>
      <c r="F1297" s="10">
        <v>3.9</v>
      </c>
      <c r="G1297" s="11">
        <v>5911.0</v>
      </c>
      <c r="I1297" s="7"/>
      <c r="J1297" s="7"/>
      <c r="K1297" s="13" t="str">
        <f>IF(discount&gt;50%, product, "")</f>
        <v/>
      </c>
      <c r="L1297" s="7"/>
      <c r="M1297" s="7"/>
      <c r="N1297" s="7"/>
      <c r="O1297" s="14"/>
      <c r="P1297" s="14"/>
    </row>
    <row r="1298">
      <c r="A1298" s="7" t="s">
        <v>1416</v>
      </c>
      <c r="B1298" s="7" t="s">
        <v>1197</v>
      </c>
      <c r="C1298" s="8">
        <v>5999.0</v>
      </c>
      <c r="D1298" s="8">
        <v>9999.0</v>
      </c>
      <c r="E1298" s="9">
        <v>0.4</v>
      </c>
      <c r="F1298" s="10">
        <v>4.2</v>
      </c>
      <c r="G1298" s="10">
        <v>170.0</v>
      </c>
      <c r="I1298" s="7"/>
      <c r="J1298" s="7"/>
      <c r="K1298" s="13" t="str">
        <f>IF(discount&gt;50%, product, "")</f>
        <v/>
      </c>
      <c r="L1298" s="7"/>
      <c r="M1298" s="7"/>
      <c r="N1298" s="7"/>
      <c r="O1298" s="14"/>
      <c r="P1298" s="14"/>
    </row>
    <row r="1299">
      <c r="A1299" s="7" t="s">
        <v>1417</v>
      </c>
      <c r="B1299" s="7" t="s">
        <v>1263</v>
      </c>
      <c r="C1299" s="8">
        <v>8886.0</v>
      </c>
      <c r="D1299" s="8">
        <v>11850.0</v>
      </c>
      <c r="E1299" s="9">
        <v>0.25</v>
      </c>
      <c r="F1299" s="10">
        <v>4.2</v>
      </c>
      <c r="G1299" s="11">
        <v>3065.0</v>
      </c>
      <c r="I1299" s="7"/>
      <c r="J1299" s="7"/>
      <c r="K1299" s="13" t="str">
        <f>IF(discount&gt;50%, product, "")</f>
        <v/>
      </c>
      <c r="L1299" s="7"/>
      <c r="M1299" s="7"/>
      <c r="N1299" s="7"/>
      <c r="O1299" s="14"/>
      <c r="P1299" s="14"/>
    </row>
    <row r="1300">
      <c r="A1300" s="7" t="s">
        <v>1418</v>
      </c>
      <c r="B1300" s="7" t="s">
        <v>1093</v>
      </c>
      <c r="C1300" s="8">
        <v>475.0</v>
      </c>
      <c r="D1300" s="8">
        <v>999.0</v>
      </c>
      <c r="E1300" s="9">
        <v>0.52</v>
      </c>
      <c r="F1300" s="10">
        <v>4.1</v>
      </c>
      <c r="G1300" s="11">
        <v>1021.0</v>
      </c>
      <c r="I1300" s="7"/>
      <c r="J1300" s="7"/>
      <c r="K1300" s="13" t="str">
        <f>IF(discount&gt;50%, product, "")</f>
        <v>Demokrazy New Nova Lint Cum Fuzz Remover for All Woolens Sweaters, Blankets, Jackets Remover Pill Remover from Carpets, Curtains (Pack of 1)</v>
      </c>
      <c r="L1300" s="7"/>
      <c r="M1300" s="7"/>
      <c r="N1300" s="7"/>
      <c r="O1300" s="14"/>
      <c r="P1300" s="14"/>
    </row>
    <row r="1301">
      <c r="A1301" s="7" t="s">
        <v>1419</v>
      </c>
      <c r="B1301" s="7" t="s">
        <v>1135</v>
      </c>
      <c r="C1301" s="8">
        <v>4995.0</v>
      </c>
      <c r="D1301" s="8">
        <v>20049.0</v>
      </c>
      <c r="E1301" s="9">
        <v>0.75</v>
      </c>
      <c r="F1301" s="10">
        <v>4.8</v>
      </c>
      <c r="G1301" s="11">
        <v>3964.0</v>
      </c>
      <c r="I1301" s="7"/>
      <c r="J1301" s="7"/>
      <c r="K1301" s="13" t="str">
        <f>IF(discount&gt;50%, product, "")</f>
        <v>Instant Pot Air Fryer, Vortex 2QT, Touch Control Panel, 360° EvenCrisp™ Technology, Uses 95 % less Oil, 4-in-1 Appliance: Air Fry, Roast, Bake, Reheat (Vortex 1.97Litre, Black)</v>
      </c>
      <c r="L1301" s="7"/>
      <c r="M1301" s="7"/>
      <c r="N1301" s="7"/>
      <c r="O1301" s="14"/>
      <c r="P1301" s="14"/>
    </row>
    <row r="1302">
      <c r="A1302" s="7" t="s">
        <v>1420</v>
      </c>
      <c r="B1302" s="7" t="s">
        <v>1280</v>
      </c>
      <c r="C1302" s="8">
        <v>13999.0</v>
      </c>
      <c r="D1302" s="8">
        <v>24850.0</v>
      </c>
      <c r="E1302" s="9">
        <v>0.44</v>
      </c>
      <c r="F1302" s="10">
        <v>4.4</v>
      </c>
      <c r="G1302" s="11">
        <v>8948.0</v>
      </c>
      <c r="I1302" s="7"/>
      <c r="J1302" s="7"/>
      <c r="K1302" s="13" t="str">
        <f>IF(discount&gt;50%, product, "")</f>
        <v/>
      </c>
      <c r="L1302" s="7"/>
      <c r="M1302" s="7"/>
      <c r="N1302" s="7"/>
      <c r="O1302" s="14"/>
      <c r="P1302" s="14"/>
    </row>
    <row r="1303">
      <c r="A1303" s="7" t="s">
        <v>1421</v>
      </c>
      <c r="B1303" s="7" t="s">
        <v>1280</v>
      </c>
      <c r="C1303" s="8">
        <v>8499.0</v>
      </c>
      <c r="D1303" s="8">
        <v>16490.0</v>
      </c>
      <c r="E1303" s="9">
        <v>0.48</v>
      </c>
      <c r="F1303" s="10">
        <v>4.3</v>
      </c>
      <c r="G1303" s="10">
        <v>97.0</v>
      </c>
      <c r="I1303" s="7"/>
      <c r="J1303" s="7"/>
      <c r="K1303" s="13" t="str">
        <f>IF(discount&gt;50%, product, "")</f>
        <v/>
      </c>
      <c r="L1303" s="7"/>
      <c r="M1303" s="7"/>
      <c r="N1303" s="7"/>
      <c r="O1303" s="14"/>
      <c r="P1303" s="14"/>
    </row>
    <row r="1304">
      <c r="A1304" s="7" t="s">
        <v>1422</v>
      </c>
      <c r="B1304" s="7" t="s">
        <v>1111</v>
      </c>
      <c r="C1304" s="8">
        <v>949.0</v>
      </c>
      <c r="D1304" s="8">
        <v>975.0</v>
      </c>
      <c r="E1304" s="9">
        <v>0.03</v>
      </c>
      <c r="F1304" s="10">
        <v>4.3</v>
      </c>
      <c r="G1304" s="11">
        <v>7223.0</v>
      </c>
      <c r="I1304" s="7"/>
      <c r="J1304" s="7"/>
      <c r="K1304" s="13" t="str">
        <f>IF(discount&gt;50%, product, "")</f>
        <v/>
      </c>
      <c r="L1304" s="7"/>
      <c r="M1304" s="7"/>
      <c r="N1304" s="7"/>
      <c r="O1304" s="14"/>
      <c r="P1304" s="14"/>
    </row>
    <row r="1305">
      <c r="A1305" s="7" t="s">
        <v>1423</v>
      </c>
      <c r="B1305" s="7" t="s">
        <v>1137</v>
      </c>
      <c r="C1305" s="8">
        <v>395.0</v>
      </c>
      <c r="D1305" s="8">
        <v>499.0</v>
      </c>
      <c r="E1305" s="9">
        <v>0.21</v>
      </c>
      <c r="F1305" s="10">
        <v>4.0</v>
      </c>
      <c r="G1305" s="10">
        <v>330.0</v>
      </c>
      <c r="I1305" s="7"/>
      <c r="J1305" s="7"/>
      <c r="K1305" s="13" t="str">
        <f>IF(discount&gt;50%, product, "")</f>
        <v/>
      </c>
      <c r="L1305" s="7"/>
      <c r="M1305" s="7"/>
      <c r="N1305" s="7"/>
      <c r="O1305" s="14"/>
      <c r="P1305" s="14"/>
    </row>
    <row r="1306">
      <c r="A1306" s="7" t="s">
        <v>1424</v>
      </c>
      <c r="B1306" s="7" t="s">
        <v>1425</v>
      </c>
      <c r="C1306" s="8">
        <v>635.0</v>
      </c>
      <c r="D1306" s="8">
        <v>635.0</v>
      </c>
      <c r="E1306" s="9">
        <v>0.0</v>
      </c>
      <c r="F1306" s="10">
        <v>4.3</v>
      </c>
      <c r="G1306" s="11">
        <v>4570.0</v>
      </c>
      <c r="I1306" s="7"/>
      <c r="J1306" s="7"/>
      <c r="K1306" s="13" t="str">
        <f>IF(discount&gt;50%, product, "")</f>
        <v/>
      </c>
      <c r="L1306" s="7"/>
      <c r="M1306" s="7"/>
      <c r="N1306" s="7"/>
      <c r="O1306" s="14"/>
      <c r="P1306" s="14"/>
    </row>
    <row r="1307">
      <c r="A1307" s="7" t="s">
        <v>1426</v>
      </c>
      <c r="B1307" s="7" t="s">
        <v>1111</v>
      </c>
      <c r="C1307" s="8">
        <v>717.0</v>
      </c>
      <c r="D1307" s="8">
        <v>1390.0</v>
      </c>
      <c r="E1307" s="9">
        <v>0.48</v>
      </c>
      <c r="F1307" s="10">
        <v>4.0</v>
      </c>
      <c r="G1307" s="11">
        <v>4867.0</v>
      </c>
      <c r="I1307" s="7"/>
      <c r="J1307" s="7"/>
      <c r="K1307" s="13" t="str">
        <f>IF(discount&gt;50%, product, "")</f>
        <v/>
      </c>
      <c r="L1307" s="7"/>
      <c r="M1307" s="7"/>
      <c r="N1307" s="7"/>
      <c r="O1307" s="14"/>
      <c r="P1307" s="14"/>
    </row>
    <row r="1308">
      <c r="A1308" s="7" t="s">
        <v>1427</v>
      </c>
      <c r="B1308" s="7" t="s">
        <v>1428</v>
      </c>
      <c r="C1308" s="8">
        <v>27900.0</v>
      </c>
      <c r="D1308" s="8">
        <v>59900.0</v>
      </c>
      <c r="E1308" s="9">
        <v>0.53</v>
      </c>
      <c r="F1308" s="10">
        <v>4.4</v>
      </c>
      <c r="G1308" s="11">
        <v>5298.0</v>
      </c>
      <c r="I1308" s="7"/>
      <c r="J1308" s="7"/>
      <c r="K1308" s="13" t="str">
        <f>IF(discount&gt;50%, product, "")</f>
        <v>ECOVACS DEEBOT N8 2-in-1 Robotic Vacuum Cleaner, 2022 New Launch, Most Powerful Suction, Covers 2000+ Sq. Ft in One Charge, Advanced dToF Technology with OZMO Mopping (DEEBOT N8) - White</v>
      </c>
      <c r="L1308" s="7"/>
      <c r="M1308" s="7"/>
      <c r="N1308" s="7"/>
      <c r="O1308" s="14"/>
      <c r="P1308" s="14"/>
    </row>
    <row r="1309">
      <c r="A1309" s="7" t="s">
        <v>1429</v>
      </c>
      <c r="B1309" s="7" t="s">
        <v>1230</v>
      </c>
      <c r="C1309" s="8">
        <v>649.0</v>
      </c>
      <c r="D1309" s="8">
        <v>670.0</v>
      </c>
      <c r="E1309" s="9">
        <v>0.03</v>
      </c>
      <c r="F1309" s="10">
        <v>4.1</v>
      </c>
      <c r="G1309" s="11">
        <v>7786.0</v>
      </c>
      <c r="I1309" s="7"/>
      <c r="J1309" s="7"/>
      <c r="K1309" s="13" t="str">
        <f>IF(discount&gt;50%, product, "")</f>
        <v/>
      </c>
      <c r="L1309" s="7"/>
      <c r="M1309" s="7"/>
      <c r="N1309" s="7"/>
      <c r="O1309" s="14"/>
      <c r="P1309" s="14"/>
    </row>
    <row r="1310">
      <c r="A1310" s="7" t="s">
        <v>1430</v>
      </c>
      <c r="B1310" s="7" t="s">
        <v>1228</v>
      </c>
      <c r="C1310" s="8">
        <v>193.0</v>
      </c>
      <c r="D1310" s="8">
        <v>399.0</v>
      </c>
      <c r="E1310" s="9">
        <v>0.52</v>
      </c>
      <c r="F1310" s="10">
        <v>3.6</v>
      </c>
      <c r="G1310" s="10">
        <v>37.0</v>
      </c>
      <c r="I1310" s="7"/>
      <c r="J1310" s="7"/>
      <c r="K1310" s="13" t="str">
        <f>IF(discount&gt;50%, product, "")</f>
        <v>AVNISH Tap Water Purifier Filter Faucet 6 Layer Carbon Activated Dust Chlorine Remover Water Softener for Drinking Cartridge Alkaline Taps for Kitchen Sink Bathroom Wash Basin (6-Layer Filtration)</v>
      </c>
      <c r="L1310" s="7"/>
      <c r="M1310" s="7"/>
      <c r="N1310" s="7"/>
      <c r="O1310" s="14"/>
      <c r="P1310" s="14"/>
    </row>
    <row r="1311">
      <c r="A1311" s="7" t="s">
        <v>1431</v>
      </c>
      <c r="B1311" s="7" t="s">
        <v>1091</v>
      </c>
      <c r="C1311" s="8">
        <v>1299.0</v>
      </c>
      <c r="D1311" s="8">
        <v>2495.0</v>
      </c>
      <c r="E1311" s="9">
        <v>0.48</v>
      </c>
      <c r="F1311" s="10">
        <v>2.0</v>
      </c>
      <c r="G1311" s="10">
        <v>2.0</v>
      </c>
      <c r="I1311" s="7"/>
      <c r="J1311" s="7"/>
      <c r="K1311" s="13" t="str">
        <f>IF(discount&gt;50%, product, "")</f>
        <v/>
      </c>
      <c r="L1311" s="7"/>
      <c r="M1311" s="7"/>
      <c r="N1311" s="7"/>
      <c r="O1311" s="14"/>
      <c r="P1311" s="14"/>
    </row>
    <row r="1312">
      <c r="A1312" s="7" t="s">
        <v>1432</v>
      </c>
      <c r="B1312" s="7" t="s">
        <v>1113</v>
      </c>
      <c r="C1312" s="8">
        <v>2449.0</v>
      </c>
      <c r="D1312" s="8">
        <v>3390.0</v>
      </c>
      <c r="E1312" s="9">
        <v>0.28</v>
      </c>
      <c r="F1312" s="10">
        <v>4.0</v>
      </c>
      <c r="G1312" s="11">
        <v>5206.0</v>
      </c>
      <c r="I1312" s="7"/>
      <c r="J1312" s="7"/>
      <c r="K1312" s="13" t="str">
        <f>IF(discount&gt;50%, product, "")</f>
        <v/>
      </c>
      <c r="L1312" s="7"/>
      <c r="M1312" s="7"/>
      <c r="N1312" s="7"/>
      <c r="O1312" s="14"/>
      <c r="P1312" s="14"/>
    </row>
    <row r="1313">
      <c r="A1313" s="7" t="s">
        <v>1433</v>
      </c>
      <c r="B1313" s="7" t="s">
        <v>1115</v>
      </c>
      <c r="C1313" s="8">
        <v>1049.0</v>
      </c>
      <c r="D1313" s="8">
        <v>2499.0</v>
      </c>
      <c r="E1313" s="9">
        <v>0.58</v>
      </c>
      <c r="F1313" s="10">
        <v>3.7</v>
      </c>
      <c r="G1313" s="10">
        <v>638.0</v>
      </c>
      <c r="I1313" s="7"/>
      <c r="J1313" s="7"/>
      <c r="K1313" s="13" t="str">
        <f>IF(discount&gt;50%, product, "")</f>
        <v>CSI INTERNATIONAL® Instant Water Geyser, Water Heater, Portable Water Heater, Geyser Made of First Class ABS Plastic 3KW (Red)</v>
      </c>
      <c r="L1313" s="7"/>
      <c r="M1313" s="7"/>
      <c r="N1313" s="7"/>
      <c r="O1313" s="14"/>
      <c r="P1313" s="14"/>
    </row>
    <row r="1314">
      <c r="A1314" s="7" t="s">
        <v>1434</v>
      </c>
      <c r="B1314" s="7" t="s">
        <v>1380</v>
      </c>
      <c r="C1314" s="8">
        <v>2399.0</v>
      </c>
      <c r="D1314" s="8">
        <v>4200.0</v>
      </c>
      <c r="E1314" s="9">
        <v>0.43</v>
      </c>
      <c r="F1314" s="10">
        <v>3.8</v>
      </c>
      <c r="G1314" s="10">
        <v>397.0</v>
      </c>
      <c r="I1314" s="7"/>
      <c r="J1314" s="7"/>
      <c r="K1314" s="13" t="str">
        <f>IF(discount&gt;50%, product, "")</f>
        <v/>
      </c>
      <c r="L1314" s="7"/>
      <c r="M1314" s="7"/>
      <c r="N1314" s="7"/>
      <c r="O1314" s="14"/>
      <c r="P1314" s="14"/>
    </row>
    <row r="1315">
      <c r="A1315" s="7" t="s">
        <v>1435</v>
      </c>
      <c r="B1315" s="7" t="s">
        <v>1148</v>
      </c>
      <c r="C1315" s="8">
        <v>2286.0</v>
      </c>
      <c r="D1315" s="8">
        <v>4495.0</v>
      </c>
      <c r="E1315" s="9">
        <v>0.49</v>
      </c>
      <c r="F1315" s="10">
        <v>3.9</v>
      </c>
      <c r="G1315" s="10">
        <v>326.0</v>
      </c>
      <c r="I1315" s="7"/>
      <c r="J1315" s="7"/>
      <c r="K1315" s="13" t="str">
        <f>IF(discount&gt;50%, product, "")</f>
        <v/>
      </c>
      <c r="L1315" s="7"/>
      <c r="M1315" s="7"/>
      <c r="N1315" s="7"/>
      <c r="O1315" s="14"/>
      <c r="P1315" s="14"/>
    </row>
    <row r="1316">
      <c r="A1316" s="7" t="s">
        <v>1436</v>
      </c>
      <c r="B1316" s="7" t="s">
        <v>1334</v>
      </c>
      <c r="C1316" s="8">
        <v>499.0</v>
      </c>
      <c r="D1316" s="8">
        <v>2199.0</v>
      </c>
      <c r="E1316" s="9">
        <v>0.77</v>
      </c>
      <c r="F1316" s="10">
        <v>3.1</v>
      </c>
      <c r="G1316" s="11">
        <v>3527.0</v>
      </c>
      <c r="I1316" s="7"/>
      <c r="J1316" s="7"/>
      <c r="K1316" s="13" t="str">
        <f>IF(discount&gt;50%, product, "")</f>
        <v>ROYAL STEP - AMAZON'S BRAND - Portable Electric USB Juice Maker Juicer Bottle Blender Grinder Mixer,4 Blades Rechargeable Bottle with (Multi color) (MULTI)</v>
      </c>
      <c r="L1316" s="7"/>
      <c r="M1316" s="7"/>
      <c r="N1316" s="7"/>
      <c r="O1316" s="14"/>
      <c r="P1316" s="14"/>
    </row>
    <row r="1317">
      <c r="A1317" s="7" t="s">
        <v>1437</v>
      </c>
      <c r="B1317" s="7" t="s">
        <v>1184</v>
      </c>
      <c r="C1317" s="8">
        <v>429.0</v>
      </c>
      <c r="D1317" s="8">
        <v>999.0</v>
      </c>
      <c r="E1317" s="9">
        <v>0.57</v>
      </c>
      <c r="F1317" s="10">
        <v>3.0</v>
      </c>
      <c r="G1317" s="10">
        <v>617.0</v>
      </c>
      <c r="I1317" s="7"/>
      <c r="J1317" s="7"/>
      <c r="K1317" s="13" t="str">
        <f>IF(discount&gt;50%, product, "")</f>
        <v>Nirdambhay Mini Bag Sealer, 2 in 1 Heat Sealer and Cutter Handheld Sealing Machine Portable Bag Resealer Sealer for Plastic Bags Food Storage Snack Fresh Bag Sealer (Including 2 AA Battery)</v>
      </c>
      <c r="L1317" s="7"/>
      <c r="M1317" s="7"/>
      <c r="N1317" s="7"/>
      <c r="O1317" s="14"/>
      <c r="P1317" s="14"/>
    </row>
    <row r="1318">
      <c r="A1318" s="7" t="s">
        <v>1438</v>
      </c>
      <c r="B1318" s="7" t="s">
        <v>1159</v>
      </c>
      <c r="C1318" s="8">
        <v>299.0</v>
      </c>
      <c r="D1318" s="8">
        <v>595.0</v>
      </c>
      <c r="E1318" s="9">
        <v>0.5</v>
      </c>
      <c r="F1318" s="10">
        <v>4.0</v>
      </c>
      <c r="G1318" s="10">
        <v>314.0</v>
      </c>
      <c r="I1318" s="7"/>
      <c r="J1318" s="7"/>
      <c r="K1318" s="13" t="str">
        <f>IF(discount&gt;50%, product, "")</f>
        <v/>
      </c>
      <c r="L1318" s="7"/>
      <c r="M1318" s="7"/>
      <c r="N1318" s="7"/>
      <c r="O1318" s="14"/>
      <c r="P1318" s="14"/>
    </row>
    <row r="1319">
      <c r="A1319" s="7" t="s">
        <v>1439</v>
      </c>
      <c r="B1319" s="7" t="s">
        <v>1280</v>
      </c>
      <c r="C1319" s="8">
        <v>5395.0</v>
      </c>
      <c r="D1319" s="8">
        <v>19990.0</v>
      </c>
      <c r="E1319" s="9">
        <v>0.73</v>
      </c>
      <c r="F1319" s="10">
        <v>4.4</v>
      </c>
      <c r="G1319" s="10">
        <v>535.0</v>
      </c>
      <c r="I1319" s="7"/>
      <c r="J1319" s="7"/>
      <c r="K1319" s="13" t="str">
        <f>IF(discount&gt;50%, product, "")</f>
        <v>Proven® Copper + Mineral RO+UV+UF 10 to 12 Liter RO + UV + TDS ADJUSTER Water Purifier with Copper Charge Technology black &amp; copper Best For Home and Office (Made In India)</v>
      </c>
      <c r="L1319" s="7"/>
      <c r="M1319" s="7"/>
      <c r="N1319" s="7"/>
      <c r="O1319" s="14"/>
      <c r="P1319" s="14"/>
    </row>
    <row r="1320">
      <c r="A1320" s="7" t="s">
        <v>1440</v>
      </c>
      <c r="B1320" s="7" t="s">
        <v>1111</v>
      </c>
      <c r="C1320" s="8">
        <v>559.0</v>
      </c>
      <c r="D1320" s="8">
        <v>1010.0</v>
      </c>
      <c r="E1320" s="9">
        <v>0.45</v>
      </c>
      <c r="F1320" s="10">
        <v>4.1</v>
      </c>
      <c r="G1320" s="11">
        <v>17325.0</v>
      </c>
      <c r="I1320" s="7"/>
      <c r="J1320" s="7"/>
      <c r="K1320" s="13" t="str">
        <f>IF(discount&gt;50%, product, "")</f>
        <v/>
      </c>
      <c r="L1320" s="7"/>
      <c r="M1320" s="7"/>
      <c r="N1320" s="7"/>
      <c r="O1320" s="14"/>
      <c r="P1320" s="14"/>
    </row>
    <row r="1321">
      <c r="A1321" s="7" t="s">
        <v>1441</v>
      </c>
      <c r="B1321" s="7" t="s">
        <v>1111</v>
      </c>
      <c r="C1321" s="8">
        <v>660.0</v>
      </c>
      <c r="D1321" s="8">
        <v>1100.0</v>
      </c>
      <c r="E1321" s="9">
        <v>0.4</v>
      </c>
      <c r="F1321" s="10">
        <v>3.6</v>
      </c>
      <c r="G1321" s="10">
        <v>91.0</v>
      </c>
      <c r="I1321" s="7"/>
      <c r="J1321" s="7"/>
      <c r="K1321" s="13" t="str">
        <f>IF(discount&gt;50%, product, "")</f>
        <v/>
      </c>
      <c r="L1321" s="7"/>
      <c r="M1321" s="7"/>
      <c r="N1321" s="7"/>
      <c r="O1321" s="14"/>
      <c r="P1321" s="14"/>
    </row>
    <row r="1322">
      <c r="A1322" s="7" t="s">
        <v>1442</v>
      </c>
      <c r="B1322" s="7" t="s">
        <v>1155</v>
      </c>
      <c r="C1322" s="8">
        <v>419.0</v>
      </c>
      <c r="D1322" s="8">
        <v>999.0</v>
      </c>
      <c r="E1322" s="9">
        <v>0.58</v>
      </c>
      <c r="F1322" s="10">
        <v>4.4</v>
      </c>
      <c r="G1322" s="10">
        <v>227.0</v>
      </c>
      <c r="I1322" s="7"/>
      <c r="J1322" s="7"/>
      <c r="K1322" s="13" t="str">
        <f>IF(discount&gt;50%, product, "")</f>
        <v>Zuvexa Egg Boiler Poacher Automatic Off Steaming, Cooking, Boiling Double Layer 14 Egg Boiler (Multicolor)…</v>
      </c>
      <c r="L1322" s="7"/>
      <c r="M1322" s="7"/>
      <c r="N1322" s="7"/>
      <c r="O1322" s="14"/>
      <c r="P1322" s="14"/>
    </row>
    <row r="1323">
      <c r="A1323" s="7" t="s">
        <v>1443</v>
      </c>
      <c r="B1323" s="7" t="s">
        <v>1123</v>
      </c>
      <c r="C1323" s="8">
        <v>7349.0</v>
      </c>
      <c r="D1323" s="8">
        <v>10900.0</v>
      </c>
      <c r="E1323" s="9">
        <v>0.33</v>
      </c>
      <c r="F1323" s="10">
        <v>4.2</v>
      </c>
      <c r="G1323" s="11">
        <v>11957.0</v>
      </c>
      <c r="I1323" s="7"/>
      <c r="J1323" s="7"/>
      <c r="K1323" s="13" t="str">
        <f>IF(discount&gt;50%, product, "")</f>
        <v/>
      </c>
      <c r="L1323" s="7"/>
      <c r="M1323" s="7"/>
      <c r="N1323" s="7"/>
      <c r="O1323" s="14"/>
      <c r="P1323" s="14"/>
    </row>
    <row r="1324">
      <c r="A1324" s="7" t="s">
        <v>1444</v>
      </c>
      <c r="B1324" s="7" t="s">
        <v>1186</v>
      </c>
      <c r="C1324" s="8">
        <v>2899.0</v>
      </c>
      <c r="D1324" s="8">
        <v>4005.0</v>
      </c>
      <c r="E1324" s="9">
        <v>0.28</v>
      </c>
      <c r="F1324" s="10">
        <v>4.3</v>
      </c>
      <c r="G1324" s="11">
        <v>7140.0</v>
      </c>
      <c r="I1324" s="7"/>
      <c r="J1324" s="7"/>
      <c r="K1324" s="13" t="str">
        <f>IF(discount&gt;50%, product, "")</f>
        <v/>
      </c>
      <c r="L1324" s="7"/>
      <c r="M1324" s="7"/>
      <c r="N1324" s="7"/>
      <c r="O1324" s="14"/>
      <c r="P1324" s="14"/>
    </row>
    <row r="1325">
      <c r="A1325" s="7" t="s">
        <v>1445</v>
      </c>
      <c r="B1325" s="7" t="s">
        <v>1148</v>
      </c>
      <c r="C1325" s="8">
        <v>1799.0</v>
      </c>
      <c r="D1325" s="8">
        <v>3295.0</v>
      </c>
      <c r="E1325" s="9">
        <v>0.45</v>
      </c>
      <c r="F1325" s="10">
        <v>3.8</v>
      </c>
      <c r="G1325" s="10">
        <v>687.0</v>
      </c>
      <c r="I1325" s="7"/>
      <c r="J1325" s="7"/>
      <c r="K1325" s="13" t="str">
        <f>IF(discount&gt;50%, product, "")</f>
        <v/>
      </c>
      <c r="L1325" s="7"/>
      <c r="M1325" s="7"/>
      <c r="N1325" s="7"/>
      <c r="O1325" s="14"/>
      <c r="P1325" s="14"/>
    </row>
    <row r="1326">
      <c r="A1326" s="7" t="s">
        <v>1446</v>
      </c>
      <c r="B1326" s="7" t="s">
        <v>1159</v>
      </c>
      <c r="C1326" s="8">
        <v>1474.0</v>
      </c>
      <c r="D1326" s="8">
        <v>4650.0</v>
      </c>
      <c r="E1326" s="9">
        <v>0.68</v>
      </c>
      <c r="F1326" s="10">
        <v>4.1</v>
      </c>
      <c r="G1326" s="11">
        <v>1045.0</v>
      </c>
      <c r="I1326" s="7"/>
      <c r="J1326" s="7"/>
      <c r="K1326" s="13" t="str">
        <f>IF(discount&gt;50%, product, "")</f>
        <v>iBELL SM1515NEW Sandwich Maker with Floating Hinges, 1000Watt, Panini / Grill / Toast (Black)</v>
      </c>
      <c r="L1326" s="7"/>
      <c r="M1326" s="7"/>
      <c r="N1326" s="7"/>
      <c r="O1326" s="14"/>
      <c r="P1326" s="14"/>
    </row>
    <row r="1327">
      <c r="A1327" s="7" t="s">
        <v>1447</v>
      </c>
      <c r="B1327" s="7" t="s">
        <v>1280</v>
      </c>
      <c r="C1327" s="8">
        <v>15999.0</v>
      </c>
      <c r="D1327" s="8">
        <v>24500.0</v>
      </c>
      <c r="E1327" s="9">
        <v>0.35</v>
      </c>
      <c r="F1327" s="10">
        <v>4.0</v>
      </c>
      <c r="G1327" s="11">
        <v>11206.0</v>
      </c>
      <c r="I1327" s="7"/>
      <c r="J1327" s="7"/>
      <c r="K1327" s="13" t="str">
        <f>IF(discount&gt;50%, product, "")</f>
        <v/>
      </c>
      <c r="L1327" s="7"/>
      <c r="M1327" s="7"/>
      <c r="N1327" s="7"/>
      <c r="O1327" s="14"/>
      <c r="P1327" s="14"/>
    </row>
    <row r="1328">
      <c r="A1328" s="7" t="s">
        <v>1448</v>
      </c>
      <c r="B1328" s="7" t="s">
        <v>1115</v>
      </c>
      <c r="C1328" s="8">
        <v>3645.0</v>
      </c>
      <c r="D1328" s="8">
        <v>6070.0</v>
      </c>
      <c r="E1328" s="9">
        <v>0.4</v>
      </c>
      <c r="F1328" s="10">
        <v>4.2</v>
      </c>
      <c r="G1328" s="10">
        <v>561.0</v>
      </c>
      <c r="I1328" s="7"/>
      <c r="J1328" s="7"/>
      <c r="K1328" s="13" t="str">
        <f>IF(discount&gt;50%, product, "")</f>
        <v/>
      </c>
      <c r="L1328" s="7"/>
      <c r="M1328" s="7"/>
      <c r="N1328" s="7"/>
      <c r="O1328" s="14"/>
      <c r="P1328" s="14"/>
    </row>
    <row r="1329">
      <c r="A1329" s="7" t="s">
        <v>1449</v>
      </c>
      <c r="B1329" s="7" t="s">
        <v>1109</v>
      </c>
      <c r="C1329" s="8">
        <v>375.0</v>
      </c>
      <c r="D1329" s="8">
        <v>999.0</v>
      </c>
      <c r="E1329" s="9">
        <v>0.62</v>
      </c>
      <c r="F1329" s="10">
        <v>3.6</v>
      </c>
      <c r="G1329" s="11">
        <v>1988.0</v>
      </c>
      <c r="I1329" s="7"/>
      <c r="J1329" s="7"/>
      <c r="K1329" s="13" t="str">
        <f>IF(discount&gt;50%, product, "")</f>
        <v>Milk Frother, Immersion Blender Cordlesss Foam Maker USB Rechargeable Small Mixer Handheld with 2 Stainless Whisks，Wisker for Stirring 3-Speed Adjustable Mini Frother for Cappuccino Latte Coffee Egg</v>
      </c>
      <c r="L1329" s="7"/>
      <c r="M1329" s="7"/>
      <c r="N1329" s="7"/>
      <c r="O1329" s="14"/>
      <c r="P1329" s="14"/>
    </row>
    <row r="1330">
      <c r="A1330" s="7" t="s">
        <v>1450</v>
      </c>
      <c r="B1330" s="7" t="s">
        <v>1236</v>
      </c>
      <c r="C1330" s="8">
        <v>2976.0</v>
      </c>
      <c r="D1330" s="8">
        <v>3945.0</v>
      </c>
      <c r="E1330" s="9">
        <v>0.25</v>
      </c>
      <c r="F1330" s="10">
        <v>4.2</v>
      </c>
      <c r="G1330" s="11">
        <v>3740.0</v>
      </c>
      <c r="I1330" s="7"/>
      <c r="J1330" s="7"/>
      <c r="K1330" s="13" t="str">
        <f>IF(discount&gt;50%, product, "")</f>
        <v/>
      </c>
      <c r="L1330" s="7"/>
      <c r="M1330" s="7"/>
      <c r="N1330" s="7"/>
      <c r="O1330" s="14"/>
      <c r="P1330" s="14"/>
    </row>
    <row r="1331">
      <c r="A1331" s="7" t="s">
        <v>1451</v>
      </c>
      <c r="B1331" s="7" t="s">
        <v>1388</v>
      </c>
      <c r="C1331" s="8">
        <v>1099.0</v>
      </c>
      <c r="D1331" s="8">
        <v>1499.0</v>
      </c>
      <c r="E1331" s="9">
        <v>0.27</v>
      </c>
      <c r="F1331" s="10">
        <v>4.1</v>
      </c>
      <c r="G1331" s="11">
        <v>4401.0</v>
      </c>
      <c r="I1331" s="7"/>
      <c r="J1331" s="7"/>
      <c r="K1331" s="13" t="str">
        <f>IF(discount&gt;50%, product, "")</f>
        <v/>
      </c>
      <c r="L1331" s="7"/>
      <c r="M1331" s="7"/>
      <c r="N1331" s="7"/>
      <c r="O1331" s="14"/>
      <c r="P1331" s="14"/>
    </row>
    <row r="1332">
      <c r="A1332" s="7" t="s">
        <v>1452</v>
      </c>
      <c r="B1332" s="7" t="s">
        <v>1139</v>
      </c>
      <c r="C1332" s="8">
        <v>2575.0</v>
      </c>
      <c r="D1332" s="8">
        <v>6700.0</v>
      </c>
      <c r="E1332" s="9">
        <v>0.62</v>
      </c>
      <c r="F1332" s="10">
        <v>4.2</v>
      </c>
      <c r="G1332" s="10">
        <v>611.0</v>
      </c>
      <c r="I1332" s="7"/>
      <c r="J1332" s="7"/>
      <c r="K1332" s="13" t="str">
        <f>IF(discount&gt;50%, product, "")</f>
        <v>Goodscity Garment Steamer for Clothes, Steam Iron Press - Vertical &amp; Horizontal Steaming up to 22g/min, 1200 Watt, 230 ml Water tank &amp; 30 sec Fast Heating (GC 111)</v>
      </c>
      <c r="L1332" s="7"/>
      <c r="M1332" s="7"/>
      <c r="N1332" s="7"/>
      <c r="O1332" s="14"/>
      <c r="P1332" s="14"/>
    </row>
    <row r="1333">
      <c r="A1333" s="7" t="s">
        <v>1453</v>
      </c>
      <c r="B1333" s="7" t="s">
        <v>1113</v>
      </c>
      <c r="C1333" s="8">
        <v>1649.0</v>
      </c>
      <c r="D1333" s="8">
        <v>2800.0</v>
      </c>
      <c r="E1333" s="9">
        <v>0.41</v>
      </c>
      <c r="F1333" s="10">
        <v>3.9</v>
      </c>
      <c r="G1333" s="11">
        <v>2162.0</v>
      </c>
      <c r="I1333" s="7"/>
      <c r="J1333" s="7"/>
      <c r="K1333" s="13" t="str">
        <f>IF(discount&gt;50%, product, "")</f>
        <v/>
      </c>
      <c r="L1333" s="7"/>
      <c r="M1333" s="7"/>
      <c r="N1333" s="7"/>
      <c r="O1333" s="14"/>
      <c r="P1333" s="14"/>
    </row>
    <row r="1334">
      <c r="A1334" s="7" t="s">
        <v>1454</v>
      </c>
      <c r="B1334" s="7" t="s">
        <v>1109</v>
      </c>
      <c r="C1334" s="8">
        <v>799.0</v>
      </c>
      <c r="D1334" s="8">
        <v>1699.0</v>
      </c>
      <c r="E1334" s="9">
        <v>0.53</v>
      </c>
      <c r="F1334" s="10">
        <v>4.0</v>
      </c>
      <c r="G1334" s="10">
        <v>97.0</v>
      </c>
      <c r="I1334" s="7"/>
      <c r="J1334" s="7"/>
      <c r="K1334" s="13" t="str">
        <f>IF(discount&gt;50%, product, "")</f>
        <v>Amazon Basics 300 W Hand Blender with Stainless Steel Stem for Hot/Cold Blending and In-Built Cord Hook, ISI-Marked, Black</v>
      </c>
      <c r="L1334" s="7"/>
      <c r="M1334" s="7"/>
      <c r="N1334" s="7"/>
      <c r="O1334" s="14"/>
      <c r="P1334" s="14"/>
    </row>
    <row r="1335">
      <c r="A1335" s="7" t="s">
        <v>1455</v>
      </c>
      <c r="B1335" s="7" t="s">
        <v>1109</v>
      </c>
      <c r="C1335" s="8">
        <v>765.0</v>
      </c>
      <c r="D1335" s="8">
        <v>970.0</v>
      </c>
      <c r="E1335" s="9">
        <v>0.21</v>
      </c>
      <c r="F1335" s="10">
        <v>4.2</v>
      </c>
      <c r="G1335" s="11">
        <v>6055.0</v>
      </c>
      <c r="I1335" s="7"/>
      <c r="J1335" s="7"/>
      <c r="K1335" s="13" t="str">
        <f>IF(discount&gt;50%, product, "")</f>
        <v/>
      </c>
      <c r="L1335" s="7"/>
      <c r="M1335" s="7"/>
      <c r="N1335" s="7"/>
      <c r="O1335" s="14"/>
      <c r="P1335" s="14"/>
    </row>
    <row r="1336">
      <c r="A1336" s="7" t="s">
        <v>1456</v>
      </c>
      <c r="B1336" s="7" t="s">
        <v>1093</v>
      </c>
      <c r="C1336" s="8">
        <v>999.0</v>
      </c>
      <c r="D1336" s="8">
        <v>1500.0</v>
      </c>
      <c r="E1336" s="9">
        <v>0.33</v>
      </c>
      <c r="F1336" s="10">
        <v>4.2</v>
      </c>
      <c r="G1336" s="10">
        <v>386.0</v>
      </c>
      <c r="I1336" s="7"/>
      <c r="J1336" s="7"/>
      <c r="K1336" s="13" t="str">
        <f>IF(discount&gt;50%, product, "")</f>
        <v/>
      </c>
      <c r="L1336" s="7"/>
      <c r="M1336" s="7"/>
      <c r="N1336" s="7"/>
      <c r="O1336" s="14"/>
      <c r="P1336" s="14"/>
    </row>
    <row r="1337">
      <c r="A1337" s="7" t="s">
        <v>1457</v>
      </c>
      <c r="B1337" s="7" t="s">
        <v>1458</v>
      </c>
      <c r="C1337" s="8">
        <v>587.0</v>
      </c>
      <c r="D1337" s="8">
        <v>1295.0</v>
      </c>
      <c r="E1337" s="9">
        <v>0.55</v>
      </c>
      <c r="F1337" s="10">
        <v>4.1</v>
      </c>
      <c r="G1337" s="10">
        <v>557.0</v>
      </c>
      <c r="I1337" s="7"/>
      <c r="J1337" s="7"/>
      <c r="K1337" s="13" t="str">
        <f>IF(discount&gt;50%, product, "")</f>
        <v>AGARO Classic Portable Yogurt Maker, 1.2L Capacity, Electric, Automatic, Grey and White, Medium (33603)</v>
      </c>
      <c r="L1337" s="7"/>
      <c r="M1337" s="7"/>
      <c r="N1337" s="7"/>
      <c r="O1337" s="14"/>
      <c r="P1337" s="14"/>
    </row>
    <row r="1338">
      <c r="A1338" s="7" t="s">
        <v>1459</v>
      </c>
      <c r="B1338" s="7" t="s">
        <v>1460</v>
      </c>
      <c r="C1338" s="8">
        <v>12609.0</v>
      </c>
      <c r="D1338" s="8">
        <v>23999.0</v>
      </c>
      <c r="E1338" s="9">
        <v>0.47</v>
      </c>
      <c r="F1338" s="10">
        <v>4.4</v>
      </c>
      <c r="G1338" s="11">
        <v>2288.0</v>
      </c>
      <c r="I1338" s="7"/>
      <c r="J1338" s="7"/>
      <c r="K1338" s="13" t="str">
        <f>IF(discount&gt;50%, product, "")</f>
        <v/>
      </c>
      <c r="L1338" s="7"/>
      <c r="M1338" s="7"/>
      <c r="N1338" s="7"/>
      <c r="O1338" s="14"/>
      <c r="P1338" s="14"/>
    </row>
    <row r="1339">
      <c r="A1339" s="7" t="s">
        <v>1461</v>
      </c>
      <c r="B1339" s="7" t="s">
        <v>1111</v>
      </c>
      <c r="C1339" s="8">
        <v>699.0</v>
      </c>
      <c r="D1339" s="8">
        <v>850.0</v>
      </c>
      <c r="E1339" s="9">
        <v>0.18</v>
      </c>
      <c r="F1339" s="10">
        <v>4.1</v>
      </c>
      <c r="G1339" s="11">
        <v>1106.0</v>
      </c>
      <c r="I1339" s="7"/>
      <c r="J1339" s="7"/>
      <c r="K1339" s="13" t="str">
        <f>IF(discount&gt;50%, product, "")</f>
        <v/>
      </c>
      <c r="L1339" s="7"/>
      <c r="M1339" s="7"/>
      <c r="N1339" s="7"/>
      <c r="O1339" s="14"/>
      <c r="P1339" s="14"/>
    </row>
    <row r="1340">
      <c r="A1340" s="7" t="s">
        <v>1462</v>
      </c>
      <c r="B1340" s="7" t="s">
        <v>1190</v>
      </c>
      <c r="C1340" s="8">
        <v>3799.0</v>
      </c>
      <c r="D1340" s="8">
        <v>6000.0</v>
      </c>
      <c r="E1340" s="9">
        <v>0.37</v>
      </c>
      <c r="F1340" s="10">
        <v>4.2</v>
      </c>
      <c r="G1340" s="11">
        <v>11935.0</v>
      </c>
      <c r="I1340" s="7"/>
      <c r="J1340" s="7"/>
      <c r="K1340" s="13" t="str">
        <f>IF(discount&gt;50%, product, "")</f>
        <v/>
      </c>
      <c r="L1340" s="7"/>
      <c r="M1340" s="7"/>
      <c r="N1340" s="7"/>
      <c r="O1340" s="14"/>
      <c r="P1340" s="14"/>
    </row>
    <row r="1341">
      <c r="A1341" s="7" t="s">
        <v>1463</v>
      </c>
      <c r="B1341" s="7" t="s">
        <v>1131</v>
      </c>
      <c r="C1341" s="8">
        <v>640.0</v>
      </c>
      <c r="D1341" s="8">
        <v>1020.0</v>
      </c>
      <c r="E1341" s="9">
        <v>0.37</v>
      </c>
      <c r="F1341" s="10">
        <v>4.1</v>
      </c>
      <c r="G1341" s="11">
        <v>5059.0</v>
      </c>
      <c r="I1341" s="7"/>
      <c r="J1341" s="7"/>
      <c r="K1341" s="13" t="str">
        <f>IF(discount&gt;50%, product, "")</f>
        <v/>
      </c>
      <c r="L1341" s="7"/>
      <c r="M1341" s="7"/>
      <c r="N1341" s="7"/>
      <c r="O1341" s="14"/>
      <c r="P1341" s="14"/>
    </row>
    <row r="1342">
      <c r="A1342" s="7" t="s">
        <v>1464</v>
      </c>
      <c r="B1342" s="7" t="s">
        <v>1091</v>
      </c>
      <c r="C1342" s="8">
        <v>979.0</v>
      </c>
      <c r="D1342" s="8">
        <v>1999.0</v>
      </c>
      <c r="E1342" s="9">
        <v>0.51</v>
      </c>
      <c r="F1342" s="10">
        <v>3.9</v>
      </c>
      <c r="G1342" s="10">
        <v>157.0</v>
      </c>
      <c r="I1342" s="7"/>
      <c r="J1342" s="7"/>
      <c r="K1342" s="13" t="str">
        <f>IF(discount&gt;50%, product, "")</f>
        <v>SaiEllin Room Heater For Home 2000 Watts Room Heater For Bedroom | ISI Approved With 1 Year Warranty | For 250 Sq. Feet Blower Heater &amp; Room Heaters Home For Winters</v>
      </c>
      <c r="L1342" s="7"/>
      <c r="M1342" s="7"/>
      <c r="N1342" s="7"/>
      <c r="O1342" s="14"/>
      <c r="P1342" s="14"/>
    </row>
    <row r="1343">
      <c r="A1343" s="7" t="s">
        <v>1465</v>
      </c>
      <c r="B1343" s="7" t="s">
        <v>1115</v>
      </c>
      <c r="C1343" s="8">
        <v>5365.0</v>
      </c>
      <c r="D1343" s="8">
        <v>7445.0</v>
      </c>
      <c r="E1343" s="9">
        <v>0.28</v>
      </c>
      <c r="F1343" s="10">
        <v>3.9</v>
      </c>
      <c r="G1343" s="11">
        <v>3584.0</v>
      </c>
      <c r="I1343" s="7"/>
      <c r="J1343" s="7"/>
      <c r="K1343" s="13" t="str">
        <f>IF(discount&gt;50%, product, "")</f>
        <v/>
      </c>
      <c r="L1343" s="7"/>
      <c r="M1343" s="7"/>
      <c r="N1343" s="7"/>
      <c r="O1343" s="14"/>
      <c r="P1343" s="14"/>
    </row>
    <row r="1344">
      <c r="A1344" s="7" t="s">
        <v>1466</v>
      </c>
      <c r="B1344" s="7" t="s">
        <v>1139</v>
      </c>
      <c r="C1344" s="8">
        <v>3199.0</v>
      </c>
      <c r="D1344" s="8">
        <v>3500.0</v>
      </c>
      <c r="E1344" s="9">
        <v>0.09</v>
      </c>
      <c r="F1344" s="10">
        <v>4.2</v>
      </c>
      <c r="G1344" s="11">
        <v>1899.0</v>
      </c>
      <c r="I1344" s="7"/>
      <c r="J1344" s="7"/>
      <c r="K1344" s="13" t="str">
        <f>IF(discount&gt;50%, product, "")</f>
        <v/>
      </c>
      <c r="L1344" s="7"/>
      <c r="M1344" s="7"/>
      <c r="N1344" s="7"/>
      <c r="O1344" s="14"/>
      <c r="P1344" s="14"/>
    </row>
    <row r="1345">
      <c r="A1345" s="7" t="s">
        <v>1467</v>
      </c>
      <c r="B1345" s="7" t="s">
        <v>1310</v>
      </c>
      <c r="C1345" s="8">
        <v>979.0</v>
      </c>
      <c r="D1345" s="8">
        <v>1395.0</v>
      </c>
      <c r="E1345" s="9">
        <v>0.3</v>
      </c>
      <c r="F1345" s="10">
        <v>4.2</v>
      </c>
      <c r="G1345" s="11">
        <v>15252.0</v>
      </c>
      <c r="I1345" s="7"/>
      <c r="J1345" s="7"/>
      <c r="K1345" s="13" t="str">
        <f>IF(discount&gt;50%, product, "")</f>
        <v/>
      </c>
      <c r="L1345" s="7"/>
      <c r="M1345" s="7"/>
      <c r="N1345" s="7"/>
      <c r="O1345" s="14"/>
      <c r="P1345" s="14"/>
    </row>
    <row r="1346">
      <c r="A1346" s="7" t="s">
        <v>1468</v>
      </c>
      <c r="B1346" s="7" t="s">
        <v>1089</v>
      </c>
      <c r="C1346" s="8">
        <v>929.0</v>
      </c>
      <c r="D1346" s="8">
        <v>2199.0</v>
      </c>
      <c r="E1346" s="9">
        <v>0.58</v>
      </c>
      <c r="F1346" s="10">
        <v>3.7</v>
      </c>
      <c r="G1346" s="10">
        <v>4.0</v>
      </c>
      <c r="I1346" s="7"/>
      <c r="J1346" s="7"/>
      <c r="K1346" s="13" t="str">
        <f>IF(discount&gt;50%, product, "")</f>
        <v>Longway Blaze 2 Rod Quartz Room Heater (White, Gray, 800 watts)</v>
      </c>
      <c r="L1346" s="7"/>
      <c r="M1346" s="7"/>
      <c r="N1346" s="7"/>
      <c r="O1346" s="14"/>
      <c r="P1346" s="14"/>
    </row>
    <row r="1347">
      <c r="A1347" s="7" t="s">
        <v>1469</v>
      </c>
      <c r="B1347" s="7" t="s">
        <v>1316</v>
      </c>
      <c r="C1347" s="8">
        <v>3710.0</v>
      </c>
      <c r="D1347" s="8">
        <v>4330.0</v>
      </c>
      <c r="E1347" s="9">
        <v>0.14</v>
      </c>
      <c r="F1347" s="10">
        <v>3.7</v>
      </c>
      <c r="G1347" s="11">
        <v>1662.0</v>
      </c>
      <c r="I1347" s="7"/>
      <c r="J1347" s="7"/>
      <c r="K1347" s="13" t="str">
        <f>IF(discount&gt;50%, product, "")</f>
        <v/>
      </c>
      <c r="L1347" s="7"/>
      <c r="M1347" s="7"/>
      <c r="N1347" s="7"/>
      <c r="O1347" s="14"/>
      <c r="P1347" s="14"/>
    </row>
    <row r="1348">
      <c r="A1348" s="7" t="s">
        <v>1470</v>
      </c>
      <c r="B1348" s="7" t="s">
        <v>1113</v>
      </c>
      <c r="C1348" s="8">
        <v>2033.0</v>
      </c>
      <c r="D1348" s="8">
        <v>4295.0</v>
      </c>
      <c r="E1348" s="9">
        <v>0.53</v>
      </c>
      <c r="F1348" s="10">
        <v>3.4</v>
      </c>
      <c r="G1348" s="10">
        <v>422.0</v>
      </c>
      <c r="I1348" s="7"/>
      <c r="J1348" s="7"/>
      <c r="K1348" s="13" t="str">
        <f>IF(discount&gt;50%, product, "")</f>
        <v>Pigeon Zest Mixer Grinder 3 Speed Control 750 Watt Powerful Copper Motor with 3 Stainless Steel Jars for Dry Grinding, Wet Grinding and Making Chutney and 3 Polycarbonate lids - Blue</v>
      </c>
      <c r="L1348" s="7"/>
      <c r="M1348" s="7"/>
      <c r="N1348" s="7"/>
      <c r="O1348" s="14"/>
      <c r="P1348" s="14"/>
    </row>
    <row r="1349">
      <c r="A1349" s="7" t="s">
        <v>1471</v>
      </c>
      <c r="B1349" s="7" t="s">
        <v>1089</v>
      </c>
      <c r="C1349" s="8">
        <v>9495.0</v>
      </c>
      <c r="D1349" s="8">
        <v>18990.0</v>
      </c>
      <c r="E1349" s="9">
        <v>0.5</v>
      </c>
      <c r="F1349" s="10">
        <v>4.2</v>
      </c>
      <c r="G1349" s="10">
        <v>79.0</v>
      </c>
      <c r="I1349" s="7"/>
      <c r="J1349" s="7"/>
      <c r="K1349" s="13" t="str">
        <f>IF(discount&gt;50%, product, "")</f>
        <v/>
      </c>
      <c r="L1349" s="7"/>
      <c r="M1349" s="7"/>
      <c r="N1349" s="7"/>
      <c r="O1349" s="14"/>
      <c r="P1349" s="14"/>
    </row>
    <row r="1350">
      <c r="A1350" s="7" t="s">
        <v>1472</v>
      </c>
      <c r="B1350" s="7" t="s">
        <v>1123</v>
      </c>
      <c r="C1350" s="8">
        <v>7799.0</v>
      </c>
      <c r="D1350" s="8">
        <v>12500.0</v>
      </c>
      <c r="E1350" s="9">
        <v>0.38</v>
      </c>
      <c r="F1350" s="10">
        <v>4.0</v>
      </c>
      <c r="G1350" s="11">
        <v>5160.0</v>
      </c>
      <c r="I1350" s="7"/>
      <c r="J1350" s="7"/>
      <c r="K1350" s="13" t="str">
        <f>IF(discount&gt;50%, product, "")</f>
        <v/>
      </c>
      <c r="L1350" s="7"/>
      <c r="M1350" s="7"/>
      <c r="N1350" s="7"/>
      <c r="O1350" s="14"/>
      <c r="P1350" s="14"/>
    </row>
    <row r="1351">
      <c r="A1351" s="7" t="s">
        <v>1473</v>
      </c>
      <c r="B1351" s="7" t="s">
        <v>1086</v>
      </c>
      <c r="C1351" s="8">
        <v>949.0</v>
      </c>
      <c r="D1351" s="8">
        <v>2385.0</v>
      </c>
      <c r="E1351" s="9">
        <v>0.6</v>
      </c>
      <c r="F1351" s="10">
        <v>4.1</v>
      </c>
      <c r="G1351" s="11">
        <v>2311.0</v>
      </c>
      <c r="I1351" s="7"/>
      <c r="J1351" s="7"/>
      <c r="K1351" s="13" t="str">
        <f>IF(discount&gt;50%, product, "")</f>
        <v>Singer Aroma 1.8 Liter Electric Kettle High Grade Stainless Steel with Cool and Touch Body and Cordless Base, 1500 watts, Auto Shut Off with Dry Boiling (Silver/Black)</v>
      </c>
      <c r="L1351" s="7"/>
      <c r="M1351" s="7"/>
      <c r="N1351" s="7"/>
      <c r="O1351" s="14"/>
      <c r="P1351" s="14"/>
    </row>
    <row r="1352">
      <c r="A1352" s="7" t="s">
        <v>1474</v>
      </c>
      <c r="B1352" s="7" t="s">
        <v>1115</v>
      </c>
      <c r="C1352" s="8">
        <v>2790.0</v>
      </c>
      <c r="D1352" s="8">
        <v>4890.0</v>
      </c>
      <c r="E1352" s="9">
        <v>0.43</v>
      </c>
      <c r="F1352" s="10">
        <v>3.9</v>
      </c>
      <c r="G1352" s="10">
        <v>588.0</v>
      </c>
      <c r="I1352" s="7"/>
      <c r="J1352" s="7"/>
      <c r="K1352" s="13" t="str">
        <f>IF(discount&gt;50%, product, "")</f>
        <v/>
      </c>
      <c r="L1352" s="7"/>
      <c r="M1352" s="7"/>
      <c r="N1352" s="7"/>
      <c r="O1352" s="14"/>
      <c r="P1352" s="14"/>
    </row>
    <row r="1353">
      <c r="A1353" s="7" t="s">
        <v>1475</v>
      </c>
      <c r="B1353" s="7" t="s">
        <v>1111</v>
      </c>
      <c r="C1353" s="8">
        <v>645.0</v>
      </c>
      <c r="D1353" s="8">
        <v>1100.0</v>
      </c>
      <c r="E1353" s="9">
        <v>0.41</v>
      </c>
      <c r="F1353" s="10">
        <v>4.0</v>
      </c>
      <c r="G1353" s="11">
        <v>3271.0</v>
      </c>
      <c r="I1353" s="7"/>
      <c r="J1353" s="7"/>
      <c r="K1353" s="13" t="str">
        <f>IF(discount&gt;50%, product, "")</f>
        <v/>
      </c>
      <c r="L1353" s="7"/>
      <c r="M1353" s="7"/>
      <c r="N1353" s="7"/>
      <c r="O1353" s="14"/>
      <c r="P1353" s="14"/>
    </row>
    <row r="1354">
      <c r="A1354" s="7" t="s">
        <v>1476</v>
      </c>
      <c r="B1354" s="7" t="s">
        <v>1113</v>
      </c>
      <c r="C1354" s="8">
        <v>2237.81</v>
      </c>
      <c r="D1354" s="8">
        <v>3899.0</v>
      </c>
      <c r="E1354" s="9">
        <v>0.43</v>
      </c>
      <c r="F1354" s="10">
        <v>3.9</v>
      </c>
      <c r="G1354" s="11">
        <v>11004.0</v>
      </c>
      <c r="I1354" s="7"/>
      <c r="J1354" s="7"/>
      <c r="K1354" s="13" t="str">
        <f>IF(discount&gt;50%, product, "")</f>
        <v/>
      </c>
      <c r="L1354" s="7"/>
      <c r="M1354" s="7"/>
      <c r="N1354" s="7"/>
      <c r="O1354" s="14"/>
      <c r="P1354" s="14"/>
    </row>
    <row r="1355">
      <c r="A1355" s="7" t="s">
        <v>1477</v>
      </c>
      <c r="B1355" s="7" t="s">
        <v>1123</v>
      </c>
      <c r="C1355" s="8">
        <v>8699.0</v>
      </c>
      <c r="D1355" s="8">
        <v>16899.0</v>
      </c>
      <c r="E1355" s="9">
        <v>0.49</v>
      </c>
      <c r="F1355" s="10">
        <v>4.2</v>
      </c>
      <c r="G1355" s="11">
        <v>3195.0</v>
      </c>
      <c r="I1355" s="7"/>
      <c r="J1355" s="7"/>
      <c r="K1355" s="13" t="str">
        <f>IF(discount&gt;50%, product, "")</f>
        <v/>
      </c>
      <c r="L1355" s="7"/>
      <c r="M1355" s="7"/>
      <c r="N1355" s="7"/>
      <c r="O1355" s="14"/>
      <c r="P1355" s="14"/>
    </row>
    <row r="1356">
      <c r="A1356" s="7" t="s">
        <v>1478</v>
      </c>
      <c r="B1356" s="7" t="s">
        <v>1479</v>
      </c>
      <c r="C1356" s="8">
        <v>42990.0</v>
      </c>
      <c r="D1356" s="8">
        <v>75990.0</v>
      </c>
      <c r="E1356" s="9">
        <v>0.43</v>
      </c>
      <c r="F1356" s="10">
        <v>4.3</v>
      </c>
      <c r="G1356" s="11">
        <v>3231.0</v>
      </c>
      <c r="I1356" s="7"/>
      <c r="J1356" s="7"/>
      <c r="K1356" s="13" t="str">
        <f>IF(discount&gt;50%, product, "")</f>
        <v/>
      </c>
      <c r="L1356" s="7"/>
      <c r="M1356" s="7"/>
      <c r="N1356" s="7"/>
      <c r="O1356" s="14"/>
      <c r="P1356" s="14"/>
    </row>
    <row r="1357">
      <c r="A1357" s="7" t="s">
        <v>1480</v>
      </c>
      <c r="B1357" s="7" t="s">
        <v>1228</v>
      </c>
      <c r="C1357" s="8">
        <v>825.0</v>
      </c>
      <c r="D1357" s="8">
        <v>825.0</v>
      </c>
      <c r="E1357" s="9">
        <v>0.0</v>
      </c>
      <c r="F1357" s="10">
        <v>4.0</v>
      </c>
      <c r="G1357" s="11">
        <v>3246.0</v>
      </c>
      <c r="I1357" s="7"/>
      <c r="J1357" s="7"/>
      <c r="K1357" s="13" t="str">
        <f>IF(discount&gt;50%, product, "")</f>
        <v/>
      </c>
      <c r="L1357" s="7"/>
      <c r="M1357" s="7"/>
      <c r="N1357" s="7"/>
      <c r="O1357" s="14"/>
      <c r="P1357" s="14"/>
    </row>
    <row r="1358">
      <c r="A1358" s="7" t="s">
        <v>1481</v>
      </c>
      <c r="B1358" s="7" t="s">
        <v>1184</v>
      </c>
      <c r="C1358" s="8">
        <v>161.0</v>
      </c>
      <c r="D1358" s="8">
        <v>300.0</v>
      </c>
      <c r="E1358" s="9">
        <v>0.46</v>
      </c>
      <c r="F1358" s="10">
        <v>2.6</v>
      </c>
      <c r="G1358" s="10">
        <v>24.0</v>
      </c>
      <c r="I1358" s="7"/>
      <c r="J1358" s="7"/>
      <c r="K1358" s="13" t="str">
        <f>IF(discount&gt;50%, product, "")</f>
        <v/>
      </c>
      <c r="L1358" s="7"/>
      <c r="M1358" s="7"/>
      <c r="N1358" s="7"/>
      <c r="O1358" s="14"/>
      <c r="P1358" s="14"/>
    </row>
    <row r="1359">
      <c r="A1359" s="7" t="s">
        <v>1482</v>
      </c>
      <c r="B1359" s="7" t="s">
        <v>1104</v>
      </c>
      <c r="C1359" s="8">
        <v>697.0</v>
      </c>
      <c r="D1359" s="8">
        <v>1499.0</v>
      </c>
      <c r="E1359" s="9">
        <v>0.54</v>
      </c>
      <c r="F1359" s="10">
        <v>3.8</v>
      </c>
      <c r="G1359" s="10">
        <v>144.0</v>
      </c>
      <c r="I1359" s="7"/>
      <c r="J1359" s="7"/>
      <c r="K1359" s="13" t="str">
        <f>IF(discount&gt;50%, product, "")</f>
        <v>SaleOn Instant Coal Heater 500W Charcoal Burner Electric Stove Hot Plate - Mix Colors - Pack of 1 - Only Charcoal Heater</v>
      </c>
      <c r="L1359" s="7"/>
      <c r="M1359" s="7"/>
      <c r="N1359" s="7"/>
      <c r="O1359" s="14"/>
      <c r="P1359" s="14"/>
    </row>
    <row r="1360">
      <c r="A1360" s="7" t="s">
        <v>1483</v>
      </c>
      <c r="B1360" s="7" t="s">
        <v>1484</v>
      </c>
      <c r="C1360" s="8">
        <v>688.0</v>
      </c>
      <c r="D1360" s="8">
        <v>747.0</v>
      </c>
      <c r="E1360" s="9">
        <v>0.08</v>
      </c>
      <c r="F1360" s="10">
        <v>4.5</v>
      </c>
      <c r="G1360" s="11">
        <v>2280.0</v>
      </c>
      <c r="I1360" s="7"/>
      <c r="J1360" s="7"/>
      <c r="K1360" s="13" t="str">
        <f>IF(discount&gt;50%, product, "")</f>
        <v/>
      </c>
      <c r="L1360" s="7"/>
      <c r="M1360" s="7"/>
      <c r="N1360" s="7"/>
      <c r="O1360" s="14"/>
      <c r="P1360" s="14"/>
    </row>
    <row r="1361">
      <c r="A1361" s="7" t="s">
        <v>1485</v>
      </c>
      <c r="B1361" s="7" t="s">
        <v>1199</v>
      </c>
      <c r="C1361" s="8">
        <v>2199.0</v>
      </c>
      <c r="D1361" s="8">
        <v>3999.0</v>
      </c>
      <c r="E1361" s="9">
        <v>0.45</v>
      </c>
      <c r="F1361" s="10">
        <v>3.5</v>
      </c>
      <c r="G1361" s="10">
        <v>340.0</v>
      </c>
      <c r="I1361" s="7"/>
      <c r="J1361" s="7"/>
      <c r="K1361" s="13" t="str">
        <f>IF(discount&gt;50%, product, "")</f>
        <v/>
      </c>
      <c r="L1361" s="7"/>
      <c r="M1361" s="7"/>
      <c r="N1361" s="7"/>
      <c r="O1361" s="14"/>
      <c r="P1361" s="14"/>
    </row>
    <row r="1362">
      <c r="A1362" s="7" t="s">
        <v>1486</v>
      </c>
      <c r="B1362" s="7" t="s">
        <v>1091</v>
      </c>
      <c r="C1362" s="8">
        <v>6850.0</v>
      </c>
      <c r="D1362" s="8">
        <v>11990.0</v>
      </c>
      <c r="E1362" s="9">
        <v>0.43</v>
      </c>
      <c r="F1362" s="10">
        <v>3.9</v>
      </c>
      <c r="G1362" s="10">
        <v>144.0</v>
      </c>
      <c r="I1362" s="7"/>
      <c r="J1362" s="7"/>
      <c r="K1362" s="13" t="str">
        <f>IF(discount&gt;50%, product, "")</f>
        <v/>
      </c>
      <c r="L1362" s="7"/>
      <c r="M1362" s="7"/>
      <c r="N1362" s="7"/>
      <c r="O1362" s="14"/>
      <c r="P1362" s="14"/>
    </row>
    <row r="1363">
      <c r="A1363" s="7" t="s">
        <v>1487</v>
      </c>
      <c r="B1363" s="7" t="s">
        <v>1115</v>
      </c>
      <c r="C1363" s="8">
        <v>2699.0</v>
      </c>
      <c r="D1363" s="8">
        <v>3799.0</v>
      </c>
      <c r="E1363" s="9">
        <v>0.29</v>
      </c>
      <c r="F1363" s="10">
        <v>4.0</v>
      </c>
      <c r="G1363" s="10">
        <v>727.0</v>
      </c>
      <c r="I1363" s="7"/>
      <c r="J1363" s="7"/>
      <c r="K1363" s="13" t="str">
        <f>IF(discount&gt;50%, product, "")</f>
        <v/>
      </c>
      <c r="L1363" s="7"/>
      <c r="M1363" s="7"/>
      <c r="N1363" s="7"/>
      <c r="O1363" s="14"/>
      <c r="P1363" s="14"/>
    </row>
    <row r="1364">
      <c r="A1364" s="7" t="s">
        <v>1488</v>
      </c>
      <c r="B1364" s="7" t="s">
        <v>1489</v>
      </c>
      <c r="C1364" s="8">
        <v>899.0</v>
      </c>
      <c r="D1364" s="8">
        <v>1999.0</v>
      </c>
      <c r="E1364" s="9">
        <v>0.55</v>
      </c>
      <c r="F1364" s="10">
        <v>4.0</v>
      </c>
      <c r="G1364" s="10">
        <v>832.0</v>
      </c>
      <c r="I1364" s="7"/>
      <c r="J1364" s="7"/>
      <c r="K1364" s="13" t="str">
        <f>IF(discount&gt;50%, product, "")</f>
        <v>JIALTO Mini Waffle Maker 4 Inch- 350 Watts: Stainless Steel Non-Stick Electric Iron Machine for Individual Belgian Waffles, Pan Cakes, Paninis or Other Snacks - Aqua blue</v>
      </c>
      <c r="L1364" s="7"/>
      <c r="M1364" s="7"/>
      <c r="N1364" s="7"/>
      <c r="O1364" s="14"/>
      <c r="P1364" s="14"/>
    </row>
    <row r="1365">
      <c r="A1365" s="7" t="s">
        <v>1490</v>
      </c>
      <c r="B1365" s="7" t="s">
        <v>1091</v>
      </c>
      <c r="C1365" s="8">
        <v>1090.0</v>
      </c>
      <c r="D1365" s="8">
        <v>2999.0</v>
      </c>
      <c r="E1365" s="9">
        <v>0.64</v>
      </c>
      <c r="F1365" s="10">
        <v>3.5</v>
      </c>
      <c r="G1365" s="10">
        <v>57.0</v>
      </c>
      <c r="I1365" s="7"/>
      <c r="J1365" s="7"/>
      <c r="K1365" s="13" t="str">
        <f>IF(discount&gt;50%, product, "")</f>
        <v>Candes BlowHot All in One Silent Blower Fan Room Heater (ABS Body, White, Brown) 2000 Watts</v>
      </c>
      <c r="L1365" s="7"/>
      <c r="M1365" s="7"/>
      <c r="N1365" s="7"/>
      <c r="O1365" s="14"/>
      <c r="P1365" s="14"/>
    </row>
    <row r="1366">
      <c r="A1366" s="7" t="s">
        <v>1491</v>
      </c>
      <c r="B1366" s="7" t="s">
        <v>1095</v>
      </c>
      <c r="C1366" s="8">
        <v>295.0</v>
      </c>
      <c r="D1366" s="8">
        <v>599.0</v>
      </c>
      <c r="E1366" s="9">
        <v>0.51</v>
      </c>
      <c r="F1366" s="10">
        <v>4.0</v>
      </c>
      <c r="G1366" s="11">
        <v>1644.0</v>
      </c>
      <c r="I1366" s="7"/>
      <c r="J1366" s="7"/>
      <c r="K1366" s="13" t="str">
        <f>IF(discount&gt;50%, product, "")</f>
        <v>Ionix Jewellery Scale | Weight Scale | Digital Weight Machine | weight machine for gold | Electronic weighing machines for Jewellery 0.01G to 200G Small Weight Machine for Shop - Silver</v>
      </c>
      <c r="L1366" s="7"/>
      <c r="M1366" s="7"/>
      <c r="N1366" s="7"/>
      <c r="O1366" s="14"/>
      <c r="P1366" s="14"/>
    </row>
    <row r="1367">
      <c r="A1367" s="7" t="s">
        <v>1492</v>
      </c>
      <c r="B1367" s="7" t="s">
        <v>1121</v>
      </c>
      <c r="C1367" s="8">
        <v>479.0</v>
      </c>
      <c r="D1367" s="8">
        <v>1999.0</v>
      </c>
      <c r="E1367" s="9">
        <v>0.76</v>
      </c>
      <c r="F1367" s="10">
        <v>3.4</v>
      </c>
      <c r="G1367" s="11">
        <v>1066.0</v>
      </c>
      <c r="I1367" s="7"/>
      <c r="J1367" s="7"/>
      <c r="K1367" s="13" t="str">
        <f>IF(discount&gt;50%, product, "")</f>
        <v>Kitchen Kit Electric Kettle, 1.8L Stainless Steel Tea Kettle, Fast Boil Water Warmer with Auto Shut Off and Boil Dry Protection Tech</v>
      </c>
      <c r="L1367" s="7"/>
      <c r="M1367" s="7"/>
      <c r="N1367" s="7"/>
      <c r="O1367" s="14"/>
      <c r="P1367" s="14"/>
    </row>
    <row r="1368">
      <c r="A1368" s="7" t="s">
        <v>1493</v>
      </c>
      <c r="B1368" s="7" t="s">
        <v>1115</v>
      </c>
      <c r="C1368" s="8">
        <v>2949.0</v>
      </c>
      <c r="D1368" s="8">
        <v>4849.0</v>
      </c>
      <c r="E1368" s="9">
        <v>0.39</v>
      </c>
      <c r="F1368" s="10">
        <v>4.2</v>
      </c>
      <c r="G1368" s="11">
        <v>7968.0</v>
      </c>
      <c r="I1368" s="7"/>
      <c r="J1368" s="7"/>
      <c r="K1368" s="13" t="str">
        <f>IF(discount&gt;50%, product, "")</f>
        <v/>
      </c>
      <c r="L1368" s="7"/>
      <c r="M1368" s="7"/>
      <c r="N1368" s="7"/>
      <c r="O1368" s="14"/>
      <c r="P1368" s="14"/>
    </row>
    <row r="1369">
      <c r="A1369" s="7" t="s">
        <v>1494</v>
      </c>
      <c r="B1369" s="7" t="s">
        <v>1131</v>
      </c>
      <c r="C1369" s="8">
        <v>335.0</v>
      </c>
      <c r="D1369" s="8">
        <v>510.0</v>
      </c>
      <c r="E1369" s="9">
        <v>0.34</v>
      </c>
      <c r="F1369" s="10">
        <v>3.8</v>
      </c>
      <c r="G1369" s="11">
        <v>3195.0</v>
      </c>
      <c r="I1369" s="7"/>
      <c r="J1369" s="7"/>
      <c r="K1369" s="13" t="str">
        <f>IF(discount&gt;50%, product, "")</f>
        <v/>
      </c>
      <c r="L1369" s="7"/>
      <c r="M1369" s="7"/>
      <c r="N1369" s="7"/>
      <c r="O1369" s="14"/>
      <c r="P1369" s="14"/>
    </row>
    <row r="1370">
      <c r="A1370" s="7" t="s">
        <v>1495</v>
      </c>
      <c r="B1370" s="7" t="s">
        <v>1225</v>
      </c>
      <c r="C1370" s="8">
        <v>293.0</v>
      </c>
      <c r="D1370" s="8">
        <v>499.0</v>
      </c>
      <c r="E1370" s="9">
        <v>0.41</v>
      </c>
      <c r="F1370" s="10">
        <v>4.1</v>
      </c>
      <c r="G1370" s="11">
        <v>1456.0</v>
      </c>
      <c r="I1370" s="7"/>
      <c r="J1370" s="7"/>
      <c r="K1370" s="13" t="str">
        <f>IF(discount&gt;50%, product, "")</f>
        <v/>
      </c>
      <c r="L1370" s="7"/>
      <c r="M1370" s="7"/>
      <c r="N1370" s="7"/>
      <c r="O1370" s="14"/>
      <c r="P1370" s="14"/>
    </row>
    <row r="1371">
      <c r="A1371" s="7" t="s">
        <v>1496</v>
      </c>
      <c r="B1371" s="7" t="s">
        <v>1497</v>
      </c>
      <c r="C1371" s="8">
        <v>599.0</v>
      </c>
      <c r="D1371" s="8">
        <v>1299.0</v>
      </c>
      <c r="E1371" s="9">
        <v>0.54</v>
      </c>
      <c r="F1371" s="10">
        <v>4.2</v>
      </c>
      <c r="G1371" s="10">
        <v>590.0</v>
      </c>
      <c r="I1371" s="7"/>
      <c r="J1371" s="7"/>
      <c r="K1371" s="13" t="str">
        <f>IF(discount&gt;50%, product, "")</f>
        <v>Saiyam Stainless Steel Espresso Maker Stovetop Coffee Percolator Italian Coffee Maker Moka Pot (4 Cup - 200 ml, Silver)</v>
      </c>
      <c r="L1371" s="7"/>
      <c r="M1371" s="7"/>
      <c r="N1371" s="7"/>
      <c r="O1371" s="14"/>
      <c r="P1371" s="14"/>
    </row>
    <row r="1372">
      <c r="A1372" s="7" t="s">
        <v>1498</v>
      </c>
      <c r="B1372" s="7" t="s">
        <v>1228</v>
      </c>
      <c r="C1372" s="8">
        <v>499.0</v>
      </c>
      <c r="D1372" s="8">
        <v>999.0</v>
      </c>
      <c r="E1372" s="9">
        <v>0.5</v>
      </c>
      <c r="F1372" s="10">
        <v>4.3</v>
      </c>
      <c r="G1372" s="11">
        <v>1436.0</v>
      </c>
      <c r="I1372" s="7"/>
      <c r="J1372" s="7"/>
      <c r="K1372" s="13" t="str">
        <f>IF(discount&gt;50%, product, "")</f>
        <v/>
      </c>
      <c r="L1372" s="7"/>
      <c r="M1372" s="7"/>
      <c r="N1372" s="7"/>
      <c r="O1372" s="14"/>
      <c r="P1372" s="14"/>
    </row>
    <row r="1373">
      <c r="A1373" s="7" t="s">
        <v>1499</v>
      </c>
      <c r="B1373" s="7" t="s">
        <v>1111</v>
      </c>
      <c r="C1373" s="8">
        <v>849.0</v>
      </c>
      <c r="D1373" s="8">
        <v>1190.0</v>
      </c>
      <c r="E1373" s="9">
        <v>0.29</v>
      </c>
      <c r="F1373" s="10">
        <v>4.2</v>
      </c>
      <c r="G1373" s="11">
        <v>4184.0</v>
      </c>
      <c r="I1373" s="7"/>
      <c r="J1373" s="7"/>
      <c r="K1373" s="13" t="str">
        <f>IF(discount&gt;50%, product, "")</f>
        <v/>
      </c>
      <c r="L1373" s="7"/>
      <c r="M1373" s="7"/>
      <c r="N1373" s="7"/>
      <c r="O1373" s="14"/>
      <c r="P1373" s="14"/>
    </row>
    <row r="1374">
      <c r="A1374" s="7" t="s">
        <v>1500</v>
      </c>
      <c r="B1374" s="7" t="s">
        <v>1225</v>
      </c>
      <c r="C1374" s="8">
        <v>249.0</v>
      </c>
      <c r="D1374" s="8">
        <v>400.0</v>
      </c>
      <c r="E1374" s="9">
        <v>0.38</v>
      </c>
      <c r="F1374" s="10">
        <v>4.1</v>
      </c>
      <c r="G1374" s="10">
        <v>693.0</v>
      </c>
      <c r="I1374" s="7"/>
      <c r="J1374" s="7"/>
      <c r="K1374" s="13" t="str">
        <f>IF(discount&gt;50%, product, "")</f>
        <v/>
      </c>
      <c r="L1374" s="7"/>
      <c r="M1374" s="7"/>
      <c r="N1374" s="7"/>
      <c r="O1374" s="14"/>
      <c r="P1374" s="14"/>
    </row>
    <row r="1375">
      <c r="A1375" s="7" t="s">
        <v>1501</v>
      </c>
      <c r="B1375" s="7" t="s">
        <v>1228</v>
      </c>
      <c r="C1375" s="8">
        <v>185.0</v>
      </c>
      <c r="D1375" s="8">
        <v>599.0</v>
      </c>
      <c r="E1375" s="9">
        <v>0.69</v>
      </c>
      <c r="F1375" s="10">
        <v>3.9</v>
      </c>
      <c r="G1375" s="11">
        <v>1306.0</v>
      </c>
      <c r="I1375" s="7"/>
      <c r="J1375" s="7"/>
      <c r="K1375" s="13" t="str">
        <f>IF(discount&gt;50%, product, "")</f>
        <v>IONIX Activated Carbon Faucet Water Filters Universal Interface Home Kitchen Faucet Tap Water | Tap filter Multilayer | Clean Purifier Filter Cartridge Five Layer Water Filter-Pack of 1</v>
      </c>
      <c r="L1375" s="7"/>
      <c r="M1375" s="7"/>
      <c r="N1375" s="7"/>
      <c r="O1375" s="14"/>
      <c r="P1375" s="14"/>
    </row>
    <row r="1376">
      <c r="A1376" s="7" t="s">
        <v>1502</v>
      </c>
      <c r="B1376" s="7" t="s">
        <v>1091</v>
      </c>
      <c r="C1376" s="8">
        <v>778.0</v>
      </c>
      <c r="D1376" s="8">
        <v>999.0</v>
      </c>
      <c r="E1376" s="9">
        <v>0.22</v>
      </c>
      <c r="F1376" s="10">
        <v>3.3</v>
      </c>
      <c r="G1376" s="10">
        <v>8.0</v>
      </c>
      <c r="I1376" s="7"/>
      <c r="J1376" s="7"/>
      <c r="K1376" s="13" t="str">
        <f>IF(discount&gt;50%, product, "")</f>
        <v/>
      </c>
      <c r="L1376" s="7"/>
      <c r="M1376" s="7"/>
      <c r="N1376" s="7"/>
      <c r="O1376" s="14"/>
      <c r="P1376" s="14"/>
    </row>
    <row r="1377">
      <c r="A1377" s="7" t="s">
        <v>1503</v>
      </c>
      <c r="B1377" s="7" t="s">
        <v>1504</v>
      </c>
      <c r="C1377" s="8">
        <v>279.0</v>
      </c>
      <c r="D1377" s="8">
        <v>699.0</v>
      </c>
      <c r="E1377" s="9">
        <v>0.6</v>
      </c>
      <c r="F1377" s="10">
        <v>4.3</v>
      </c>
      <c r="G1377" s="11">
        <v>2326.0</v>
      </c>
      <c r="I1377" s="7"/>
      <c r="J1377" s="7"/>
      <c r="K1377" s="13" t="str">
        <f>IF(discount&gt;50%, product, "")</f>
        <v>INKULTURE Stainless_Steel Measuring Cups &amp; Spoon Combo for Dry or Liquid/Kitchen Gadgets for Cooking &amp; Baking Cakes/Measuring Cup Set Combo with Handles (Set of 4 Cups &amp; 4 Spoons)</v>
      </c>
      <c r="L1377" s="7"/>
      <c r="M1377" s="7"/>
      <c r="N1377" s="7"/>
      <c r="O1377" s="14"/>
      <c r="P1377" s="14"/>
    </row>
    <row r="1378">
      <c r="A1378" s="7" t="s">
        <v>1505</v>
      </c>
      <c r="B1378" s="7" t="s">
        <v>1228</v>
      </c>
      <c r="C1378" s="8">
        <v>215.0</v>
      </c>
      <c r="D1378" s="8">
        <v>1499.0</v>
      </c>
      <c r="E1378" s="9">
        <v>0.86</v>
      </c>
      <c r="F1378" s="10">
        <v>3.9</v>
      </c>
      <c r="G1378" s="11">
        <v>1004.0</v>
      </c>
      <c r="I1378" s="7"/>
      <c r="J1378" s="7"/>
      <c r="K1378" s="13" t="str">
        <f>IF(discount&gt;50%, product, "")</f>
        <v>Macmillan Aquafresh 5 Micron PS-05 10" in PP Spun Filter Candle Set for All Type RO Water Purifier 10 inch (4)</v>
      </c>
      <c r="L1378" s="7"/>
      <c r="M1378" s="7"/>
      <c r="N1378" s="7"/>
      <c r="O1378" s="14"/>
      <c r="P1378" s="14"/>
    </row>
    <row r="1379">
      <c r="A1379" s="7" t="s">
        <v>1506</v>
      </c>
      <c r="B1379" s="7" t="s">
        <v>1111</v>
      </c>
      <c r="C1379" s="8">
        <v>889.0</v>
      </c>
      <c r="D1379" s="8">
        <v>1295.0</v>
      </c>
      <c r="E1379" s="9">
        <v>0.31</v>
      </c>
      <c r="F1379" s="10">
        <v>4.3</v>
      </c>
      <c r="G1379" s="11">
        <v>6400.0</v>
      </c>
      <c r="I1379" s="7"/>
      <c r="J1379" s="7"/>
      <c r="K1379" s="13" t="str">
        <f>IF(discount&gt;50%, product, "")</f>
        <v/>
      </c>
      <c r="L1379" s="7"/>
      <c r="M1379" s="7"/>
      <c r="N1379" s="7"/>
      <c r="O1379" s="14"/>
      <c r="P1379" s="14"/>
    </row>
    <row r="1380">
      <c r="A1380" s="7" t="s">
        <v>1507</v>
      </c>
      <c r="B1380" s="7" t="s">
        <v>1115</v>
      </c>
      <c r="C1380" s="8">
        <v>1449.0</v>
      </c>
      <c r="D1380" s="8">
        <v>4999.0</v>
      </c>
      <c r="E1380" s="9">
        <v>0.71</v>
      </c>
      <c r="F1380" s="10">
        <v>3.6</v>
      </c>
      <c r="G1380" s="10">
        <v>63.0</v>
      </c>
      <c r="I1380" s="7"/>
      <c r="J1380" s="7"/>
      <c r="K1380" s="13" t="str">
        <f>IF(discount&gt;50%, product, "")</f>
        <v>TE™ Instant Electric Heating Hot and Cold Water Geyser Tap Water with Digital Display (White)</v>
      </c>
      <c r="L1380" s="7"/>
      <c r="M1380" s="7"/>
      <c r="N1380" s="7"/>
      <c r="O1380" s="14"/>
      <c r="P1380" s="14"/>
    </row>
    <row r="1381">
      <c r="A1381" s="7" t="s">
        <v>1508</v>
      </c>
      <c r="B1381" s="7" t="s">
        <v>1115</v>
      </c>
      <c r="C1381" s="8">
        <v>1190.0</v>
      </c>
      <c r="D1381" s="8">
        <v>2550.0</v>
      </c>
      <c r="E1381" s="9">
        <v>0.53</v>
      </c>
      <c r="F1381" s="10">
        <v>3.8</v>
      </c>
      <c r="G1381" s="11">
        <v>1181.0</v>
      </c>
      <c r="I1381" s="7"/>
      <c r="J1381" s="7"/>
      <c r="K1381" s="13" t="str">
        <f>IF(discount&gt;50%, product, "")</f>
        <v>ZIGMA WinoteK WinoteK Sun Instant Water Geyser, Water Heater, Portable Water Heater, Geysers Made of First Class ABS Plastic, automatic Reset Model, AE10-3 W (Yellow)</v>
      </c>
      <c r="L1381" s="7"/>
      <c r="M1381" s="7"/>
      <c r="N1381" s="7"/>
      <c r="O1381" s="14"/>
      <c r="P1381" s="14"/>
    </row>
    <row r="1382">
      <c r="A1382" s="7" t="s">
        <v>1509</v>
      </c>
      <c r="B1382" s="7" t="s">
        <v>1280</v>
      </c>
      <c r="C1382" s="8">
        <v>1799.0</v>
      </c>
      <c r="D1382" s="8">
        <v>1950.0</v>
      </c>
      <c r="E1382" s="9">
        <v>0.08</v>
      </c>
      <c r="F1382" s="10">
        <v>3.9</v>
      </c>
      <c r="G1382" s="11">
        <v>1888.0</v>
      </c>
      <c r="I1382" s="7"/>
      <c r="J1382" s="7"/>
      <c r="K1382" s="13" t="str">
        <f>IF(discount&gt;50%, product, "")</f>
        <v/>
      </c>
      <c r="L1382" s="7"/>
      <c r="M1382" s="7"/>
      <c r="N1382" s="7"/>
      <c r="O1382" s="14"/>
      <c r="P1382" s="14"/>
    </row>
    <row r="1383">
      <c r="A1383" s="7" t="s">
        <v>1510</v>
      </c>
      <c r="B1383" s="7" t="s">
        <v>1113</v>
      </c>
      <c r="C1383" s="8">
        <v>6120.0</v>
      </c>
      <c r="D1383" s="8">
        <v>8478.0</v>
      </c>
      <c r="E1383" s="9">
        <v>0.28</v>
      </c>
      <c r="F1383" s="10">
        <v>4.6</v>
      </c>
      <c r="G1383" s="11">
        <v>6550.0</v>
      </c>
      <c r="I1383" s="7"/>
      <c r="J1383" s="7"/>
      <c r="K1383" s="13" t="str">
        <f>IF(discount&gt;50%, product, "")</f>
        <v/>
      </c>
      <c r="L1383" s="7"/>
      <c r="M1383" s="7"/>
      <c r="N1383" s="7"/>
      <c r="O1383" s="14"/>
      <c r="P1383" s="14"/>
    </row>
    <row r="1384">
      <c r="A1384" s="7" t="s">
        <v>1511</v>
      </c>
      <c r="B1384" s="7" t="s">
        <v>1113</v>
      </c>
      <c r="C1384" s="8">
        <v>1799.0</v>
      </c>
      <c r="D1384" s="8">
        <v>3299.0</v>
      </c>
      <c r="E1384" s="9">
        <v>0.45</v>
      </c>
      <c r="F1384" s="10">
        <v>3.8</v>
      </c>
      <c r="G1384" s="11">
        <v>1846.0</v>
      </c>
      <c r="I1384" s="7"/>
      <c r="J1384" s="7"/>
      <c r="K1384" s="13" t="str">
        <f>IF(discount&gt;50%, product, "")</f>
        <v/>
      </c>
      <c r="L1384" s="7"/>
      <c r="M1384" s="7"/>
      <c r="N1384" s="7"/>
      <c r="O1384" s="14"/>
      <c r="P1384" s="14"/>
    </row>
    <row r="1385">
      <c r="A1385" s="7" t="s">
        <v>1512</v>
      </c>
      <c r="B1385" s="7" t="s">
        <v>1113</v>
      </c>
      <c r="C1385" s="8">
        <v>2199.0</v>
      </c>
      <c r="D1385" s="8">
        <v>3895.0</v>
      </c>
      <c r="E1385" s="9">
        <v>0.44</v>
      </c>
      <c r="F1385" s="10">
        <v>3.9</v>
      </c>
      <c r="G1385" s="11">
        <v>1085.0</v>
      </c>
      <c r="I1385" s="7"/>
      <c r="J1385" s="7"/>
      <c r="K1385" s="13" t="str">
        <f>IF(discount&gt;50%, product, "")</f>
        <v/>
      </c>
      <c r="L1385" s="7"/>
      <c r="M1385" s="7"/>
      <c r="N1385" s="7"/>
      <c r="O1385" s="14"/>
      <c r="P1385" s="14"/>
    </row>
    <row r="1386">
      <c r="A1386" s="7" t="s">
        <v>1513</v>
      </c>
      <c r="B1386" s="7" t="s">
        <v>1236</v>
      </c>
      <c r="C1386" s="8">
        <v>3685.0</v>
      </c>
      <c r="D1386" s="8">
        <v>5495.0</v>
      </c>
      <c r="E1386" s="9">
        <v>0.33</v>
      </c>
      <c r="F1386" s="10">
        <v>4.1</v>
      </c>
      <c r="G1386" s="10">
        <v>290.0</v>
      </c>
      <c r="I1386" s="7"/>
      <c r="J1386" s="7"/>
      <c r="K1386" s="13" t="str">
        <f>IF(discount&gt;50%, product, "")</f>
        <v/>
      </c>
      <c r="L1386" s="7"/>
      <c r="M1386" s="7"/>
      <c r="N1386" s="7"/>
      <c r="O1386" s="14"/>
      <c r="P1386" s="14"/>
    </row>
    <row r="1387">
      <c r="A1387" s="7" t="s">
        <v>1514</v>
      </c>
      <c r="B1387" s="7" t="s">
        <v>1144</v>
      </c>
      <c r="C1387" s="8">
        <v>649.0</v>
      </c>
      <c r="D1387" s="8">
        <v>999.0</v>
      </c>
      <c r="E1387" s="9">
        <v>0.35</v>
      </c>
      <c r="F1387" s="10">
        <v>3.6</v>
      </c>
      <c r="G1387" s="10">
        <v>4.0</v>
      </c>
      <c r="I1387" s="7"/>
      <c r="J1387" s="7"/>
      <c r="K1387" s="13" t="str">
        <f>IF(discount&gt;50%, product, "")</f>
        <v/>
      </c>
      <c r="L1387" s="7"/>
      <c r="M1387" s="7"/>
      <c r="N1387" s="7"/>
      <c r="O1387" s="14"/>
      <c r="P1387" s="14"/>
    </row>
    <row r="1388">
      <c r="A1388" s="7" t="s">
        <v>1515</v>
      </c>
      <c r="B1388" s="7" t="s">
        <v>1318</v>
      </c>
      <c r="C1388" s="8">
        <v>8599.0</v>
      </c>
      <c r="D1388" s="8">
        <v>8995.0</v>
      </c>
      <c r="E1388" s="9">
        <v>0.04</v>
      </c>
      <c r="F1388" s="10">
        <v>4.4</v>
      </c>
      <c r="G1388" s="11">
        <v>9734.0</v>
      </c>
      <c r="I1388" s="7"/>
      <c r="J1388" s="7"/>
      <c r="K1388" s="13" t="str">
        <f>IF(discount&gt;50%, product, "")</f>
        <v/>
      </c>
      <c r="L1388" s="7"/>
      <c r="M1388" s="7"/>
      <c r="N1388" s="7"/>
      <c r="O1388" s="14"/>
      <c r="P1388" s="14"/>
    </row>
    <row r="1389">
      <c r="A1389" s="7" t="s">
        <v>1516</v>
      </c>
      <c r="B1389" s="7" t="s">
        <v>1111</v>
      </c>
      <c r="C1389" s="8">
        <v>1110.0</v>
      </c>
      <c r="D1389" s="8">
        <v>1599.0</v>
      </c>
      <c r="E1389" s="9">
        <v>0.31</v>
      </c>
      <c r="F1389" s="10">
        <v>4.3</v>
      </c>
      <c r="G1389" s="11">
        <v>4022.0</v>
      </c>
      <c r="I1389" s="7"/>
      <c r="J1389" s="7"/>
      <c r="K1389" s="13" t="str">
        <f>IF(discount&gt;50%, product, "")</f>
        <v/>
      </c>
      <c r="L1389" s="7"/>
      <c r="M1389" s="7"/>
      <c r="N1389" s="7"/>
      <c r="O1389" s="14"/>
      <c r="P1389" s="14"/>
    </row>
    <row r="1390">
      <c r="A1390" s="7" t="s">
        <v>1517</v>
      </c>
      <c r="B1390" s="7" t="s">
        <v>1115</v>
      </c>
      <c r="C1390" s="8">
        <v>1499.0</v>
      </c>
      <c r="D1390" s="8">
        <v>3500.0</v>
      </c>
      <c r="E1390" s="9">
        <v>0.57</v>
      </c>
      <c r="F1390" s="10">
        <v>4.7</v>
      </c>
      <c r="G1390" s="11">
        <v>2591.0</v>
      </c>
      <c r="I1390" s="7"/>
      <c r="J1390" s="7"/>
      <c r="K1390" s="13" t="str">
        <f>IF(discount&gt;50%, product, "")</f>
        <v>Campfire Spring Chef Prolix Instant Portable Water Heater Geyser 1Ltr. for Use Home Stainless Steel Baking Rack | Restaurant | Office | Labs | Clinics | Saloon | with Installation Kit (With MCB)</v>
      </c>
      <c r="L1390" s="7"/>
      <c r="M1390" s="7"/>
      <c r="N1390" s="7"/>
      <c r="O1390" s="14"/>
      <c r="P1390" s="14"/>
    </row>
    <row r="1391">
      <c r="A1391" s="7" t="s">
        <v>1518</v>
      </c>
      <c r="B1391" s="7" t="s">
        <v>1095</v>
      </c>
      <c r="C1391" s="8">
        <v>759.0</v>
      </c>
      <c r="D1391" s="8">
        <v>1999.0</v>
      </c>
      <c r="E1391" s="9">
        <v>0.62</v>
      </c>
      <c r="F1391" s="10">
        <v>4.3</v>
      </c>
      <c r="G1391" s="10">
        <v>532.0</v>
      </c>
      <c r="I1391" s="7"/>
      <c r="J1391" s="7"/>
      <c r="K1391" s="13" t="str">
        <f>IF(discount&gt;50%, product, "")</f>
        <v>Themisto TH-WS20 Digital Kitchen Weighing Scale Stainless Steel (5Kg)</v>
      </c>
      <c r="L1391" s="7"/>
      <c r="M1391" s="7"/>
      <c r="N1391" s="7"/>
      <c r="O1391" s="14"/>
      <c r="P1391" s="14"/>
    </row>
    <row r="1392">
      <c r="A1392" s="7" t="s">
        <v>1519</v>
      </c>
      <c r="B1392" s="7" t="s">
        <v>1148</v>
      </c>
      <c r="C1392" s="8">
        <v>2669.0</v>
      </c>
      <c r="D1392" s="8">
        <v>3199.0</v>
      </c>
      <c r="E1392" s="9">
        <v>0.17</v>
      </c>
      <c r="F1392" s="10">
        <v>3.9</v>
      </c>
      <c r="G1392" s="10">
        <v>260.0</v>
      </c>
      <c r="I1392" s="7"/>
      <c r="J1392" s="7"/>
      <c r="K1392" s="13" t="str">
        <f>IF(discount&gt;50%, product, "")</f>
        <v/>
      </c>
      <c r="L1392" s="7"/>
      <c r="M1392" s="7"/>
      <c r="N1392" s="7"/>
      <c r="O1392" s="14"/>
      <c r="P1392" s="14"/>
    </row>
    <row r="1393">
      <c r="A1393" s="7" t="s">
        <v>1520</v>
      </c>
      <c r="B1393" s="7" t="s">
        <v>1159</v>
      </c>
      <c r="C1393" s="8">
        <v>929.0</v>
      </c>
      <c r="D1393" s="8">
        <v>1300.0</v>
      </c>
      <c r="E1393" s="9">
        <v>0.29</v>
      </c>
      <c r="F1393" s="10">
        <v>3.9</v>
      </c>
      <c r="G1393" s="11">
        <v>1672.0</v>
      </c>
      <c r="I1393" s="7"/>
      <c r="J1393" s="7"/>
      <c r="K1393" s="13" t="str">
        <f>IF(discount&gt;50%, product, "")</f>
        <v/>
      </c>
      <c r="L1393" s="7"/>
      <c r="M1393" s="7"/>
      <c r="N1393" s="7"/>
      <c r="O1393" s="14"/>
      <c r="P1393" s="14"/>
    </row>
    <row r="1394">
      <c r="A1394" s="7" t="s">
        <v>1521</v>
      </c>
      <c r="B1394" s="7" t="s">
        <v>1137</v>
      </c>
      <c r="C1394" s="8">
        <v>199.0</v>
      </c>
      <c r="D1394" s="8">
        <v>399.0</v>
      </c>
      <c r="E1394" s="9">
        <v>0.5</v>
      </c>
      <c r="F1394" s="10">
        <v>3.7</v>
      </c>
      <c r="G1394" s="11">
        <v>7945.0</v>
      </c>
      <c r="I1394" s="7"/>
      <c r="J1394" s="7"/>
      <c r="K1394" s="13" t="str">
        <f>IF(discount&gt;50%, product, "")</f>
        <v/>
      </c>
      <c r="L1394" s="7"/>
      <c r="M1394" s="7"/>
      <c r="N1394" s="7"/>
      <c r="O1394" s="14"/>
      <c r="P1394" s="14"/>
    </row>
    <row r="1395">
      <c r="A1395" s="7" t="s">
        <v>1522</v>
      </c>
      <c r="B1395" s="7" t="s">
        <v>1093</v>
      </c>
      <c r="C1395" s="8">
        <v>279.0</v>
      </c>
      <c r="D1395" s="8">
        <v>599.0</v>
      </c>
      <c r="E1395" s="9">
        <v>0.53</v>
      </c>
      <c r="F1395" s="10">
        <v>3.5</v>
      </c>
      <c r="G1395" s="11">
        <v>1367.0</v>
      </c>
      <c r="I1395" s="7"/>
      <c r="J1395" s="7"/>
      <c r="K1395" s="13" t="str">
        <f>IF(discount&gt;50%, product, "")</f>
        <v>Bulfyss Plastic Sticky Lint Roller Hair Remover Cleaner Set of 5 Rolls 150 Sheets, 30 Sheets Each roll Lint Roller Remover for Clothes, Furniture, Carpet, Dog Fur, Sweater, Dust &amp; Dirt</v>
      </c>
      <c r="L1395" s="7"/>
      <c r="M1395" s="7"/>
      <c r="N1395" s="7"/>
      <c r="O1395" s="14"/>
      <c r="P1395" s="14"/>
    </row>
    <row r="1396">
      <c r="A1396" s="7" t="s">
        <v>1523</v>
      </c>
      <c r="B1396" s="7" t="s">
        <v>1109</v>
      </c>
      <c r="C1396" s="8">
        <v>549.0</v>
      </c>
      <c r="D1396" s="8">
        <v>999.0</v>
      </c>
      <c r="E1396" s="9">
        <v>0.45</v>
      </c>
      <c r="F1396" s="10">
        <v>4.0</v>
      </c>
      <c r="G1396" s="11">
        <v>1313.0</v>
      </c>
      <c r="I1396" s="7"/>
      <c r="J1396" s="7"/>
      <c r="K1396" s="13" t="str">
        <f>IF(discount&gt;50%, product, "")</f>
        <v/>
      </c>
      <c r="L1396" s="7"/>
      <c r="M1396" s="7"/>
      <c r="N1396" s="7"/>
      <c r="O1396" s="14"/>
      <c r="P1396" s="14"/>
    </row>
    <row r="1397">
      <c r="A1397" s="7" t="s">
        <v>1524</v>
      </c>
      <c r="B1397" s="7" t="s">
        <v>1306</v>
      </c>
      <c r="C1397" s="8">
        <v>85.0</v>
      </c>
      <c r="D1397" s="8">
        <v>199.0</v>
      </c>
      <c r="E1397" s="9">
        <v>0.57</v>
      </c>
      <c r="F1397" s="10">
        <v>4.1</v>
      </c>
      <c r="G1397" s="10">
        <v>212.0</v>
      </c>
      <c r="I1397" s="7"/>
      <c r="J1397" s="7"/>
      <c r="K1397" s="13" t="str">
        <f>IF(discount&gt;50%, product, "")</f>
        <v>Empty Mist Trigger Plastic Spray Bottle for Multi use 200ml Pack of 2</v>
      </c>
      <c r="L1397" s="7"/>
      <c r="M1397" s="7"/>
      <c r="N1397" s="7"/>
      <c r="O1397" s="14"/>
      <c r="P1397" s="14"/>
    </row>
    <row r="1398">
      <c r="A1398" s="7" t="s">
        <v>1525</v>
      </c>
      <c r="B1398" s="7" t="s">
        <v>1144</v>
      </c>
      <c r="C1398" s="8">
        <v>499.0</v>
      </c>
      <c r="D1398" s="8">
        <v>1299.0</v>
      </c>
      <c r="E1398" s="9">
        <v>0.62</v>
      </c>
      <c r="F1398" s="10">
        <v>3.9</v>
      </c>
      <c r="G1398" s="10">
        <v>65.0</v>
      </c>
      <c r="I1398" s="7"/>
      <c r="J1398" s="7"/>
      <c r="K1398" s="13" t="str">
        <f>IF(discount&gt;50%, product, "")</f>
        <v>LONAXA Mini Travel Rechargeable Fruit Juicer - USB Electric Fruit &amp; Vegetable Juice Blender/Grinder for Home and Office Use (Multicolor)…</v>
      </c>
      <c r="L1398" s="7"/>
      <c r="M1398" s="7"/>
      <c r="N1398" s="7"/>
      <c r="O1398" s="14"/>
      <c r="P1398" s="14"/>
    </row>
    <row r="1399">
      <c r="A1399" s="7" t="s">
        <v>1526</v>
      </c>
      <c r="B1399" s="7" t="s">
        <v>1144</v>
      </c>
      <c r="C1399" s="8">
        <v>5865.0</v>
      </c>
      <c r="D1399" s="8">
        <v>7776.0</v>
      </c>
      <c r="E1399" s="9">
        <v>0.25</v>
      </c>
      <c r="F1399" s="10">
        <v>4.4</v>
      </c>
      <c r="G1399" s="11">
        <v>2737.0</v>
      </c>
      <c r="I1399" s="7"/>
      <c r="J1399" s="7"/>
      <c r="K1399" s="13" t="str">
        <f>IF(discount&gt;50%, product, "")</f>
        <v/>
      </c>
      <c r="L1399" s="7"/>
      <c r="M1399" s="7"/>
      <c r="N1399" s="7"/>
      <c r="O1399" s="14"/>
      <c r="P1399" s="14"/>
    </row>
    <row r="1400">
      <c r="A1400" s="7" t="s">
        <v>1527</v>
      </c>
      <c r="B1400" s="7" t="s">
        <v>1086</v>
      </c>
      <c r="C1400" s="8">
        <v>1260.0</v>
      </c>
      <c r="D1400" s="8">
        <v>2299.0</v>
      </c>
      <c r="E1400" s="9">
        <v>0.45</v>
      </c>
      <c r="F1400" s="10">
        <v>4.3</v>
      </c>
      <c r="G1400" s="10">
        <v>55.0</v>
      </c>
      <c r="I1400" s="7"/>
      <c r="J1400" s="7"/>
      <c r="K1400" s="13" t="str">
        <f>IF(discount&gt;50%, product, "")</f>
        <v/>
      </c>
      <c r="L1400" s="7"/>
      <c r="M1400" s="7"/>
      <c r="N1400" s="7"/>
      <c r="O1400" s="14"/>
      <c r="P1400" s="14"/>
    </row>
    <row r="1401">
      <c r="A1401" s="7" t="s">
        <v>1528</v>
      </c>
      <c r="B1401" s="7" t="s">
        <v>1529</v>
      </c>
      <c r="C1401" s="8">
        <v>1099.0</v>
      </c>
      <c r="D1401" s="8">
        <v>1500.0</v>
      </c>
      <c r="E1401" s="9">
        <v>0.27</v>
      </c>
      <c r="F1401" s="10">
        <v>4.5</v>
      </c>
      <c r="G1401" s="11">
        <v>1065.0</v>
      </c>
      <c r="I1401" s="7"/>
      <c r="J1401" s="7"/>
      <c r="K1401" s="13" t="str">
        <f>IF(discount&gt;50%, product, "")</f>
        <v/>
      </c>
      <c r="L1401" s="7"/>
      <c r="M1401" s="7"/>
      <c r="N1401" s="7"/>
      <c r="O1401" s="14"/>
      <c r="P1401" s="14"/>
    </row>
    <row r="1402">
      <c r="A1402" s="7" t="s">
        <v>1530</v>
      </c>
      <c r="B1402" s="7" t="s">
        <v>1159</v>
      </c>
      <c r="C1402" s="8">
        <v>1928.0</v>
      </c>
      <c r="D1402" s="8">
        <v>2590.0</v>
      </c>
      <c r="E1402" s="9">
        <v>0.26</v>
      </c>
      <c r="F1402" s="10">
        <v>4.0</v>
      </c>
      <c r="G1402" s="11">
        <v>2377.0</v>
      </c>
      <c r="I1402" s="7"/>
      <c r="J1402" s="7"/>
      <c r="K1402" s="13" t="str">
        <f>IF(discount&gt;50%, product, "")</f>
        <v/>
      </c>
      <c r="L1402" s="7"/>
      <c r="M1402" s="7"/>
      <c r="N1402" s="7"/>
      <c r="O1402" s="14"/>
      <c r="P1402" s="14"/>
    </row>
    <row r="1403">
      <c r="A1403" s="7" t="s">
        <v>1531</v>
      </c>
      <c r="B1403" s="7" t="s">
        <v>1123</v>
      </c>
      <c r="C1403" s="8">
        <v>3249.0</v>
      </c>
      <c r="D1403" s="8">
        <v>6299.0</v>
      </c>
      <c r="E1403" s="9">
        <v>0.48</v>
      </c>
      <c r="F1403" s="10">
        <v>3.9</v>
      </c>
      <c r="G1403" s="11">
        <v>2569.0</v>
      </c>
      <c r="I1403" s="7"/>
      <c r="J1403" s="7"/>
      <c r="K1403" s="13" t="str">
        <f>IF(discount&gt;50%, product, "")</f>
        <v/>
      </c>
      <c r="L1403" s="7"/>
      <c r="M1403" s="7"/>
      <c r="N1403" s="7"/>
      <c r="O1403" s="14"/>
      <c r="P1403" s="14"/>
    </row>
    <row r="1404">
      <c r="A1404" s="7" t="s">
        <v>1532</v>
      </c>
      <c r="B1404" s="7" t="s">
        <v>1159</v>
      </c>
      <c r="C1404" s="8">
        <v>1199.0</v>
      </c>
      <c r="D1404" s="8">
        <v>1795.0</v>
      </c>
      <c r="E1404" s="9">
        <v>0.33</v>
      </c>
      <c r="F1404" s="10">
        <v>4.2</v>
      </c>
      <c r="G1404" s="11">
        <v>5967.0</v>
      </c>
      <c r="I1404" s="7"/>
      <c r="J1404" s="7"/>
      <c r="K1404" s="13" t="str">
        <f>IF(discount&gt;50%, product, "")</f>
        <v/>
      </c>
      <c r="L1404" s="7"/>
      <c r="M1404" s="7"/>
      <c r="N1404" s="7"/>
      <c r="O1404" s="14"/>
      <c r="P1404" s="14"/>
    </row>
    <row r="1405">
      <c r="A1405" s="7" t="s">
        <v>1533</v>
      </c>
      <c r="B1405" s="7" t="s">
        <v>1086</v>
      </c>
      <c r="C1405" s="8">
        <v>1456.0</v>
      </c>
      <c r="D1405" s="8">
        <v>3190.0</v>
      </c>
      <c r="E1405" s="9">
        <v>0.54</v>
      </c>
      <c r="F1405" s="10">
        <v>4.1</v>
      </c>
      <c r="G1405" s="11">
        <v>1776.0</v>
      </c>
      <c r="I1405" s="7"/>
      <c r="J1405" s="7"/>
      <c r="K1405" s="13" t="str">
        <f>IF(discount&gt;50%, product, "")</f>
        <v>iBELL MPK120L Premium Stainless Steel Multi Purpose Kettle/Cooker with Inner Pot 1.2 Litre (Silver)</v>
      </c>
      <c r="L1405" s="7"/>
      <c r="M1405" s="7"/>
      <c r="N1405" s="7"/>
      <c r="O1405" s="14"/>
      <c r="P1405" s="14"/>
    </row>
    <row r="1406">
      <c r="A1406" s="7" t="s">
        <v>1534</v>
      </c>
      <c r="B1406" s="7" t="s">
        <v>1144</v>
      </c>
      <c r="C1406" s="8">
        <v>3349.0</v>
      </c>
      <c r="D1406" s="8">
        <v>4799.0</v>
      </c>
      <c r="E1406" s="9">
        <v>0.3</v>
      </c>
      <c r="F1406" s="10">
        <v>3.7</v>
      </c>
      <c r="G1406" s="11">
        <v>4200.0</v>
      </c>
      <c r="I1406" s="7"/>
      <c r="J1406" s="7"/>
      <c r="K1406" s="13" t="str">
        <f>IF(discount&gt;50%, product, "")</f>
        <v/>
      </c>
      <c r="L1406" s="7"/>
      <c r="M1406" s="7"/>
      <c r="N1406" s="7"/>
      <c r="O1406" s="14"/>
      <c r="P1406" s="14"/>
    </row>
    <row r="1407">
      <c r="A1407" s="7" t="s">
        <v>1535</v>
      </c>
      <c r="B1407" s="7" t="s">
        <v>1197</v>
      </c>
      <c r="C1407" s="8">
        <v>4899.0</v>
      </c>
      <c r="D1407" s="8">
        <v>8999.0</v>
      </c>
      <c r="E1407" s="9">
        <v>0.46</v>
      </c>
      <c r="F1407" s="10">
        <v>4.1</v>
      </c>
      <c r="G1407" s="10">
        <v>297.0</v>
      </c>
      <c r="I1407" s="7"/>
      <c r="J1407" s="7"/>
      <c r="K1407" s="13" t="str">
        <f>IF(discount&gt;50%, product, "")</f>
        <v/>
      </c>
      <c r="L1407" s="7"/>
      <c r="M1407" s="7"/>
      <c r="N1407" s="7"/>
      <c r="O1407" s="14"/>
      <c r="P1407" s="14"/>
    </row>
    <row r="1408">
      <c r="A1408" s="7" t="s">
        <v>1536</v>
      </c>
      <c r="B1408" s="7" t="s">
        <v>1121</v>
      </c>
      <c r="C1408" s="8">
        <v>1199.0</v>
      </c>
      <c r="D1408" s="8">
        <v>1899.0</v>
      </c>
      <c r="E1408" s="9">
        <v>0.37</v>
      </c>
      <c r="F1408" s="10">
        <v>4.2</v>
      </c>
      <c r="G1408" s="11">
        <v>3858.0</v>
      </c>
      <c r="I1408" s="7"/>
      <c r="J1408" s="7"/>
      <c r="K1408" s="13" t="str">
        <f>IF(discount&gt;50%, product, "")</f>
        <v/>
      </c>
      <c r="L1408" s="7"/>
      <c r="M1408" s="7"/>
      <c r="N1408" s="7"/>
      <c r="O1408" s="14"/>
      <c r="P1408" s="14"/>
    </row>
    <row r="1409">
      <c r="A1409" s="7" t="s">
        <v>1537</v>
      </c>
      <c r="B1409" s="7" t="s">
        <v>1393</v>
      </c>
      <c r="C1409" s="8">
        <v>3290.0</v>
      </c>
      <c r="D1409" s="8">
        <v>5799.0</v>
      </c>
      <c r="E1409" s="9">
        <v>0.43</v>
      </c>
      <c r="F1409" s="10">
        <v>4.3</v>
      </c>
      <c r="G1409" s="10">
        <v>168.0</v>
      </c>
      <c r="I1409" s="7"/>
      <c r="J1409" s="7"/>
      <c r="K1409" s="13" t="str">
        <f>IF(discount&gt;50%, product, "")</f>
        <v/>
      </c>
      <c r="L1409" s="7"/>
      <c r="M1409" s="7"/>
      <c r="N1409" s="7"/>
      <c r="O1409" s="14"/>
      <c r="P1409" s="14"/>
    </row>
    <row r="1410">
      <c r="A1410" s="7" t="s">
        <v>1538</v>
      </c>
      <c r="B1410" s="7" t="s">
        <v>1093</v>
      </c>
      <c r="C1410" s="8">
        <v>179.0</v>
      </c>
      <c r="D1410" s="8">
        <v>799.0</v>
      </c>
      <c r="E1410" s="9">
        <v>0.78</v>
      </c>
      <c r="F1410" s="10">
        <v>3.6</v>
      </c>
      <c r="G1410" s="10">
        <v>101.0</v>
      </c>
      <c r="I1410" s="7"/>
      <c r="J1410" s="7"/>
      <c r="K1410" s="13" t="str">
        <f>IF(discount&gt;50%, product, "")</f>
        <v>Wolpin 1 Lint Roller with 60 Sheets Remove Clothes Lint Dog Hair Dust (19 x 13 cm) Orange</v>
      </c>
      <c r="L1410" s="7"/>
      <c r="M1410" s="7"/>
      <c r="N1410" s="7"/>
      <c r="O1410" s="14"/>
      <c r="P1410" s="14"/>
    </row>
    <row r="1411">
      <c r="A1411" s="7" t="s">
        <v>1539</v>
      </c>
      <c r="B1411" s="7" t="s">
        <v>1504</v>
      </c>
      <c r="C1411" s="8">
        <v>149.0</v>
      </c>
      <c r="D1411" s="8">
        <v>300.0</v>
      </c>
      <c r="E1411" s="9">
        <v>0.5</v>
      </c>
      <c r="F1411" s="10">
        <v>4.1</v>
      </c>
      <c r="G1411" s="11">
        <v>4074.0</v>
      </c>
      <c r="I1411" s="7"/>
      <c r="J1411" s="7"/>
      <c r="K1411" s="13" t="str">
        <f>IF(discount&gt;50%, product, "")</f>
        <v/>
      </c>
      <c r="L1411" s="7"/>
      <c r="M1411" s="7"/>
      <c r="N1411" s="7"/>
      <c r="O1411" s="14"/>
      <c r="P1411" s="14"/>
    </row>
    <row r="1412">
      <c r="A1412" s="7" t="s">
        <v>1540</v>
      </c>
      <c r="B1412" s="7" t="s">
        <v>1113</v>
      </c>
      <c r="C1412" s="8">
        <v>5490.0</v>
      </c>
      <c r="D1412" s="8">
        <v>7200.0</v>
      </c>
      <c r="E1412" s="9">
        <v>0.24</v>
      </c>
      <c r="F1412" s="10">
        <v>4.5</v>
      </c>
      <c r="G1412" s="11">
        <v>1408.0</v>
      </c>
      <c r="I1412" s="7"/>
      <c r="J1412" s="7"/>
      <c r="K1412" s="13" t="str">
        <f>IF(discount&gt;50%, product, "")</f>
        <v/>
      </c>
      <c r="L1412" s="7"/>
      <c r="M1412" s="7"/>
      <c r="N1412" s="7"/>
      <c r="O1412" s="14"/>
      <c r="P1412" s="14"/>
    </row>
    <row r="1413">
      <c r="A1413" s="7" t="s">
        <v>1541</v>
      </c>
      <c r="B1413" s="7" t="s">
        <v>1095</v>
      </c>
      <c r="C1413" s="8">
        <v>379.0</v>
      </c>
      <c r="D1413" s="8">
        <v>389.0</v>
      </c>
      <c r="E1413" s="9">
        <v>0.03</v>
      </c>
      <c r="F1413" s="10">
        <v>4.2</v>
      </c>
      <c r="G1413" s="11">
        <v>3739.0</v>
      </c>
      <c r="I1413" s="7"/>
      <c r="J1413" s="7"/>
      <c r="K1413" s="13" t="str">
        <f>IF(discount&gt;50%, product, "")</f>
        <v/>
      </c>
      <c r="L1413" s="7"/>
      <c r="M1413" s="7"/>
      <c r="N1413" s="7"/>
      <c r="O1413" s="14"/>
      <c r="P1413" s="14"/>
    </row>
    <row r="1414">
      <c r="A1414" s="7" t="s">
        <v>1542</v>
      </c>
      <c r="B1414" s="7" t="s">
        <v>1280</v>
      </c>
      <c r="C1414" s="8">
        <v>8699.0</v>
      </c>
      <c r="D1414" s="8">
        <v>13049.0</v>
      </c>
      <c r="E1414" s="9">
        <v>0.33</v>
      </c>
      <c r="F1414" s="10">
        <v>4.3</v>
      </c>
      <c r="G1414" s="11">
        <v>5891.0</v>
      </c>
      <c r="I1414" s="7"/>
      <c r="J1414" s="7"/>
      <c r="K1414" s="13" t="str">
        <f>IF(discount&gt;50%, product, "")</f>
        <v/>
      </c>
      <c r="L1414" s="7"/>
      <c r="M1414" s="7"/>
      <c r="N1414" s="7"/>
      <c r="O1414" s="14"/>
      <c r="P1414" s="14"/>
    </row>
    <row r="1415">
      <c r="A1415" s="7" t="s">
        <v>1543</v>
      </c>
      <c r="B1415" s="7" t="s">
        <v>1113</v>
      </c>
      <c r="C1415" s="8">
        <v>3041.67</v>
      </c>
      <c r="D1415" s="8">
        <v>5999.0</v>
      </c>
      <c r="E1415" s="9">
        <v>0.49</v>
      </c>
      <c r="F1415" s="10">
        <v>4.0</v>
      </c>
      <c r="G1415" s="10">
        <v>777.0</v>
      </c>
      <c r="I1415" s="7"/>
      <c r="J1415" s="7"/>
      <c r="K1415" s="13" t="str">
        <f>IF(discount&gt;50%, product, "")</f>
        <v/>
      </c>
      <c r="L1415" s="7"/>
      <c r="M1415" s="7"/>
      <c r="N1415" s="7"/>
      <c r="O1415" s="14"/>
      <c r="P1415" s="14"/>
    </row>
    <row r="1416">
      <c r="A1416" s="7" t="s">
        <v>1544</v>
      </c>
      <c r="B1416" s="7" t="s">
        <v>1109</v>
      </c>
      <c r="C1416" s="8">
        <v>1745.0</v>
      </c>
      <c r="D1416" s="8">
        <v>2400.0</v>
      </c>
      <c r="E1416" s="9">
        <v>0.27</v>
      </c>
      <c r="F1416" s="10">
        <v>4.2</v>
      </c>
      <c r="G1416" s="11">
        <v>14160.0</v>
      </c>
      <c r="I1416" s="7"/>
      <c r="J1416" s="7"/>
      <c r="K1416" s="13" t="str">
        <f>IF(discount&gt;50%, product, "")</f>
        <v/>
      </c>
      <c r="L1416" s="7"/>
      <c r="M1416" s="7"/>
      <c r="N1416" s="7"/>
      <c r="O1416" s="14"/>
      <c r="P1416" s="14"/>
    </row>
    <row r="1417">
      <c r="A1417" s="7" t="s">
        <v>1545</v>
      </c>
      <c r="B1417" s="7" t="s">
        <v>1104</v>
      </c>
      <c r="C1417" s="8">
        <v>3180.0</v>
      </c>
      <c r="D1417" s="8">
        <v>5295.0</v>
      </c>
      <c r="E1417" s="9">
        <v>0.4</v>
      </c>
      <c r="F1417" s="10">
        <v>4.2</v>
      </c>
      <c r="G1417" s="11">
        <v>6919.0</v>
      </c>
      <c r="I1417" s="7"/>
      <c r="J1417" s="7"/>
      <c r="K1417" s="13" t="str">
        <f>IF(discount&gt;50%, product, "")</f>
        <v/>
      </c>
      <c r="L1417" s="7"/>
      <c r="M1417" s="7"/>
      <c r="N1417" s="7"/>
      <c r="O1417" s="14"/>
      <c r="P1417" s="14"/>
    </row>
    <row r="1418">
      <c r="A1418" s="7" t="s">
        <v>1546</v>
      </c>
      <c r="B1418" s="7" t="s">
        <v>1280</v>
      </c>
      <c r="C1418" s="8">
        <v>4999.0</v>
      </c>
      <c r="D1418" s="8">
        <v>24999.0</v>
      </c>
      <c r="E1418" s="9">
        <v>0.8</v>
      </c>
      <c r="F1418" s="10">
        <v>4.5</v>
      </c>
      <c r="G1418" s="10">
        <v>287.0</v>
      </c>
      <c r="I1418" s="7"/>
      <c r="J1418" s="7"/>
      <c r="K1418" s="13" t="str">
        <f>IF(discount&gt;50%, product, "")</f>
        <v>Aqua d pure Active Copper 12-L RO+UV Water Filter Purifier for Home, Kitchen Fully Automatic UF+TDS Controller</v>
      </c>
      <c r="L1418" s="7"/>
      <c r="M1418" s="7"/>
      <c r="N1418" s="7"/>
      <c r="O1418" s="14"/>
      <c r="P1418" s="14"/>
    </row>
    <row r="1419">
      <c r="A1419" s="7" t="s">
        <v>1547</v>
      </c>
      <c r="B1419" s="7" t="s">
        <v>1137</v>
      </c>
      <c r="C1419" s="8">
        <v>390.0</v>
      </c>
      <c r="D1419" s="8">
        <v>799.0</v>
      </c>
      <c r="E1419" s="9">
        <v>0.51</v>
      </c>
      <c r="F1419" s="10">
        <v>3.8</v>
      </c>
      <c r="G1419" s="10">
        <v>287.0</v>
      </c>
      <c r="I1419" s="7"/>
      <c r="J1419" s="7"/>
      <c r="K1419" s="13" t="str">
        <f>IF(discount&gt;50%, product, "")</f>
        <v>PrettyKrafts Laundry Square Shape Basket Bag/Foldable/Multipurpose/Carry Handles/Slanting Lid for Home, Cloth Storage,(Single) Jute Grey</v>
      </c>
      <c r="L1419" s="7"/>
      <c r="M1419" s="7"/>
      <c r="N1419" s="7"/>
      <c r="O1419" s="14"/>
      <c r="P1419" s="14"/>
    </row>
    <row r="1420">
      <c r="A1420" s="7" t="s">
        <v>1548</v>
      </c>
      <c r="B1420" s="7" t="s">
        <v>1549</v>
      </c>
      <c r="C1420" s="8">
        <v>1999.0</v>
      </c>
      <c r="D1420" s="8">
        <v>2999.0</v>
      </c>
      <c r="E1420" s="9">
        <v>0.33</v>
      </c>
      <c r="F1420" s="10">
        <v>4.4</v>
      </c>
      <c r="G1420" s="10">
        <v>388.0</v>
      </c>
      <c r="I1420" s="7"/>
      <c r="J1420" s="7"/>
      <c r="K1420" s="13" t="str">
        <f>IF(discount&gt;50%, product, "")</f>
        <v/>
      </c>
      <c r="L1420" s="7"/>
      <c r="M1420" s="7"/>
      <c r="N1420" s="7"/>
      <c r="O1420" s="14"/>
      <c r="P1420" s="14"/>
    </row>
    <row r="1421">
      <c r="A1421" s="7" t="s">
        <v>1550</v>
      </c>
      <c r="B1421" s="7" t="s">
        <v>1155</v>
      </c>
      <c r="C1421" s="8">
        <v>1624.0</v>
      </c>
      <c r="D1421" s="8">
        <v>2495.0</v>
      </c>
      <c r="E1421" s="9">
        <v>0.35</v>
      </c>
      <c r="F1421" s="10">
        <v>4.1</v>
      </c>
      <c r="G1421" s="10">
        <v>827.0</v>
      </c>
      <c r="I1421" s="7"/>
      <c r="J1421" s="7"/>
      <c r="K1421" s="13" t="str">
        <f>IF(discount&gt;50%, product, "")</f>
        <v/>
      </c>
      <c r="L1421" s="7"/>
      <c r="M1421" s="7"/>
      <c r="N1421" s="7"/>
      <c r="O1421" s="14"/>
      <c r="P1421" s="14"/>
    </row>
    <row r="1422">
      <c r="A1422" s="7" t="s">
        <v>1551</v>
      </c>
      <c r="B1422" s="7" t="s">
        <v>1504</v>
      </c>
      <c r="C1422" s="8">
        <v>184.0</v>
      </c>
      <c r="D1422" s="8">
        <v>450.0</v>
      </c>
      <c r="E1422" s="9">
        <v>0.59</v>
      </c>
      <c r="F1422" s="10">
        <v>4.2</v>
      </c>
      <c r="G1422" s="11">
        <v>4971.0</v>
      </c>
      <c r="I1422" s="7"/>
      <c r="J1422" s="7"/>
      <c r="K1422" s="13" t="str">
        <f>IF(discount&gt;50%, product, "")</f>
        <v>Dynore Stainless Steel Set of 4 Measuring Cup and 4 Measuring Spoon</v>
      </c>
      <c r="L1422" s="7"/>
      <c r="M1422" s="7"/>
      <c r="N1422" s="7"/>
      <c r="O1422" s="14"/>
      <c r="P1422" s="14"/>
    </row>
    <row r="1423">
      <c r="A1423" s="7" t="s">
        <v>1552</v>
      </c>
      <c r="B1423" s="7" t="s">
        <v>1093</v>
      </c>
      <c r="C1423" s="8">
        <v>445.0</v>
      </c>
      <c r="D1423" s="8">
        <v>999.0</v>
      </c>
      <c r="E1423" s="9">
        <v>0.55</v>
      </c>
      <c r="F1423" s="10">
        <v>4.3</v>
      </c>
      <c r="G1423" s="10">
        <v>229.0</v>
      </c>
      <c r="I1423" s="7"/>
      <c r="J1423" s="7"/>
      <c r="K1423" s="13" t="str">
        <f>IF(discount&gt;50%, product, "")</f>
        <v>Lint Remover For Clothes With 1 Year Warranty Fabric Shaver Lint Shaver for Woolen Clothes Blanket Jackets Stainless Steel Blades,Bedding, Clothes and Furniture Best Remover for Fabrics Portable Lint Shavers (White Orange)</v>
      </c>
      <c r="L1423" s="7"/>
      <c r="M1423" s="7"/>
      <c r="N1423" s="7"/>
      <c r="O1423" s="14"/>
      <c r="P1423" s="14"/>
    </row>
    <row r="1424">
      <c r="A1424" s="7" t="s">
        <v>1553</v>
      </c>
      <c r="B1424" s="7" t="s">
        <v>1554</v>
      </c>
      <c r="C1424" s="8">
        <v>699.0</v>
      </c>
      <c r="D1424" s="8">
        <v>1690.0</v>
      </c>
      <c r="E1424" s="9">
        <v>0.59</v>
      </c>
      <c r="F1424" s="10">
        <v>4.1</v>
      </c>
      <c r="G1424" s="11">
        <v>3524.0</v>
      </c>
      <c r="I1424" s="7"/>
      <c r="J1424" s="7"/>
      <c r="K1424" s="13" t="str">
        <f>IF(discount&gt;50%, product, "")</f>
        <v>Monitor AC Stand/Heavy Duty Air Conditioner Outdoor Unit Mounting Bracket</v>
      </c>
      <c r="L1424" s="7"/>
      <c r="M1424" s="7"/>
      <c r="N1424" s="7"/>
      <c r="O1424" s="14"/>
      <c r="P1424" s="14"/>
    </row>
    <row r="1425">
      <c r="A1425" s="7" t="s">
        <v>1555</v>
      </c>
      <c r="B1425" s="7" t="s">
        <v>1104</v>
      </c>
      <c r="C1425" s="8">
        <v>1601.0</v>
      </c>
      <c r="D1425" s="8">
        <v>3890.0</v>
      </c>
      <c r="E1425" s="9">
        <v>0.59</v>
      </c>
      <c r="F1425" s="10">
        <v>4.2</v>
      </c>
      <c r="G1425" s="10">
        <v>156.0</v>
      </c>
      <c r="I1425" s="7"/>
      <c r="J1425" s="7"/>
      <c r="K1425" s="13" t="str">
        <f>IF(discount&gt;50%, product, "")</f>
        <v>iBELL Induction Cooktop, 2000W with Auto Shut Off and Overheat Protection, BIS Certified, Black</v>
      </c>
      <c r="L1425" s="7"/>
      <c r="M1425" s="7"/>
      <c r="N1425" s="7"/>
      <c r="O1425" s="14"/>
      <c r="P1425" s="14"/>
    </row>
    <row r="1426">
      <c r="A1426" s="7" t="s">
        <v>1556</v>
      </c>
      <c r="B1426" s="7" t="s">
        <v>1228</v>
      </c>
      <c r="C1426" s="8">
        <v>231.0</v>
      </c>
      <c r="D1426" s="8">
        <v>260.0</v>
      </c>
      <c r="E1426" s="9">
        <v>0.11</v>
      </c>
      <c r="F1426" s="10">
        <v>4.1</v>
      </c>
      <c r="G1426" s="10">
        <v>490.0</v>
      </c>
      <c r="I1426" s="7"/>
      <c r="J1426" s="7"/>
      <c r="K1426" s="13" t="str">
        <f>IF(discount&gt;50%, product, "")</f>
        <v/>
      </c>
      <c r="L1426" s="7"/>
      <c r="M1426" s="7"/>
      <c r="N1426" s="7"/>
      <c r="O1426" s="14"/>
      <c r="P1426" s="14"/>
    </row>
    <row r="1427">
      <c r="A1427" s="7" t="s">
        <v>1557</v>
      </c>
      <c r="B1427" s="7" t="s">
        <v>1093</v>
      </c>
      <c r="C1427" s="8">
        <v>369.0</v>
      </c>
      <c r="D1427" s="8">
        <v>599.0</v>
      </c>
      <c r="E1427" s="9">
        <v>0.38</v>
      </c>
      <c r="F1427" s="10">
        <v>3.9</v>
      </c>
      <c r="G1427" s="10">
        <v>82.0</v>
      </c>
      <c r="I1427" s="7"/>
      <c r="J1427" s="7"/>
      <c r="K1427" s="13" t="str">
        <f>IF(discount&gt;50%, product, "")</f>
        <v/>
      </c>
      <c r="L1427" s="7"/>
      <c r="M1427" s="7"/>
      <c r="N1427" s="7"/>
      <c r="O1427" s="14"/>
      <c r="P1427" s="14"/>
    </row>
    <row r="1428">
      <c r="A1428" s="7" t="s">
        <v>1558</v>
      </c>
      <c r="B1428" s="7" t="s">
        <v>1086</v>
      </c>
      <c r="C1428" s="8">
        <v>809.0</v>
      </c>
      <c r="D1428" s="8">
        <v>1950.0</v>
      </c>
      <c r="E1428" s="9">
        <v>0.59</v>
      </c>
      <c r="F1428" s="10">
        <v>3.9</v>
      </c>
      <c r="G1428" s="10">
        <v>710.0</v>
      </c>
      <c r="I1428" s="7"/>
      <c r="J1428" s="7"/>
      <c r="K1428" s="13" t="str">
        <f>IF(discount&gt;50%, product, "")</f>
        <v>iBELL SEK170BM Premium Electric Kettle, 1.7 Litre, Stainless Steel with Coating,1500W Auto Cut-Off, Silver with Black</v>
      </c>
      <c r="L1428" s="7"/>
      <c r="M1428" s="7"/>
      <c r="N1428" s="7"/>
      <c r="O1428" s="14"/>
      <c r="P1428" s="14"/>
    </row>
    <row r="1429">
      <c r="A1429" s="7" t="s">
        <v>1559</v>
      </c>
      <c r="B1429" s="7" t="s">
        <v>1113</v>
      </c>
      <c r="C1429" s="8">
        <v>1199.0</v>
      </c>
      <c r="D1429" s="8">
        <v>2990.0</v>
      </c>
      <c r="E1429" s="9">
        <v>0.6</v>
      </c>
      <c r="F1429" s="10">
        <v>3.8</v>
      </c>
      <c r="G1429" s="10">
        <v>133.0</v>
      </c>
      <c r="I1429" s="7"/>
      <c r="J1429" s="7"/>
      <c r="K1429" s="13" t="str">
        <f>IF(discount&gt;50%, product, "")</f>
        <v>Activa Easy Mix Nutri Mixer Grinder 500 Watt | Long Lasting Shock Proof ABS Body | Heavy Duty Motor With Nano - Grinding Technology</v>
      </c>
      <c r="L1429" s="7"/>
      <c r="M1429" s="7"/>
      <c r="N1429" s="7"/>
      <c r="O1429" s="14"/>
      <c r="P1429" s="14"/>
    </row>
    <row r="1430">
      <c r="A1430" s="7" t="s">
        <v>1560</v>
      </c>
      <c r="B1430" s="7" t="s">
        <v>1113</v>
      </c>
      <c r="C1430" s="8">
        <v>6120.0</v>
      </c>
      <c r="D1430" s="8">
        <v>8073.0</v>
      </c>
      <c r="E1430" s="9">
        <v>0.24</v>
      </c>
      <c r="F1430" s="10">
        <v>4.6</v>
      </c>
      <c r="G1430" s="11">
        <v>2751.0</v>
      </c>
      <c r="I1430" s="7"/>
      <c r="J1430" s="7"/>
      <c r="K1430" s="13" t="str">
        <f>IF(discount&gt;50%, product, "")</f>
        <v/>
      </c>
      <c r="L1430" s="7"/>
      <c r="M1430" s="7"/>
      <c r="N1430" s="7"/>
      <c r="O1430" s="14"/>
      <c r="P1430" s="14"/>
    </row>
    <row r="1431">
      <c r="A1431" s="7" t="s">
        <v>1561</v>
      </c>
      <c r="B1431" s="7" t="s">
        <v>1139</v>
      </c>
      <c r="C1431" s="8">
        <v>1799.0</v>
      </c>
      <c r="D1431" s="8">
        <v>2599.0</v>
      </c>
      <c r="E1431" s="9">
        <v>0.31</v>
      </c>
      <c r="F1431" s="10">
        <v>3.6</v>
      </c>
      <c r="G1431" s="10">
        <v>771.0</v>
      </c>
      <c r="I1431" s="7"/>
      <c r="J1431" s="7"/>
      <c r="K1431" s="13" t="str">
        <f>IF(discount&gt;50%, product, "")</f>
        <v/>
      </c>
      <c r="L1431" s="7"/>
      <c r="M1431" s="7"/>
      <c r="N1431" s="7"/>
      <c r="O1431" s="14"/>
      <c r="P1431" s="14"/>
    </row>
    <row r="1432">
      <c r="A1432" s="7" t="s">
        <v>1562</v>
      </c>
      <c r="B1432" s="7" t="s">
        <v>1428</v>
      </c>
      <c r="C1432" s="8">
        <v>18999.0</v>
      </c>
      <c r="D1432" s="8">
        <v>29999.0</v>
      </c>
      <c r="E1432" s="9">
        <v>0.37</v>
      </c>
      <c r="F1432" s="10">
        <v>4.1</v>
      </c>
      <c r="G1432" s="11">
        <v>2536.0</v>
      </c>
      <c r="I1432" s="7"/>
      <c r="J1432" s="7"/>
      <c r="K1432" s="13" t="str">
        <f>IF(discount&gt;50%, product, "")</f>
        <v/>
      </c>
      <c r="L1432" s="7"/>
      <c r="M1432" s="7"/>
      <c r="N1432" s="7"/>
      <c r="O1432" s="14"/>
      <c r="P1432" s="14"/>
    </row>
    <row r="1433">
      <c r="A1433" s="7" t="s">
        <v>1563</v>
      </c>
      <c r="B1433" s="7" t="s">
        <v>1222</v>
      </c>
      <c r="C1433" s="8">
        <v>1999.0</v>
      </c>
      <c r="D1433" s="8">
        <v>2360.0</v>
      </c>
      <c r="E1433" s="9">
        <v>0.15</v>
      </c>
      <c r="F1433" s="10">
        <v>4.2</v>
      </c>
      <c r="G1433" s="11">
        <v>7801.0</v>
      </c>
      <c r="I1433" s="7"/>
      <c r="J1433" s="7"/>
      <c r="K1433" s="13" t="str">
        <f>IF(discount&gt;50%, product, "")</f>
        <v/>
      </c>
      <c r="L1433" s="7"/>
      <c r="M1433" s="7"/>
      <c r="N1433" s="7"/>
      <c r="O1433" s="14"/>
      <c r="P1433" s="14"/>
    </row>
    <row r="1434">
      <c r="A1434" s="7" t="s">
        <v>1564</v>
      </c>
      <c r="B1434" s="7" t="s">
        <v>1565</v>
      </c>
      <c r="C1434" s="8">
        <v>5999.0</v>
      </c>
      <c r="D1434" s="8">
        <v>11495.0</v>
      </c>
      <c r="E1434" s="9">
        <v>0.48</v>
      </c>
      <c r="F1434" s="10">
        <v>4.3</v>
      </c>
      <c r="G1434" s="10">
        <v>534.0</v>
      </c>
      <c r="I1434" s="7"/>
      <c r="J1434" s="7"/>
      <c r="K1434" s="13" t="str">
        <f>IF(discount&gt;50%, product, "")</f>
        <v/>
      </c>
      <c r="L1434" s="7"/>
      <c r="M1434" s="7"/>
      <c r="N1434" s="7"/>
      <c r="O1434" s="14"/>
      <c r="P1434" s="14"/>
    </row>
    <row r="1435">
      <c r="A1435" s="7" t="s">
        <v>1566</v>
      </c>
      <c r="B1435" s="7" t="s">
        <v>1186</v>
      </c>
      <c r="C1435" s="8">
        <v>2599.0</v>
      </c>
      <c r="D1435" s="8">
        <v>4780.0</v>
      </c>
      <c r="E1435" s="9">
        <v>0.46</v>
      </c>
      <c r="F1435" s="10">
        <v>3.9</v>
      </c>
      <c r="G1435" s="10">
        <v>898.0</v>
      </c>
      <c r="I1435" s="7"/>
      <c r="J1435" s="7"/>
      <c r="K1435" s="13" t="str">
        <f>IF(discount&gt;50%, product, "")</f>
        <v/>
      </c>
      <c r="L1435" s="7"/>
      <c r="M1435" s="7"/>
      <c r="N1435" s="7"/>
      <c r="O1435" s="14"/>
      <c r="P1435" s="14"/>
    </row>
    <row r="1436">
      <c r="A1436" s="7" t="s">
        <v>1567</v>
      </c>
      <c r="B1436" s="7" t="s">
        <v>1489</v>
      </c>
      <c r="C1436" s="8">
        <v>1199.0</v>
      </c>
      <c r="D1436" s="8">
        <v>2400.0</v>
      </c>
      <c r="E1436" s="9">
        <v>0.5</v>
      </c>
      <c r="F1436" s="10">
        <v>3.9</v>
      </c>
      <c r="G1436" s="11">
        <v>1202.0</v>
      </c>
      <c r="I1436" s="7"/>
      <c r="J1436" s="7"/>
      <c r="K1436" s="13" t="str">
        <f>IF(discount&gt;50%, product, "")</f>
        <v/>
      </c>
      <c r="L1436" s="7"/>
      <c r="M1436" s="7"/>
      <c r="N1436" s="7"/>
      <c r="O1436" s="14"/>
      <c r="P1436" s="14"/>
    </row>
    <row r="1437">
      <c r="A1437" s="7" t="s">
        <v>1568</v>
      </c>
      <c r="B1437" s="7" t="s">
        <v>1137</v>
      </c>
      <c r="C1437" s="8">
        <v>219.0</v>
      </c>
      <c r="D1437" s="8">
        <v>249.0</v>
      </c>
      <c r="E1437" s="9">
        <v>0.12</v>
      </c>
      <c r="F1437" s="10">
        <v>4.0</v>
      </c>
      <c r="G1437" s="11">
        <v>1108.0</v>
      </c>
      <c r="I1437" s="7"/>
      <c r="J1437" s="7"/>
      <c r="K1437" s="13" t="str">
        <f>IF(discount&gt;50%, product, "")</f>
        <v/>
      </c>
      <c r="L1437" s="7"/>
      <c r="M1437" s="7"/>
      <c r="N1437" s="7"/>
      <c r="O1437" s="14"/>
      <c r="P1437" s="14"/>
    </row>
    <row r="1438">
      <c r="A1438" s="7" t="s">
        <v>1569</v>
      </c>
      <c r="B1438" s="7" t="s">
        <v>1091</v>
      </c>
      <c r="C1438" s="8">
        <v>799.0</v>
      </c>
      <c r="D1438" s="8">
        <v>1199.0</v>
      </c>
      <c r="E1438" s="9">
        <v>0.33</v>
      </c>
      <c r="F1438" s="10">
        <v>4.4</v>
      </c>
      <c r="G1438" s="10">
        <v>17.0</v>
      </c>
      <c r="I1438" s="7"/>
      <c r="J1438" s="7"/>
      <c r="K1438" s="13" t="str">
        <f>IF(discount&gt;50%, product, "")</f>
        <v/>
      </c>
      <c r="L1438" s="7"/>
      <c r="M1438" s="7"/>
      <c r="N1438" s="7"/>
      <c r="O1438" s="14"/>
      <c r="P1438" s="14"/>
    </row>
    <row r="1439">
      <c r="A1439" s="7" t="s">
        <v>1570</v>
      </c>
      <c r="B1439" s="7" t="s">
        <v>1263</v>
      </c>
      <c r="C1439" s="8">
        <v>6199.0</v>
      </c>
      <c r="D1439" s="8">
        <v>10999.0</v>
      </c>
      <c r="E1439" s="9">
        <v>0.44</v>
      </c>
      <c r="F1439" s="10">
        <v>4.2</v>
      </c>
      <c r="G1439" s="11">
        <v>10429.0</v>
      </c>
      <c r="I1439" s="7"/>
      <c r="J1439" s="7"/>
      <c r="K1439" s="13" t="str">
        <f>IF(discount&gt;50%, product, "")</f>
        <v/>
      </c>
      <c r="L1439" s="7"/>
      <c r="M1439" s="7"/>
      <c r="N1439" s="7"/>
      <c r="O1439" s="14"/>
      <c r="P1439" s="14"/>
    </row>
    <row r="1440">
      <c r="A1440" s="7" t="s">
        <v>1571</v>
      </c>
      <c r="B1440" s="7" t="s">
        <v>1135</v>
      </c>
      <c r="C1440" s="8">
        <v>6790.0</v>
      </c>
      <c r="D1440" s="8">
        <v>10995.0</v>
      </c>
      <c r="E1440" s="9">
        <v>0.38</v>
      </c>
      <c r="F1440" s="10">
        <v>4.5</v>
      </c>
      <c r="G1440" s="11">
        <v>3192.0</v>
      </c>
      <c r="I1440" s="7"/>
      <c r="J1440" s="7"/>
      <c r="K1440" s="13" t="str">
        <f>IF(discount&gt;50%, product, "")</f>
        <v/>
      </c>
      <c r="L1440" s="7"/>
      <c r="M1440" s="7"/>
      <c r="N1440" s="7"/>
      <c r="O1440" s="14"/>
      <c r="P1440" s="14"/>
    </row>
    <row r="1441">
      <c r="A1441" s="7" t="s">
        <v>1572</v>
      </c>
      <c r="B1441" s="7" t="s">
        <v>1573</v>
      </c>
      <c r="C1441" s="8">
        <v>1982.84</v>
      </c>
      <c r="D1441" s="8">
        <v>3300.0</v>
      </c>
      <c r="E1441" s="9">
        <v>0.4</v>
      </c>
      <c r="F1441" s="10">
        <v>4.1</v>
      </c>
      <c r="G1441" s="11">
        <v>5873.0</v>
      </c>
      <c r="I1441" s="7"/>
      <c r="J1441" s="7"/>
      <c r="K1441" s="13" t="str">
        <f>IF(discount&gt;50%, product, "")</f>
        <v/>
      </c>
      <c r="L1441" s="7"/>
      <c r="M1441" s="7"/>
      <c r="N1441" s="7"/>
      <c r="O1441" s="14"/>
      <c r="P1441" s="14"/>
    </row>
    <row r="1442">
      <c r="A1442" s="7" t="s">
        <v>1574</v>
      </c>
      <c r="B1442" s="7" t="s">
        <v>1228</v>
      </c>
      <c r="C1442" s="8">
        <v>199.0</v>
      </c>
      <c r="D1442" s="8">
        <v>400.0</v>
      </c>
      <c r="E1442" s="9">
        <v>0.5</v>
      </c>
      <c r="F1442" s="10">
        <v>4.1</v>
      </c>
      <c r="G1442" s="11">
        <v>1379.0</v>
      </c>
      <c r="I1442" s="7"/>
      <c r="J1442" s="7"/>
      <c r="K1442" s="13" t="str">
        <f>IF(discount&gt;50%, product, "")</f>
        <v/>
      </c>
      <c r="L1442" s="7"/>
      <c r="M1442" s="7"/>
      <c r="N1442" s="7"/>
      <c r="O1442" s="14"/>
      <c r="P1442" s="14"/>
    </row>
    <row r="1443">
      <c r="A1443" s="7" t="s">
        <v>1575</v>
      </c>
      <c r="B1443" s="7" t="s">
        <v>1086</v>
      </c>
      <c r="C1443" s="8">
        <v>1180.0</v>
      </c>
      <c r="D1443" s="8">
        <v>1440.0</v>
      </c>
      <c r="E1443" s="9">
        <v>0.18</v>
      </c>
      <c r="F1443" s="10">
        <v>4.2</v>
      </c>
      <c r="G1443" s="11">
        <v>1527.0</v>
      </c>
      <c r="I1443" s="7"/>
      <c r="J1443" s="7"/>
      <c r="K1443" s="13" t="str">
        <f>IF(discount&gt;50%, product, "")</f>
        <v/>
      </c>
      <c r="L1443" s="7"/>
      <c r="M1443" s="7"/>
      <c r="N1443" s="7"/>
      <c r="O1443" s="14"/>
      <c r="P1443" s="14"/>
    </row>
    <row r="1444">
      <c r="A1444" s="7" t="s">
        <v>1576</v>
      </c>
      <c r="B1444" s="7" t="s">
        <v>1186</v>
      </c>
      <c r="C1444" s="8">
        <v>2199.0</v>
      </c>
      <c r="D1444" s="8">
        <v>3045.0</v>
      </c>
      <c r="E1444" s="9">
        <v>0.28</v>
      </c>
      <c r="F1444" s="10">
        <v>4.2</v>
      </c>
      <c r="G1444" s="11">
        <v>2686.0</v>
      </c>
      <c r="I1444" s="7"/>
      <c r="J1444" s="7"/>
      <c r="K1444" s="13" t="str">
        <f>IF(discount&gt;50%, product, "")</f>
        <v/>
      </c>
      <c r="L1444" s="7"/>
      <c r="M1444" s="7"/>
      <c r="N1444" s="7"/>
      <c r="O1444" s="14"/>
      <c r="P1444" s="14"/>
    </row>
    <row r="1445">
      <c r="A1445" s="7" t="s">
        <v>1577</v>
      </c>
      <c r="B1445" s="7" t="s">
        <v>1225</v>
      </c>
      <c r="C1445" s="8">
        <v>2999.0</v>
      </c>
      <c r="D1445" s="8">
        <v>3595.0</v>
      </c>
      <c r="E1445" s="9">
        <v>0.17</v>
      </c>
      <c r="F1445" s="10">
        <v>4.0</v>
      </c>
      <c r="G1445" s="10">
        <v>178.0</v>
      </c>
      <c r="I1445" s="7"/>
      <c r="J1445" s="7"/>
      <c r="K1445" s="13" t="str">
        <f>IF(discount&gt;50%, product, "")</f>
        <v/>
      </c>
      <c r="L1445" s="7"/>
      <c r="M1445" s="7"/>
      <c r="N1445" s="7"/>
      <c r="O1445" s="14"/>
      <c r="P1445" s="14"/>
    </row>
    <row r="1446">
      <c r="A1446" s="7" t="s">
        <v>1578</v>
      </c>
      <c r="B1446" s="7" t="s">
        <v>1579</v>
      </c>
      <c r="C1446" s="8">
        <v>253.0</v>
      </c>
      <c r="D1446" s="8">
        <v>500.0</v>
      </c>
      <c r="E1446" s="9">
        <v>0.49</v>
      </c>
      <c r="F1446" s="10">
        <v>4.3</v>
      </c>
      <c r="G1446" s="11">
        <v>2664.0</v>
      </c>
      <c r="I1446" s="7"/>
      <c r="J1446" s="7"/>
      <c r="K1446" s="13" t="str">
        <f>IF(discount&gt;50%, product, "")</f>
        <v/>
      </c>
      <c r="L1446" s="7"/>
      <c r="M1446" s="7"/>
      <c r="N1446" s="7"/>
      <c r="O1446" s="14"/>
      <c r="P1446" s="14"/>
    </row>
    <row r="1447">
      <c r="A1447" s="7" t="s">
        <v>1580</v>
      </c>
      <c r="B1447" s="7" t="s">
        <v>1393</v>
      </c>
      <c r="C1447" s="8">
        <v>499.0</v>
      </c>
      <c r="D1447" s="8">
        <v>799.0</v>
      </c>
      <c r="E1447" s="9">
        <v>0.38</v>
      </c>
      <c r="F1447" s="10">
        <v>3.6</v>
      </c>
      <c r="G1447" s="10">
        <v>212.0</v>
      </c>
      <c r="I1447" s="7"/>
      <c r="J1447" s="7"/>
      <c r="K1447" s="13" t="str">
        <f>IF(discount&gt;50%, product, "")</f>
        <v/>
      </c>
      <c r="L1447" s="7"/>
      <c r="M1447" s="7"/>
      <c r="N1447" s="7"/>
      <c r="O1447" s="14"/>
      <c r="P1447" s="14"/>
    </row>
    <row r="1448">
      <c r="A1448" s="7" t="s">
        <v>1581</v>
      </c>
      <c r="B1448" s="7" t="s">
        <v>1089</v>
      </c>
      <c r="C1448" s="8">
        <v>1149.0</v>
      </c>
      <c r="D1448" s="8">
        <v>1899.0</v>
      </c>
      <c r="E1448" s="9">
        <v>0.39</v>
      </c>
      <c r="F1448" s="10">
        <v>3.5</v>
      </c>
      <c r="G1448" s="10">
        <v>24.0</v>
      </c>
      <c r="I1448" s="7"/>
      <c r="J1448" s="7"/>
      <c r="K1448" s="13" t="str">
        <f>IF(discount&gt;50%, product, "")</f>
        <v/>
      </c>
      <c r="L1448" s="7"/>
      <c r="M1448" s="7"/>
      <c r="N1448" s="7"/>
      <c r="O1448" s="14"/>
      <c r="P1448" s="14"/>
    </row>
    <row r="1449">
      <c r="A1449" s="7" t="s">
        <v>1582</v>
      </c>
      <c r="B1449" s="7" t="s">
        <v>1111</v>
      </c>
      <c r="C1449" s="8">
        <v>457.0</v>
      </c>
      <c r="D1449" s="8">
        <v>799.0</v>
      </c>
      <c r="E1449" s="9">
        <v>0.43</v>
      </c>
      <c r="F1449" s="10">
        <v>4.3</v>
      </c>
      <c r="G1449" s="11">
        <v>1868.0</v>
      </c>
      <c r="I1449" s="7"/>
      <c r="J1449" s="7"/>
      <c r="K1449" s="13" t="str">
        <f>IF(discount&gt;50%, product, "")</f>
        <v/>
      </c>
      <c r="L1449" s="7"/>
      <c r="M1449" s="7"/>
      <c r="N1449" s="7"/>
      <c r="O1449" s="14"/>
      <c r="P1449" s="14"/>
    </row>
    <row r="1450">
      <c r="A1450" s="7" t="s">
        <v>1583</v>
      </c>
      <c r="B1450" s="7" t="s">
        <v>1388</v>
      </c>
      <c r="C1450" s="8">
        <v>229.0</v>
      </c>
      <c r="D1450" s="8">
        <v>399.0</v>
      </c>
      <c r="E1450" s="9">
        <v>0.43</v>
      </c>
      <c r="F1450" s="10">
        <v>3.6</v>
      </c>
      <c r="G1450" s="10">
        <v>451.0</v>
      </c>
      <c r="I1450" s="7"/>
      <c r="J1450" s="7"/>
      <c r="K1450" s="13" t="str">
        <f>IF(discount&gt;50%, product, "")</f>
        <v/>
      </c>
      <c r="L1450" s="7"/>
      <c r="M1450" s="7"/>
      <c r="N1450" s="7"/>
      <c r="O1450" s="14"/>
      <c r="P1450" s="14"/>
    </row>
    <row r="1451">
      <c r="A1451" s="7" t="s">
        <v>1584</v>
      </c>
      <c r="B1451" s="7" t="s">
        <v>1228</v>
      </c>
      <c r="C1451" s="8">
        <v>199.0</v>
      </c>
      <c r="D1451" s="8">
        <v>699.0</v>
      </c>
      <c r="E1451" s="9">
        <v>0.72</v>
      </c>
      <c r="F1451" s="10">
        <v>2.9</v>
      </c>
      <c r="G1451" s="10">
        <v>159.0</v>
      </c>
      <c r="I1451" s="7"/>
      <c r="J1451" s="7"/>
      <c r="K1451" s="13" t="str">
        <f>IF(discount&gt;50%, product, "")</f>
        <v>IONIX Tap filter Multilayer | Activated Carbon Faucet Water Filters Universal Interface Home Kitchen Faucet Tap Water Clean Purifier Filter Cartridge Five Layer Water Filter-Pack of 1</v>
      </c>
      <c r="L1451" s="7"/>
      <c r="M1451" s="7"/>
      <c r="N1451" s="7"/>
      <c r="O1451" s="14"/>
      <c r="P1451" s="14"/>
    </row>
    <row r="1452">
      <c r="A1452" s="7" t="s">
        <v>1585</v>
      </c>
      <c r="B1452" s="7" t="s">
        <v>1489</v>
      </c>
      <c r="C1452" s="8">
        <v>899.0</v>
      </c>
      <c r="D1452" s="8">
        <v>1999.0</v>
      </c>
      <c r="E1452" s="9">
        <v>0.55</v>
      </c>
      <c r="F1452" s="10">
        <v>4.2</v>
      </c>
      <c r="G1452" s="10">
        <v>39.0</v>
      </c>
      <c r="I1452" s="7"/>
      <c r="J1452" s="7"/>
      <c r="K1452" s="13" t="str">
        <f>IF(discount&gt;50%, product, "")</f>
        <v>Kitchengenix's Mini Waffle Maker 4 Inch- 350 Watts: Stainless Steel Non-Stick Electric Iron Machine for Individual Belgian Waffles, Pan Cakes, Paninis or Other Snacks (Red)</v>
      </c>
      <c r="L1452" s="7"/>
      <c r="M1452" s="7"/>
      <c r="N1452" s="7"/>
      <c r="O1452" s="14"/>
      <c r="P1452" s="14"/>
    </row>
    <row r="1453">
      <c r="A1453" s="7" t="s">
        <v>1586</v>
      </c>
      <c r="B1453" s="7" t="s">
        <v>1310</v>
      </c>
      <c r="C1453" s="8">
        <v>1499.0</v>
      </c>
      <c r="D1453" s="8">
        <v>2199.0</v>
      </c>
      <c r="E1453" s="9">
        <v>0.32</v>
      </c>
      <c r="F1453" s="10">
        <v>4.4</v>
      </c>
      <c r="G1453" s="11">
        <v>6531.0</v>
      </c>
      <c r="I1453" s="7"/>
      <c r="J1453" s="7"/>
      <c r="K1453" s="13" t="str">
        <f>IF(discount&gt;50%, product, "")</f>
        <v/>
      </c>
      <c r="L1453" s="7"/>
      <c r="M1453" s="7"/>
      <c r="N1453" s="7"/>
      <c r="O1453" s="14"/>
      <c r="P1453" s="14"/>
    </row>
    <row r="1454">
      <c r="A1454" s="7" t="s">
        <v>1587</v>
      </c>
      <c r="B1454" s="7" t="s">
        <v>1109</v>
      </c>
      <c r="C1454" s="8">
        <v>426.0</v>
      </c>
      <c r="D1454" s="8">
        <v>999.0</v>
      </c>
      <c r="E1454" s="9">
        <v>0.57</v>
      </c>
      <c r="F1454" s="10">
        <v>4.1</v>
      </c>
      <c r="G1454" s="10">
        <v>222.0</v>
      </c>
      <c r="I1454" s="7"/>
      <c r="J1454" s="7"/>
      <c r="K1454" s="13" t="str">
        <f>IF(discount&gt;50%, product, "")</f>
        <v>KNOWZA Electric Handheld Milk Wand Mixer Frother for Latte Coffee Hot Milk, Milk Frother for Coffee, Egg Beater, Hand Blender, Coffee Beater (BLACK COFFEE BEATER)</v>
      </c>
      <c r="L1454" s="7"/>
      <c r="M1454" s="7"/>
      <c r="N1454" s="7"/>
      <c r="O1454" s="14"/>
      <c r="P1454" s="14"/>
    </row>
    <row r="1455">
      <c r="A1455" s="7" t="s">
        <v>1588</v>
      </c>
      <c r="B1455" s="7" t="s">
        <v>1091</v>
      </c>
      <c r="C1455" s="8">
        <v>2320.0</v>
      </c>
      <c r="D1455" s="8">
        <v>3290.0</v>
      </c>
      <c r="E1455" s="9">
        <v>0.29</v>
      </c>
      <c r="F1455" s="10">
        <v>3.8</v>
      </c>
      <c r="G1455" s="10">
        <v>195.0</v>
      </c>
      <c r="I1455" s="7"/>
      <c r="J1455" s="7"/>
      <c r="K1455" s="13" t="str">
        <f>IF(discount&gt;50%, product, "")</f>
        <v/>
      </c>
      <c r="L1455" s="7"/>
      <c r="M1455" s="7"/>
      <c r="N1455" s="7"/>
      <c r="O1455" s="14"/>
      <c r="P1455" s="14"/>
    </row>
    <row r="1456">
      <c r="A1456" s="7" t="s">
        <v>1589</v>
      </c>
      <c r="B1456" s="7" t="s">
        <v>1299</v>
      </c>
      <c r="C1456" s="8">
        <v>1563.0</v>
      </c>
      <c r="D1456" s="8">
        <v>3098.0</v>
      </c>
      <c r="E1456" s="9">
        <v>0.5</v>
      </c>
      <c r="F1456" s="10">
        <v>3.5</v>
      </c>
      <c r="G1456" s="11">
        <v>2283.0</v>
      </c>
      <c r="I1456" s="7"/>
      <c r="J1456" s="7"/>
      <c r="K1456" s="13" t="str">
        <f>IF(discount&gt;50%, product, "")</f>
        <v/>
      </c>
      <c r="L1456" s="7"/>
      <c r="M1456" s="7"/>
      <c r="N1456" s="7"/>
      <c r="O1456" s="14"/>
      <c r="P1456" s="14"/>
    </row>
    <row r="1457">
      <c r="A1457" s="7" t="s">
        <v>1590</v>
      </c>
      <c r="B1457" s="7" t="s">
        <v>1089</v>
      </c>
      <c r="C1457" s="8">
        <v>3487.77</v>
      </c>
      <c r="D1457" s="8">
        <v>4990.0</v>
      </c>
      <c r="E1457" s="9">
        <v>0.3</v>
      </c>
      <c r="F1457" s="10">
        <v>4.1</v>
      </c>
      <c r="G1457" s="11">
        <v>1127.0</v>
      </c>
      <c r="I1457" s="7"/>
      <c r="J1457" s="7"/>
      <c r="K1457" s="13" t="str">
        <f>IF(discount&gt;50%, product, "")</f>
        <v/>
      </c>
      <c r="L1457" s="7"/>
      <c r="M1457" s="7"/>
      <c r="N1457" s="7"/>
      <c r="O1457" s="14"/>
      <c r="P1457" s="14"/>
    </row>
    <row r="1458">
      <c r="A1458" s="7" t="s">
        <v>1591</v>
      </c>
      <c r="B1458" s="7" t="s">
        <v>1173</v>
      </c>
      <c r="C1458" s="8">
        <v>498.0</v>
      </c>
      <c r="D1458" s="8">
        <v>1200.0</v>
      </c>
      <c r="E1458" s="9">
        <v>0.59</v>
      </c>
      <c r="F1458" s="10">
        <v>3.2</v>
      </c>
      <c r="G1458" s="10">
        <v>113.0</v>
      </c>
      <c r="I1458" s="7"/>
      <c r="J1458" s="7"/>
      <c r="K1458" s="13" t="str">
        <f>IF(discount&gt;50%, product, "")</f>
        <v>4 in 1 Handheld Electric Vegetable Cutter Set,Wireless Food Processor Electric Food Chopper for Garlic Chili Pepper Onion Ginger Celery Meat with Brush</v>
      </c>
      <c r="L1458" s="7"/>
      <c r="M1458" s="7"/>
      <c r="N1458" s="7"/>
      <c r="O1458" s="14"/>
      <c r="P1458" s="14"/>
    </row>
    <row r="1459">
      <c r="A1459" s="7" t="s">
        <v>1592</v>
      </c>
      <c r="B1459" s="7" t="s">
        <v>1086</v>
      </c>
      <c r="C1459" s="8">
        <v>2695.0</v>
      </c>
      <c r="D1459" s="8">
        <v>2695.0</v>
      </c>
      <c r="E1459" s="9">
        <v>0.0</v>
      </c>
      <c r="F1459" s="10">
        <v>4.4</v>
      </c>
      <c r="G1459" s="11">
        <v>2518.0</v>
      </c>
      <c r="I1459" s="7"/>
      <c r="J1459" s="7"/>
      <c r="K1459" s="13" t="str">
        <f>IF(discount&gt;50%, product, "")</f>
        <v/>
      </c>
      <c r="L1459" s="7"/>
      <c r="M1459" s="7"/>
      <c r="N1459" s="7"/>
      <c r="O1459" s="14"/>
      <c r="P1459" s="14"/>
    </row>
    <row r="1460">
      <c r="A1460" s="7" t="s">
        <v>1593</v>
      </c>
      <c r="B1460" s="7" t="s">
        <v>1089</v>
      </c>
      <c r="C1460" s="8">
        <v>949.0</v>
      </c>
      <c r="D1460" s="8">
        <v>2299.0</v>
      </c>
      <c r="E1460" s="9">
        <v>0.59</v>
      </c>
      <c r="F1460" s="10">
        <v>3.6</v>
      </c>
      <c r="G1460" s="10">
        <v>550.0</v>
      </c>
      <c r="I1460" s="7"/>
      <c r="J1460" s="7"/>
      <c r="K1460" s="13" t="str">
        <f>IF(discount&gt;50%, product, "")</f>
        <v>Libra Room Heater for Home, Room Heaters Home for Winter, Electric Heater with 2000 Watts Power as per IS Specification for Small to Medium Rooms - FH12 (Grey)</v>
      </c>
      <c r="L1460" s="7"/>
      <c r="M1460" s="7"/>
      <c r="N1460" s="7"/>
      <c r="O1460" s="14"/>
      <c r="P1460" s="14"/>
    </row>
    <row r="1461">
      <c r="A1461" s="7" t="s">
        <v>1594</v>
      </c>
      <c r="B1461" s="7" t="s">
        <v>1093</v>
      </c>
      <c r="C1461" s="8">
        <v>199.0</v>
      </c>
      <c r="D1461" s="8">
        <v>999.0</v>
      </c>
      <c r="E1461" s="9">
        <v>0.8</v>
      </c>
      <c r="F1461" s="10">
        <v>3.1</v>
      </c>
      <c r="G1461" s="10">
        <v>2.0</v>
      </c>
      <c r="I1461" s="7"/>
      <c r="J1461" s="7"/>
      <c r="K1461" s="13" t="str">
        <f>IF(discount&gt;50%, product, "")</f>
        <v>NGI Store 2 Pieces Pet Hair Removers for Your Laundry Catcher Lint Remover for Washing Machine Lint Remover Reusable Portable Silica Gel Clothes Washer Dryer Floating Ball</v>
      </c>
      <c r="L1461" s="7"/>
      <c r="M1461" s="7"/>
      <c r="N1461" s="7"/>
      <c r="O1461" s="14"/>
      <c r="P1461" s="14"/>
    </row>
    <row r="1462">
      <c r="A1462" s="7" t="s">
        <v>1595</v>
      </c>
      <c r="B1462" s="7" t="s">
        <v>1228</v>
      </c>
      <c r="C1462" s="8">
        <v>379.0</v>
      </c>
      <c r="D1462" s="8">
        <v>919.0</v>
      </c>
      <c r="E1462" s="9">
        <v>0.59</v>
      </c>
      <c r="F1462" s="10">
        <v>4.0</v>
      </c>
      <c r="G1462" s="11">
        <v>1090.0</v>
      </c>
      <c r="I1462" s="7"/>
      <c r="J1462" s="7"/>
      <c r="K1462" s="13" t="str">
        <f>IF(discount&gt;50%, product, "")</f>
        <v>Noir Aqua - 5pcs PP Spun Filter + 1 Spanner | for All Types of RO Water purifiers (5 Piece, White, 10 Inch, 5 Micron) - RO Spun Filter Cartridge Sponge Replacement Water Filter Candle</v>
      </c>
      <c r="L1462" s="7"/>
      <c r="M1462" s="7"/>
      <c r="N1462" s="7"/>
      <c r="O1462" s="14"/>
      <c r="P1462" s="14"/>
    </row>
    <row r="1463">
      <c r="A1463" s="7" t="s">
        <v>1596</v>
      </c>
      <c r="B1463" s="7" t="s">
        <v>1236</v>
      </c>
      <c r="C1463" s="8">
        <v>2280.0</v>
      </c>
      <c r="D1463" s="8">
        <v>3045.0</v>
      </c>
      <c r="E1463" s="9">
        <v>0.25</v>
      </c>
      <c r="F1463" s="10">
        <v>4.1</v>
      </c>
      <c r="G1463" s="11">
        <v>4118.0</v>
      </c>
      <c r="I1463" s="7"/>
      <c r="J1463" s="7"/>
      <c r="K1463" s="13" t="str">
        <f>IF(discount&gt;50%, product, "")</f>
        <v/>
      </c>
      <c r="L1463" s="7"/>
      <c r="M1463" s="7"/>
      <c r="N1463" s="7"/>
      <c r="O1463" s="14"/>
      <c r="P1463" s="14"/>
    </row>
    <row r="1464">
      <c r="A1464" s="7" t="s">
        <v>1597</v>
      </c>
      <c r="B1464" s="7" t="s">
        <v>1209</v>
      </c>
      <c r="C1464" s="8">
        <v>2219.0</v>
      </c>
      <c r="D1464" s="8">
        <v>3080.0</v>
      </c>
      <c r="E1464" s="9">
        <v>0.28</v>
      </c>
      <c r="F1464" s="10">
        <v>3.6</v>
      </c>
      <c r="G1464" s="10">
        <v>468.0</v>
      </c>
      <c r="I1464" s="7"/>
      <c r="J1464" s="7"/>
      <c r="K1464" s="13" t="str">
        <f>IF(discount&gt;50%, product, "")</f>
        <v/>
      </c>
      <c r="L1464" s="7"/>
      <c r="M1464" s="7"/>
      <c r="N1464" s="7"/>
      <c r="O1464" s="14"/>
      <c r="P1464" s="14"/>
    </row>
    <row r="1465">
      <c r="A1465" s="7" t="s">
        <v>1598</v>
      </c>
      <c r="B1465" s="7" t="s">
        <v>1222</v>
      </c>
      <c r="C1465" s="8">
        <v>1399.0</v>
      </c>
      <c r="D1465" s="8">
        <v>1890.0</v>
      </c>
      <c r="E1465" s="9">
        <v>0.26</v>
      </c>
      <c r="F1465" s="10">
        <v>4.0</v>
      </c>
      <c r="G1465" s="11">
        <v>8031.0</v>
      </c>
      <c r="I1465" s="7"/>
      <c r="J1465" s="7"/>
      <c r="K1465" s="13" t="str">
        <f>IF(discount&gt;50%, product, "")</f>
        <v/>
      </c>
      <c r="L1465" s="7"/>
      <c r="M1465" s="7"/>
      <c r="N1465" s="7"/>
      <c r="O1465" s="14"/>
      <c r="P1465" s="14"/>
    </row>
    <row r="1466">
      <c r="A1466" s="7" t="s">
        <v>1599</v>
      </c>
      <c r="B1466" s="7" t="s">
        <v>1159</v>
      </c>
      <c r="C1466" s="8">
        <v>2863.0</v>
      </c>
      <c r="D1466" s="8">
        <v>3690.0</v>
      </c>
      <c r="E1466" s="9">
        <v>0.22</v>
      </c>
      <c r="F1466" s="10">
        <v>4.3</v>
      </c>
      <c r="G1466" s="11">
        <v>6987.0</v>
      </c>
      <c r="I1466" s="7"/>
      <c r="J1466" s="7"/>
      <c r="K1466" s="13" t="str">
        <f>IF(discount&gt;50%, product, "")</f>
        <v/>
      </c>
      <c r="L1466" s="7"/>
      <c r="M1466" s="7"/>
      <c r="N1466" s="7"/>
      <c r="O1466" s="14"/>
      <c r="P1466" s="14"/>
    </row>
    <row r="1467">
      <c r="I1467" s="7"/>
      <c r="J1467" s="7"/>
      <c r="K1467" s="7"/>
      <c r="L1467" s="7"/>
      <c r="M1467" s="7"/>
      <c r="N1467" s="7"/>
      <c r="O1467" s="14"/>
      <c r="P1467" s="14"/>
    </row>
    <row r="1468">
      <c r="I1468" s="7"/>
      <c r="J1468" s="7"/>
      <c r="K1468" s="7"/>
      <c r="L1468" s="7"/>
      <c r="M1468" s="7"/>
      <c r="N1468" s="7"/>
      <c r="O1468" s="14"/>
      <c r="P1468" s="14"/>
    </row>
    <row r="1469">
      <c r="A1469" s="7"/>
      <c r="I1469" s="7"/>
      <c r="J1469" s="7"/>
      <c r="K1469" s="7"/>
      <c r="L1469" s="7"/>
      <c r="M1469" s="7"/>
      <c r="N1469" s="7"/>
      <c r="O1469" s="14"/>
      <c r="P1469" s="14"/>
    </row>
  </sheetData>
  <mergeCells count="1">
    <mergeCell ref="I2:J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9">
        <v>0.64</v>
      </c>
      <c r="F2" s="10">
        <v>4.2</v>
      </c>
      <c r="G2" s="11">
        <v>24269.0</v>
      </c>
      <c r="I2" s="12" t="s">
        <v>1600</v>
      </c>
      <c r="K2" s="17">
        <f>IFERROR(F2:F1466, "Error")</f>
        <v>4.2</v>
      </c>
    </row>
    <row r="3">
      <c r="A3" s="7" t="s">
        <v>17</v>
      </c>
      <c r="B3" s="7" t="s">
        <v>15</v>
      </c>
      <c r="C3" s="8">
        <v>199.0</v>
      </c>
      <c r="D3" s="8">
        <v>349.0</v>
      </c>
      <c r="E3" s="9">
        <v>0.43</v>
      </c>
      <c r="F3" s="10">
        <v>4.0</v>
      </c>
      <c r="G3" s="11">
        <v>43994.0</v>
      </c>
      <c r="K3" s="17">
        <v>4.0</v>
      </c>
    </row>
    <row r="4">
      <c r="A4" s="7" t="s">
        <v>18</v>
      </c>
      <c r="B4" s="7" t="s">
        <v>15</v>
      </c>
      <c r="C4" s="8">
        <v>199.0</v>
      </c>
      <c r="D4" s="8">
        <v>1899.0</v>
      </c>
      <c r="E4" s="9">
        <v>0.9</v>
      </c>
      <c r="F4" s="10">
        <v>3.9</v>
      </c>
      <c r="G4" s="11">
        <v>7928.0</v>
      </c>
      <c r="K4" s="17">
        <v>3.9</v>
      </c>
    </row>
    <row r="5">
      <c r="A5" s="7" t="s">
        <v>19</v>
      </c>
      <c r="B5" s="7" t="s">
        <v>15</v>
      </c>
      <c r="C5" s="8">
        <v>329.0</v>
      </c>
      <c r="D5" s="8">
        <v>699.0</v>
      </c>
      <c r="E5" s="9">
        <v>0.53</v>
      </c>
      <c r="F5" s="10">
        <v>4.2</v>
      </c>
      <c r="G5" s="11">
        <v>94363.0</v>
      </c>
      <c r="K5" s="17">
        <v>4.2</v>
      </c>
    </row>
    <row r="6">
      <c r="A6" s="7" t="s">
        <v>20</v>
      </c>
      <c r="B6" s="7" t="s">
        <v>15</v>
      </c>
      <c r="C6" s="8">
        <v>154.0</v>
      </c>
      <c r="D6" s="8">
        <v>399.0</v>
      </c>
      <c r="E6" s="9">
        <v>0.61</v>
      </c>
      <c r="F6" s="18">
        <v>4.2</v>
      </c>
      <c r="G6" s="11">
        <v>16905.0</v>
      </c>
      <c r="K6" s="17">
        <v>4.2</v>
      </c>
    </row>
    <row r="7">
      <c r="A7" s="7" t="s">
        <v>21</v>
      </c>
      <c r="B7" s="7" t="s">
        <v>15</v>
      </c>
      <c r="C7" s="8">
        <v>149.0</v>
      </c>
      <c r="D7" s="8">
        <v>1000.0</v>
      </c>
      <c r="E7" s="9">
        <v>0.85</v>
      </c>
      <c r="F7" s="10">
        <v>3.9</v>
      </c>
      <c r="G7" s="11">
        <v>24871.0</v>
      </c>
      <c r="K7" s="17">
        <v>3.9</v>
      </c>
    </row>
    <row r="8">
      <c r="A8" s="7" t="s">
        <v>22</v>
      </c>
      <c r="B8" s="7" t="s">
        <v>15</v>
      </c>
      <c r="C8" s="8">
        <v>176.63</v>
      </c>
      <c r="D8" s="8">
        <v>499.0</v>
      </c>
      <c r="E8" s="9">
        <v>0.65</v>
      </c>
      <c r="F8" s="10">
        <v>4.1</v>
      </c>
      <c r="G8" s="11">
        <v>15188.0</v>
      </c>
      <c r="K8" s="17">
        <v>4.1</v>
      </c>
    </row>
    <row r="9">
      <c r="A9" s="7" t="s">
        <v>23</v>
      </c>
      <c r="B9" s="7" t="s">
        <v>15</v>
      </c>
      <c r="C9" s="8">
        <v>229.0</v>
      </c>
      <c r="D9" s="8">
        <v>299.0</v>
      </c>
      <c r="E9" s="9">
        <v>0.23</v>
      </c>
      <c r="F9" s="10">
        <v>4.3</v>
      </c>
      <c r="G9" s="11">
        <v>30411.0</v>
      </c>
      <c r="K9" s="17">
        <v>4.3</v>
      </c>
    </row>
    <row r="10">
      <c r="A10" s="7" t="s">
        <v>24</v>
      </c>
      <c r="B10" s="7" t="s">
        <v>25</v>
      </c>
      <c r="C10" s="8">
        <v>499.0</v>
      </c>
      <c r="D10" s="8">
        <v>999.0</v>
      </c>
      <c r="E10" s="9">
        <v>0.5</v>
      </c>
      <c r="F10" s="10" t="str">
        <f>E10/G10</f>
        <v>#VALUE!</v>
      </c>
      <c r="G10" s="7" t="s">
        <v>26</v>
      </c>
      <c r="K10" s="17" t="s">
        <v>1601</v>
      </c>
    </row>
    <row r="11">
      <c r="A11" s="7" t="s">
        <v>27</v>
      </c>
      <c r="B11" s="7" t="s">
        <v>15</v>
      </c>
      <c r="C11" s="8">
        <v>199.0</v>
      </c>
      <c r="D11" s="8">
        <v>299.0</v>
      </c>
      <c r="E11" s="9">
        <v>0.33</v>
      </c>
      <c r="F11" s="10">
        <v>4.0</v>
      </c>
      <c r="G11" s="11">
        <v>43994.0</v>
      </c>
      <c r="K11" s="17">
        <v>4.0</v>
      </c>
    </row>
    <row r="12">
      <c r="A12" s="7" t="s">
        <v>28</v>
      </c>
      <c r="B12" s="7" t="s">
        <v>15</v>
      </c>
      <c r="C12" s="8">
        <v>154.0</v>
      </c>
      <c r="D12" s="8">
        <v>339.0</v>
      </c>
      <c r="E12" s="9">
        <v>0.55</v>
      </c>
      <c r="F12" s="10">
        <v>4.3</v>
      </c>
      <c r="G12" s="11">
        <v>13391.0</v>
      </c>
      <c r="K12" s="17">
        <v>4.3</v>
      </c>
    </row>
    <row r="13">
      <c r="A13" s="7" t="s">
        <v>29</v>
      </c>
      <c r="B13" s="7" t="s">
        <v>15</v>
      </c>
      <c r="C13" s="8">
        <v>299.0</v>
      </c>
      <c r="D13" s="8">
        <v>799.0</v>
      </c>
      <c r="E13" s="9">
        <v>0.63</v>
      </c>
      <c r="F13" s="10">
        <v>4.2</v>
      </c>
      <c r="G13" s="11">
        <v>94363.0</v>
      </c>
      <c r="K13" s="17">
        <v>4.2</v>
      </c>
    </row>
    <row r="14">
      <c r="A14" s="7" t="s">
        <v>30</v>
      </c>
      <c r="B14" s="7" t="s">
        <v>31</v>
      </c>
      <c r="C14" s="8">
        <v>219.0</v>
      </c>
      <c r="D14" s="8">
        <v>700.0</v>
      </c>
      <c r="E14" s="9">
        <v>0.69</v>
      </c>
      <c r="F14" s="10">
        <v>4.4</v>
      </c>
      <c r="G14" s="7" t="s">
        <v>32</v>
      </c>
      <c r="K14" s="17">
        <v>4.4</v>
      </c>
    </row>
    <row r="15">
      <c r="A15" s="7" t="s">
        <v>33</v>
      </c>
      <c r="B15" s="7" t="s">
        <v>15</v>
      </c>
      <c r="C15" s="8">
        <v>350.0</v>
      </c>
      <c r="D15" s="8">
        <v>899.0</v>
      </c>
      <c r="E15" s="9">
        <v>0.61</v>
      </c>
      <c r="F15" s="10">
        <v>4.2</v>
      </c>
      <c r="G15" s="11">
        <v>2262.0</v>
      </c>
      <c r="K15" s="17">
        <v>4.2</v>
      </c>
    </row>
    <row r="16">
      <c r="A16" s="7" t="s">
        <v>34</v>
      </c>
      <c r="B16" s="7" t="s">
        <v>15</v>
      </c>
      <c r="C16" s="8">
        <v>159.0</v>
      </c>
      <c r="D16" s="8">
        <v>399.0</v>
      </c>
      <c r="E16" s="9">
        <v>0.6</v>
      </c>
      <c r="F16" s="10">
        <v>4.1</v>
      </c>
      <c r="G16" s="11">
        <v>4768.0</v>
      </c>
      <c r="K16" s="17">
        <v>4.1</v>
      </c>
    </row>
    <row r="17">
      <c r="A17" s="7" t="s">
        <v>35</v>
      </c>
      <c r="B17" s="7" t="s">
        <v>15</v>
      </c>
      <c r="C17" s="8">
        <v>349.0</v>
      </c>
      <c r="D17" s="8">
        <v>399.0</v>
      </c>
      <c r="E17" s="9">
        <v>0.13</v>
      </c>
      <c r="F17" s="10">
        <v>4.4</v>
      </c>
      <c r="G17" s="11">
        <v>18757.0</v>
      </c>
      <c r="K17" s="17">
        <v>4.4</v>
      </c>
    </row>
    <row r="18">
      <c r="A18" s="7" t="s">
        <v>36</v>
      </c>
      <c r="B18" s="7" t="s">
        <v>37</v>
      </c>
      <c r="C18" s="8">
        <v>13999.0</v>
      </c>
      <c r="D18" s="8">
        <v>24999.0</v>
      </c>
      <c r="E18" s="9">
        <v>0.44</v>
      </c>
      <c r="F18" s="10">
        <v>4.2</v>
      </c>
      <c r="G18" s="11">
        <v>32840.0</v>
      </c>
      <c r="K18" s="17">
        <v>4.2</v>
      </c>
    </row>
    <row r="19">
      <c r="A19" s="7" t="s">
        <v>38</v>
      </c>
      <c r="B19" s="7" t="s">
        <v>15</v>
      </c>
      <c r="C19" s="8">
        <v>249.0</v>
      </c>
      <c r="D19" s="8">
        <v>399.0</v>
      </c>
      <c r="E19" s="9">
        <v>0.38</v>
      </c>
      <c r="F19" s="10">
        <v>4.0</v>
      </c>
      <c r="G19" s="11">
        <v>43994.0</v>
      </c>
      <c r="K19" s="17">
        <v>4.0</v>
      </c>
    </row>
    <row r="20">
      <c r="A20" s="7" t="s">
        <v>39</v>
      </c>
      <c r="B20" s="7" t="s">
        <v>15</v>
      </c>
      <c r="C20" s="8">
        <v>199.0</v>
      </c>
      <c r="D20" s="8">
        <v>499.0</v>
      </c>
      <c r="E20" s="9">
        <v>0.6</v>
      </c>
      <c r="F20" s="10">
        <v>4.1</v>
      </c>
      <c r="G20" s="11">
        <v>13045.0</v>
      </c>
      <c r="K20" s="17">
        <v>4.1</v>
      </c>
    </row>
    <row r="21">
      <c r="A21" s="7" t="s">
        <v>40</v>
      </c>
      <c r="B21" s="7" t="s">
        <v>37</v>
      </c>
      <c r="C21" s="8">
        <v>13490.0</v>
      </c>
      <c r="D21" s="8">
        <v>21990.0</v>
      </c>
      <c r="E21" s="9">
        <v>0.39</v>
      </c>
      <c r="F21" s="10">
        <v>4.3</v>
      </c>
      <c r="G21" s="11">
        <v>11976.0</v>
      </c>
      <c r="K21" s="17">
        <v>4.3</v>
      </c>
    </row>
    <row r="22">
      <c r="A22" s="7" t="s">
        <v>41</v>
      </c>
      <c r="B22" s="7" t="s">
        <v>15</v>
      </c>
      <c r="C22" s="8">
        <v>970.0</v>
      </c>
      <c r="D22" s="8">
        <v>1799.0</v>
      </c>
      <c r="E22" s="9">
        <v>0.46</v>
      </c>
      <c r="F22" s="10">
        <v>4.5</v>
      </c>
      <c r="G22" s="10">
        <v>815.0</v>
      </c>
      <c r="K22" s="17">
        <v>4.5</v>
      </c>
    </row>
    <row r="23">
      <c r="A23" s="7" t="s">
        <v>42</v>
      </c>
      <c r="B23" s="7" t="s">
        <v>31</v>
      </c>
      <c r="C23" s="8">
        <v>279.0</v>
      </c>
      <c r="D23" s="8">
        <v>499.0</v>
      </c>
      <c r="E23" s="9">
        <v>0.44</v>
      </c>
      <c r="F23" s="10">
        <v>3.7</v>
      </c>
      <c r="G23" s="11">
        <v>10962.0</v>
      </c>
      <c r="K23" s="17">
        <v>3.7</v>
      </c>
    </row>
    <row r="24">
      <c r="A24" s="7" t="s">
        <v>43</v>
      </c>
      <c r="B24" s="7" t="s">
        <v>37</v>
      </c>
      <c r="C24" s="8">
        <v>13490.0</v>
      </c>
      <c r="D24" s="8">
        <v>22900.0</v>
      </c>
      <c r="E24" s="9">
        <v>0.41</v>
      </c>
      <c r="F24" s="10">
        <v>4.3</v>
      </c>
      <c r="G24" s="11">
        <v>16299.0</v>
      </c>
      <c r="K24" s="17">
        <v>4.3</v>
      </c>
    </row>
    <row r="25">
      <c r="A25" s="7" t="s">
        <v>44</v>
      </c>
      <c r="B25" s="7" t="s">
        <v>15</v>
      </c>
      <c r="C25" s="8">
        <v>59.0</v>
      </c>
      <c r="D25" s="8">
        <v>199.0</v>
      </c>
      <c r="E25" s="9">
        <v>0.7</v>
      </c>
      <c r="F25" s="10">
        <v>4.0</v>
      </c>
      <c r="G25" s="11">
        <v>9378.0</v>
      </c>
      <c r="K25" s="17">
        <v>4.0</v>
      </c>
    </row>
    <row r="26">
      <c r="A26" s="7" t="s">
        <v>45</v>
      </c>
      <c r="B26" s="7" t="s">
        <v>37</v>
      </c>
      <c r="C26" s="8">
        <v>11499.0</v>
      </c>
      <c r="D26" s="8">
        <v>19990.0</v>
      </c>
      <c r="E26" s="9">
        <v>0.42</v>
      </c>
      <c r="F26" s="10">
        <v>4.3</v>
      </c>
      <c r="G26" s="11">
        <v>4703.0</v>
      </c>
      <c r="K26" s="17">
        <v>4.3</v>
      </c>
    </row>
    <row r="27">
      <c r="A27" s="7" t="s">
        <v>46</v>
      </c>
      <c r="B27" s="7" t="s">
        <v>31</v>
      </c>
      <c r="C27" s="8">
        <v>199.0</v>
      </c>
      <c r="D27" s="8">
        <v>699.0</v>
      </c>
      <c r="E27" s="9">
        <v>0.72</v>
      </c>
      <c r="F27" s="10">
        <v>4.2</v>
      </c>
      <c r="G27" s="11">
        <v>12153.0</v>
      </c>
      <c r="K27" s="17">
        <v>4.2</v>
      </c>
    </row>
    <row r="28">
      <c r="A28" s="7" t="s">
        <v>47</v>
      </c>
      <c r="B28" s="7" t="s">
        <v>37</v>
      </c>
      <c r="C28" s="8">
        <v>14999.0</v>
      </c>
      <c r="D28" s="8">
        <v>19999.0</v>
      </c>
      <c r="E28" s="9">
        <v>0.25</v>
      </c>
      <c r="F28" s="10">
        <v>4.2</v>
      </c>
      <c r="G28" s="11">
        <v>34899.0</v>
      </c>
      <c r="K28" s="17">
        <v>4.2</v>
      </c>
    </row>
    <row r="29">
      <c r="A29" s="7" t="s">
        <v>48</v>
      </c>
      <c r="B29" s="7" t="s">
        <v>15</v>
      </c>
      <c r="C29" s="8">
        <v>299.0</v>
      </c>
      <c r="D29" s="8">
        <v>399.0</v>
      </c>
      <c r="E29" s="9">
        <v>0.25</v>
      </c>
      <c r="F29" s="10">
        <v>4.0</v>
      </c>
      <c r="G29" s="11">
        <v>2766.0</v>
      </c>
      <c r="K29" s="17">
        <v>4.0</v>
      </c>
    </row>
    <row r="30">
      <c r="A30" s="7" t="s">
        <v>49</v>
      </c>
      <c r="B30" s="7" t="s">
        <v>15</v>
      </c>
      <c r="C30" s="8">
        <v>970.0</v>
      </c>
      <c r="D30" s="8">
        <v>1999.0</v>
      </c>
      <c r="E30" s="9">
        <v>0.51</v>
      </c>
      <c r="F30" s="10">
        <v>4.4</v>
      </c>
      <c r="G30" s="10">
        <v>184.0</v>
      </c>
      <c r="K30" s="17">
        <v>4.4</v>
      </c>
    </row>
    <row r="31">
      <c r="A31" s="7" t="s">
        <v>50</v>
      </c>
      <c r="B31" s="7" t="s">
        <v>15</v>
      </c>
      <c r="C31" s="8">
        <v>299.0</v>
      </c>
      <c r="D31" s="8">
        <v>999.0</v>
      </c>
      <c r="E31" s="9">
        <v>0.7</v>
      </c>
      <c r="F31" s="10">
        <v>4.3</v>
      </c>
      <c r="G31" s="11">
        <v>20850.0</v>
      </c>
      <c r="K31" s="17">
        <v>4.3</v>
      </c>
    </row>
    <row r="32">
      <c r="A32" s="7" t="s">
        <v>51</v>
      </c>
      <c r="B32" s="7" t="s">
        <v>15</v>
      </c>
      <c r="C32" s="8">
        <v>199.0</v>
      </c>
      <c r="D32" s="8">
        <v>750.0</v>
      </c>
      <c r="E32" s="9">
        <v>0.73</v>
      </c>
      <c r="F32" s="10">
        <v>4.5</v>
      </c>
      <c r="G32" s="11">
        <v>74976.0</v>
      </c>
      <c r="K32" s="17">
        <v>4.5</v>
      </c>
    </row>
    <row r="33">
      <c r="A33" s="7" t="s">
        <v>52</v>
      </c>
      <c r="B33" s="7" t="s">
        <v>15</v>
      </c>
      <c r="C33" s="8">
        <v>179.0</v>
      </c>
      <c r="D33" s="8">
        <v>499.0</v>
      </c>
      <c r="E33" s="9">
        <v>0.64</v>
      </c>
      <c r="F33" s="10">
        <v>4.0</v>
      </c>
      <c r="G33" s="11">
        <v>1934.0</v>
      </c>
      <c r="K33" s="17">
        <v>4.0</v>
      </c>
    </row>
    <row r="34">
      <c r="A34" s="7" t="s">
        <v>53</v>
      </c>
      <c r="B34" s="7" t="s">
        <v>15</v>
      </c>
      <c r="C34" s="8">
        <v>389.0</v>
      </c>
      <c r="D34" s="8">
        <v>1099.0</v>
      </c>
      <c r="E34" s="9">
        <v>0.65</v>
      </c>
      <c r="F34" s="10">
        <v>4.3</v>
      </c>
      <c r="G34" s="10">
        <v>974.0</v>
      </c>
      <c r="K34" s="17">
        <v>4.3</v>
      </c>
    </row>
    <row r="35">
      <c r="A35" s="7" t="s">
        <v>54</v>
      </c>
      <c r="B35" s="7" t="s">
        <v>15</v>
      </c>
      <c r="C35" s="8">
        <v>599.0</v>
      </c>
      <c r="D35" s="8">
        <v>599.0</v>
      </c>
      <c r="E35" s="9">
        <v>0.0</v>
      </c>
      <c r="F35" s="10">
        <v>4.3</v>
      </c>
      <c r="G35" s="10">
        <v>355.0</v>
      </c>
      <c r="K35" s="17">
        <v>4.3</v>
      </c>
    </row>
    <row r="36">
      <c r="A36" s="7" t="s">
        <v>55</v>
      </c>
      <c r="B36" s="7" t="s">
        <v>15</v>
      </c>
      <c r="C36" s="8">
        <v>199.0</v>
      </c>
      <c r="D36" s="8">
        <v>999.0</v>
      </c>
      <c r="E36" s="9">
        <v>0.8</v>
      </c>
      <c r="F36" s="10">
        <v>3.9</v>
      </c>
      <c r="G36" s="11">
        <v>1075.0</v>
      </c>
      <c r="K36" s="17">
        <v>3.9</v>
      </c>
    </row>
    <row r="37">
      <c r="A37" s="7" t="s">
        <v>56</v>
      </c>
      <c r="B37" s="7" t="s">
        <v>15</v>
      </c>
      <c r="C37" s="8">
        <v>99.0</v>
      </c>
      <c r="D37" s="8">
        <v>666.66</v>
      </c>
      <c r="E37" s="9">
        <v>0.85</v>
      </c>
      <c r="F37" s="10">
        <v>3.9</v>
      </c>
      <c r="G37" s="11">
        <v>24871.0</v>
      </c>
      <c r="K37" s="17">
        <v>3.9</v>
      </c>
    </row>
    <row r="38">
      <c r="A38" s="7" t="s">
        <v>57</v>
      </c>
      <c r="B38" s="7" t="s">
        <v>15</v>
      </c>
      <c r="C38" s="8">
        <v>899.0</v>
      </c>
      <c r="D38" s="8">
        <v>1900.0</v>
      </c>
      <c r="E38" s="9">
        <v>0.53</v>
      </c>
      <c r="F38" s="10">
        <v>4.4</v>
      </c>
      <c r="G38" s="11">
        <v>13552.0</v>
      </c>
      <c r="K38" s="17">
        <v>4.4</v>
      </c>
    </row>
    <row r="39">
      <c r="A39" s="7" t="s">
        <v>58</v>
      </c>
      <c r="B39" s="7" t="s">
        <v>15</v>
      </c>
      <c r="C39" s="8">
        <v>199.0</v>
      </c>
      <c r="D39" s="8">
        <v>999.0</v>
      </c>
      <c r="E39" s="9">
        <v>0.8</v>
      </c>
      <c r="F39" s="10">
        <v>4.0</v>
      </c>
      <c r="G39" s="10">
        <v>576.0</v>
      </c>
      <c r="K39" s="17">
        <v>4.0</v>
      </c>
    </row>
    <row r="40">
      <c r="A40" s="7" t="s">
        <v>59</v>
      </c>
      <c r="B40" s="7" t="s">
        <v>37</v>
      </c>
      <c r="C40" s="8">
        <v>32999.0</v>
      </c>
      <c r="D40" s="8">
        <v>45999.0</v>
      </c>
      <c r="E40" s="9">
        <v>0.28</v>
      </c>
      <c r="F40" s="10">
        <v>4.2</v>
      </c>
      <c r="G40" s="11">
        <v>7298.0</v>
      </c>
      <c r="K40" s="17">
        <v>4.2</v>
      </c>
    </row>
    <row r="41">
      <c r="A41" s="7" t="s">
        <v>60</v>
      </c>
      <c r="B41" s="7" t="s">
        <v>15</v>
      </c>
      <c r="C41" s="8">
        <v>970.0</v>
      </c>
      <c r="D41" s="8">
        <v>1999.0</v>
      </c>
      <c r="E41" s="9">
        <v>0.51</v>
      </c>
      <c r="F41" s="10">
        <v>4.2</v>
      </c>
      <c r="G41" s="10">
        <v>462.0</v>
      </c>
      <c r="K41" s="17">
        <v>4.2</v>
      </c>
    </row>
    <row r="42">
      <c r="A42" s="7" t="s">
        <v>61</v>
      </c>
      <c r="B42" s="7" t="s">
        <v>15</v>
      </c>
      <c r="C42" s="8">
        <v>209.0</v>
      </c>
      <c r="D42" s="8">
        <v>695.0</v>
      </c>
      <c r="E42" s="9">
        <v>0.7</v>
      </c>
      <c r="F42" s="10" t="str">
        <f>E42/G42</f>
        <v>#VALUE!</v>
      </c>
      <c r="G42" s="7" t="s">
        <v>62</v>
      </c>
      <c r="K42" s="17" t="s">
        <v>1601</v>
      </c>
    </row>
    <row r="43">
      <c r="A43" s="7" t="s">
        <v>63</v>
      </c>
      <c r="B43" s="7" t="s">
        <v>37</v>
      </c>
      <c r="C43" s="8">
        <v>19999.0</v>
      </c>
      <c r="D43" s="8">
        <v>34999.0</v>
      </c>
      <c r="E43" s="9">
        <v>0.43</v>
      </c>
      <c r="F43" s="10">
        <v>4.3</v>
      </c>
      <c r="G43" s="11">
        <v>27151.0</v>
      </c>
      <c r="K43" s="17">
        <v>4.3</v>
      </c>
    </row>
    <row r="44">
      <c r="A44" s="7" t="s">
        <v>64</v>
      </c>
      <c r="B44" s="7" t="s">
        <v>15</v>
      </c>
      <c r="C44" s="8">
        <v>399.0</v>
      </c>
      <c r="D44" s="8">
        <v>1099.0</v>
      </c>
      <c r="E44" s="9">
        <v>0.64</v>
      </c>
      <c r="F44" s="10">
        <v>4.2</v>
      </c>
      <c r="G44" s="11">
        <v>24269.0</v>
      </c>
      <c r="K44" s="17">
        <v>4.2</v>
      </c>
    </row>
    <row r="45">
      <c r="A45" s="7" t="s">
        <v>65</v>
      </c>
      <c r="B45" s="7" t="s">
        <v>25</v>
      </c>
      <c r="C45" s="8">
        <v>999.0</v>
      </c>
      <c r="D45" s="8">
        <v>1599.0</v>
      </c>
      <c r="E45" s="9">
        <v>0.38</v>
      </c>
      <c r="F45" s="10">
        <v>4.3</v>
      </c>
      <c r="G45" s="11">
        <v>12093.0</v>
      </c>
      <c r="K45" s="17">
        <v>4.3</v>
      </c>
    </row>
    <row r="46">
      <c r="A46" s="7" t="s">
        <v>66</v>
      </c>
      <c r="B46" s="7" t="s">
        <v>15</v>
      </c>
      <c r="C46" s="8">
        <v>59.0</v>
      </c>
      <c r="D46" s="8">
        <v>199.0</v>
      </c>
      <c r="E46" s="9">
        <v>0.7</v>
      </c>
      <c r="F46" s="10">
        <v>4.0</v>
      </c>
      <c r="G46" s="11">
        <v>9378.0</v>
      </c>
      <c r="K46" s="17">
        <v>4.0</v>
      </c>
    </row>
    <row r="47">
      <c r="A47" s="7" t="s">
        <v>67</v>
      </c>
      <c r="B47" s="7" t="s">
        <v>15</v>
      </c>
      <c r="C47" s="8">
        <v>333.0</v>
      </c>
      <c r="D47" s="8">
        <v>999.0</v>
      </c>
      <c r="E47" s="9">
        <v>0.67</v>
      </c>
      <c r="F47" s="10">
        <v>3.3</v>
      </c>
      <c r="G47" s="11">
        <v>9792.0</v>
      </c>
      <c r="K47" s="17">
        <v>3.3</v>
      </c>
    </row>
    <row r="48">
      <c r="A48" s="7" t="s">
        <v>68</v>
      </c>
      <c r="B48" s="7" t="s">
        <v>25</v>
      </c>
      <c r="C48" s="8">
        <v>507.0</v>
      </c>
      <c r="D48" s="8">
        <v>1208.0</v>
      </c>
      <c r="E48" s="9">
        <v>0.58</v>
      </c>
      <c r="F48" s="10">
        <v>4.1</v>
      </c>
      <c r="G48" s="11">
        <v>8131.0</v>
      </c>
      <c r="K48" s="17">
        <v>4.1</v>
      </c>
    </row>
    <row r="49">
      <c r="A49" s="7" t="s">
        <v>69</v>
      </c>
      <c r="B49" s="7" t="s">
        <v>31</v>
      </c>
      <c r="C49" s="8">
        <v>309.0</v>
      </c>
      <c r="D49" s="8">
        <v>475.0</v>
      </c>
      <c r="E49" s="9">
        <v>0.35</v>
      </c>
      <c r="F49" s="10" t="str">
        <f>E49/G49</f>
        <v>#VALUE!</v>
      </c>
      <c r="G49" s="7" t="s">
        <v>32</v>
      </c>
      <c r="K49" s="17" t="s">
        <v>1601</v>
      </c>
    </row>
    <row r="50">
      <c r="A50" s="7" t="s">
        <v>70</v>
      </c>
      <c r="B50" s="7" t="s">
        <v>71</v>
      </c>
      <c r="C50" s="8">
        <v>399.0</v>
      </c>
      <c r="D50" s="8">
        <v>999.0</v>
      </c>
      <c r="E50" s="9">
        <v>0.6</v>
      </c>
      <c r="F50" s="10">
        <v>3.6</v>
      </c>
      <c r="G50" s="10">
        <v>493.0</v>
      </c>
      <c r="K50" s="17">
        <v>3.6</v>
      </c>
    </row>
    <row r="51">
      <c r="A51" s="7" t="s">
        <v>72</v>
      </c>
      <c r="B51" s="7" t="s">
        <v>15</v>
      </c>
      <c r="C51" s="8">
        <v>199.0</v>
      </c>
      <c r="D51" s="8">
        <v>395.0</v>
      </c>
      <c r="E51" s="9">
        <v>0.5</v>
      </c>
      <c r="F51" s="10">
        <v>4.2</v>
      </c>
      <c r="G51" s="11">
        <v>92595.0</v>
      </c>
      <c r="K51" s="17">
        <v>4.2</v>
      </c>
    </row>
    <row r="52">
      <c r="A52" s="7" t="s">
        <v>73</v>
      </c>
      <c r="B52" s="7" t="s">
        <v>25</v>
      </c>
      <c r="C52" s="8">
        <v>1199.0</v>
      </c>
      <c r="D52" s="8">
        <v>2199.0</v>
      </c>
      <c r="E52" s="9">
        <v>0.45</v>
      </c>
      <c r="F52" s="10">
        <v>4.4</v>
      </c>
      <c r="G52" s="11">
        <v>24780.0</v>
      </c>
      <c r="K52" s="17">
        <v>4.4</v>
      </c>
    </row>
    <row r="53">
      <c r="A53" s="7" t="s">
        <v>74</v>
      </c>
      <c r="B53" s="7" t="s">
        <v>15</v>
      </c>
      <c r="C53" s="8">
        <v>179.0</v>
      </c>
      <c r="D53" s="8">
        <v>500.0</v>
      </c>
      <c r="E53" s="9">
        <v>0.64</v>
      </c>
      <c r="F53" s="10">
        <v>4.2</v>
      </c>
      <c r="G53" s="11">
        <v>92595.0</v>
      </c>
      <c r="K53" s="17">
        <v>4.2</v>
      </c>
    </row>
    <row r="54">
      <c r="A54" s="7" t="s">
        <v>75</v>
      </c>
      <c r="B54" s="7" t="s">
        <v>15</v>
      </c>
      <c r="C54" s="8">
        <v>799.0</v>
      </c>
      <c r="D54" s="8">
        <v>2100.0</v>
      </c>
      <c r="E54" s="9">
        <v>0.62</v>
      </c>
      <c r="F54" s="10">
        <v>4.3</v>
      </c>
      <c r="G54" s="11">
        <v>8188.0</v>
      </c>
      <c r="K54" s="17">
        <v>4.3</v>
      </c>
    </row>
    <row r="55">
      <c r="A55" s="7" t="s">
        <v>76</v>
      </c>
      <c r="B55" s="7" t="s">
        <v>77</v>
      </c>
      <c r="C55" s="8">
        <v>6999.0</v>
      </c>
      <c r="D55" s="8">
        <v>12999.0</v>
      </c>
      <c r="E55" s="9">
        <v>0.46</v>
      </c>
      <c r="F55" s="10">
        <v>4.2</v>
      </c>
      <c r="G55" s="11">
        <v>4003.0</v>
      </c>
      <c r="K55" s="17">
        <v>4.2</v>
      </c>
    </row>
    <row r="56">
      <c r="A56" s="7" t="s">
        <v>78</v>
      </c>
      <c r="B56" s="7" t="s">
        <v>15</v>
      </c>
      <c r="C56" s="8">
        <v>199.0</v>
      </c>
      <c r="D56" s="8">
        <v>349.0</v>
      </c>
      <c r="E56" s="9">
        <v>0.43</v>
      </c>
      <c r="F56" s="10">
        <v>4.1</v>
      </c>
      <c r="G56" s="10">
        <v>314.0</v>
      </c>
      <c r="K56" s="17">
        <v>4.1</v>
      </c>
    </row>
    <row r="57">
      <c r="A57" s="7" t="s">
        <v>79</v>
      </c>
      <c r="B57" s="7" t="s">
        <v>71</v>
      </c>
      <c r="C57" s="8">
        <v>230.0</v>
      </c>
      <c r="D57" s="8">
        <v>499.0</v>
      </c>
      <c r="E57" s="9">
        <v>0.54</v>
      </c>
      <c r="F57" s="10">
        <v>3.7</v>
      </c>
      <c r="G57" s="11">
        <v>2960.0</v>
      </c>
      <c r="K57" s="17">
        <v>3.7</v>
      </c>
    </row>
    <row r="58">
      <c r="A58" s="7" t="s">
        <v>80</v>
      </c>
      <c r="B58" s="7" t="s">
        <v>25</v>
      </c>
      <c r="C58" s="8">
        <v>649.0</v>
      </c>
      <c r="D58" s="8">
        <v>1399.0</v>
      </c>
      <c r="E58" s="9">
        <v>0.54</v>
      </c>
      <c r="F58" s="10">
        <v>4.2</v>
      </c>
      <c r="G58" s="7" t="s">
        <v>26</v>
      </c>
      <c r="K58" s="17">
        <v>4.2</v>
      </c>
    </row>
    <row r="59">
      <c r="A59" s="7" t="s">
        <v>81</v>
      </c>
      <c r="B59" s="7" t="s">
        <v>37</v>
      </c>
      <c r="C59" s="8">
        <v>15999.0</v>
      </c>
      <c r="D59" s="8">
        <v>21999.0</v>
      </c>
      <c r="E59" s="9">
        <v>0.27</v>
      </c>
      <c r="F59" s="10">
        <v>4.2</v>
      </c>
      <c r="G59" s="11">
        <v>34899.0</v>
      </c>
      <c r="K59" s="17">
        <v>4.2</v>
      </c>
    </row>
    <row r="60">
      <c r="A60" s="7" t="s">
        <v>82</v>
      </c>
      <c r="B60" s="7" t="s">
        <v>15</v>
      </c>
      <c r="C60" s="8">
        <v>348.0</v>
      </c>
      <c r="D60" s="8">
        <v>1499.0</v>
      </c>
      <c r="E60" s="9">
        <v>0.77</v>
      </c>
      <c r="F60" s="10">
        <v>4.2</v>
      </c>
      <c r="G60" s="10">
        <v>656.0</v>
      </c>
      <c r="K60" s="17">
        <v>4.2</v>
      </c>
    </row>
    <row r="61">
      <c r="A61" s="7" t="s">
        <v>83</v>
      </c>
      <c r="B61" s="7" t="s">
        <v>15</v>
      </c>
      <c r="C61" s="8">
        <v>154.0</v>
      </c>
      <c r="D61" s="8">
        <v>349.0</v>
      </c>
      <c r="E61" s="9">
        <v>0.56</v>
      </c>
      <c r="F61" s="10">
        <v>4.3</v>
      </c>
      <c r="G61" s="11">
        <v>7064.0</v>
      </c>
      <c r="K61" s="17">
        <v>4.3</v>
      </c>
    </row>
    <row r="62">
      <c r="A62" s="7" t="s">
        <v>84</v>
      </c>
      <c r="B62" s="7" t="s">
        <v>71</v>
      </c>
      <c r="C62" s="8">
        <v>179.0</v>
      </c>
      <c r="D62" s="8">
        <v>799.0</v>
      </c>
      <c r="E62" s="9">
        <v>0.78</v>
      </c>
      <c r="F62" s="10">
        <v>3.7</v>
      </c>
      <c r="G62" s="11">
        <v>2201.0</v>
      </c>
      <c r="K62" s="17">
        <v>3.7</v>
      </c>
    </row>
    <row r="63">
      <c r="A63" s="7" t="s">
        <v>85</v>
      </c>
      <c r="B63" s="7" t="s">
        <v>37</v>
      </c>
      <c r="C63" s="8">
        <v>32990.0</v>
      </c>
      <c r="D63" s="8">
        <v>47900.0</v>
      </c>
      <c r="E63" s="9">
        <v>0.31</v>
      </c>
      <c r="F63" s="10">
        <v>4.3</v>
      </c>
      <c r="G63" s="11">
        <v>7109.0</v>
      </c>
      <c r="K63" s="17">
        <v>4.3</v>
      </c>
    </row>
    <row r="64">
      <c r="A64" s="7" t="s">
        <v>86</v>
      </c>
      <c r="B64" s="7" t="s">
        <v>15</v>
      </c>
      <c r="C64" s="8">
        <v>139.0</v>
      </c>
      <c r="D64" s="8">
        <v>999.0</v>
      </c>
      <c r="E64" s="9">
        <v>0.86</v>
      </c>
      <c r="F64" s="10">
        <v>4.0</v>
      </c>
      <c r="G64" s="11">
        <v>1313.0</v>
      </c>
      <c r="K64" s="17">
        <v>4.0</v>
      </c>
    </row>
    <row r="65">
      <c r="A65" s="7" t="s">
        <v>87</v>
      </c>
      <c r="B65" s="7" t="s">
        <v>15</v>
      </c>
      <c r="C65" s="8">
        <v>329.0</v>
      </c>
      <c r="D65" s="8">
        <v>845.0</v>
      </c>
      <c r="E65" s="9">
        <v>0.61</v>
      </c>
      <c r="F65" s="10">
        <v>4.2</v>
      </c>
      <c r="G65" s="11">
        <v>29746.0</v>
      </c>
      <c r="K65" s="17">
        <v>4.2</v>
      </c>
    </row>
    <row r="66">
      <c r="A66" s="7" t="s">
        <v>88</v>
      </c>
      <c r="B66" s="7" t="s">
        <v>37</v>
      </c>
      <c r="C66" s="8">
        <v>13999.0</v>
      </c>
      <c r="D66" s="8">
        <v>24999.0</v>
      </c>
      <c r="E66" s="9">
        <v>0.44</v>
      </c>
      <c r="F66" s="10">
        <v>4.2</v>
      </c>
      <c r="G66" s="11">
        <v>45238.0</v>
      </c>
      <c r="K66" s="17">
        <v>4.2</v>
      </c>
    </row>
    <row r="67">
      <c r="A67" s="7" t="s">
        <v>89</v>
      </c>
      <c r="B67" s="7" t="s">
        <v>31</v>
      </c>
      <c r="C67" s="8">
        <v>309.0</v>
      </c>
      <c r="D67" s="8">
        <v>1400.0</v>
      </c>
      <c r="E67" s="9">
        <v>0.78</v>
      </c>
      <c r="F67" s="10" t="str">
        <f>F67/G67</f>
        <v>#REF!</v>
      </c>
      <c r="G67" s="7" t="s">
        <v>32</v>
      </c>
      <c r="K67" s="17" t="s">
        <v>1601</v>
      </c>
    </row>
    <row r="68">
      <c r="A68" s="7" t="s">
        <v>90</v>
      </c>
      <c r="B68" s="7" t="s">
        <v>15</v>
      </c>
      <c r="C68" s="8">
        <v>263.0</v>
      </c>
      <c r="D68" s="8">
        <v>699.0</v>
      </c>
      <c r="E68" s="9">
        <v>0.62</v>
      </c>
      <c r="F68" s="10">
        <v>4.1</v>
      </c>
      <c r="G68" s="10">
        <v>450.0</v>
      </c>
      <c r="K68" s="17">
        <v>4.1</v>
      </c>
    </row>
    <row r="69">
      <c r="A69" s="7" t="s">
        <v>91</v>
      </c>
      <c r="B69" s="7" t="s">
        <v>77</v>
      </c>
      <c r="C69" s="8">
        <v>7999.0</v>
      </c>
      <c r="D69" s="8">
        <v>14990.0</v>
      </c>
      <c r="E69" s="9">
        <v>0.47</v>
      </c>
      <c r="F69" s="10">
        <v>4.3</v>
      </c>
      <c r="G69" s="10">
        <v>457.0</v>
      </c>
      <c r="K69" s="17">
        <v>4.3</v>
      </c>
    </row>
    <row r="70">
      <c r="A70" s="7" t="s">
        <v>92</v>
      </c>
      <c r="B70" s="7" t="s">
        <v>93</v>
      </c>
      <c r="C70" s="8">
        <v>1599.0</v>
      </c>
      <c r="D70" s="8">
        <v>2999.0</v>
      </c>
      <c r="E70" s="9">
        <v>0.47</v>
      </c>
      <c r="F70" s="10">
        <v>4.2</v>
      </c>
      <c r="G70" s="11">
        <v>2727.0</v>
      </c>
      <c r="K70" s="17">
        <v>4.2</v>
      </c>
    </row>
    <row r="71">
      <c r="A71" s="7" t="s">
        <v>94</v>
      </c>
      <c r="B71" s="7" t="s">
        <v>15</v>
      </c>
      <c r="C71" s="8">
        <v>219.0</v>
      </c>
      <c r="D71" s="8">
        <v>700.0</v>
      </c>
      <c r="E71" s="9">
        <v>0.69</v>
      </c>
      <c r="F71" s="10">
        <v>4.3</v>
      </c>
      <c r="G71" s="11">
        <v>20053.0</v>
      </c>
      <c r="K71" s="17">
        <v>4.3</v>
      </c>
    </row>
    <row r="72">
      <c r="A72" s="7" t="s">
        <v>95</v>
      </c>
      <c r="B72" s="7" t="s">
        <v>15</v>
      </c>
      <c r="C72" s="8">
        <v>349.0</v>
      </c>
      <c r="D72" s="8">
        <v>899.0</v>
      </c>
      <c r="E72" s="9">
        <v>0.61</v>
      </c>
      <c r="F72" s="10">
        <v>4.5</v>
      </c>
      <c r="G72" s="10">
        <v>149.0</v>
      </c>
      <c r="K72" s="17">
        <v>4.5</v>
      </c>
    </row>
    <row r="73">
      <c r="A73" s="7" t="s">
        <v>96</v>
      </c>
      <c r="B73" s="7" t="s">
        <v>15</v>
      </c>
      <c r="C73" s="8">
        <v>349.0</v>
      </c>
      <c r="D73" s="8">
        <v>599.0</v>
      </c>
      <c r="E73" s="9">
        <v>0.42</v>
      </c>
      <c r="F73" s="10">
        <v>4.1</v>
      </c>
      <c r="G73" s="10">
        <v>210.0</v>
      </c>
      <c r="K73" s="17">
        <v>4.1</v>
      </c>
    </row>
    <row r="74">
      <c r="A74" s="7" t="s">
        <v>97</v>
      </c>
      <c r="B74" s="7" t="s">
        <v>37</v>
      </c>
      <c r="C74" s="8">
        <v>26999.0</v>
      </c>
      <c r="D74" s="8">
        <v>42999.0</v>
      </c>
      <c r="E74" s="9">
        <v>0.37</v>
      </c>
      <c r="F74" s="10">
        <v>4.2</v>
      </c>
      <c r="G74" s="11">
        <v>45238.0</v>
      </c>
      <c r="K74" s="17">
        <v>4.2</v>
      </c>
    </row>
    <row r="75">
      <c r="A75" s="7" t="s">
        <v>98</v>
      </c>
      <c r="B75" s="7" t="s">
        <v>15</v>
      </c>
      <c r="C75" s="8">
        <v>115.0</v>
      </c>
      <c r="D75" s="8">
        <v>499.0</v>
      </c>
      <c r="E75" s="9">
        <v>0.77</v>
      </c>
      <c r="F75" s="10">
        <v>4.0</v>
      </c>
      <c r="G75" s="11">
        <v>7732.0</v>
      </c>
      <c r="K75" s="17">
        <v>4.0</v>
      </c>
    </row>
    <row r="76">
      <c r="A76" s="7" t="s">
        <v>99</v>
      </c>
      <c r="B76" s="7" t="s">
        <v>15</v>
      </c>
      <c r="C76" s="8">
        <v>399.0</v>
      </c>
      <c r="D76" s="8">
        <v>999.0</v>
      </c>
      <c r="E76" s="9">
        <v>0.6</v>
      </c>
      <c r="F76" s="10">
        <v>4.1</v>
      </c>
      <c r="G76" s="11">
        <v>1780.0</v>
      </c>
      <c r="K76" s="17">
        <v>4.1</v>
      </c>
    </row>
    <row r="77">
      <c r="A77" s="7" t="s">
        <v>100</v>
      </c>
      <c r="B77" s="7" t="s">
        <v>15</v>
      </c>
      <c r="C77" s="8">
        <v>199.0</v>
      </c>
      <c r="D77" s="8">
        <v>499.0</v>
      </c>
      <c r="E77" s="9">
        <v>0.6</v>
      </c>
      <c r="F77" s="10">
        <v>4.1</v>
      </c>
      <c r="G77" s="10">
        <v>602.0</v>
      </c>
      <c r="K77" s="17">
        <v>4.1</v>
      </c>
    </row>
    <row r="78">
      <c r="A78" s="7" t="s">
        <v>101</v>
      </c>
      <c r="B78" s="7" t="s">
        <v>15</v>
      </c>
      <c r="C78" s="8">
        <v>179.0</v>
      </c>
      <c r="D78" s="8">
        <v>399.0</v>
      </c>
      <c r="E78" s="9">
        <v>0.55</v>
      </c>
      <c r="F78" s="10">
        <v>4.0</v>
      </c>
      <c r="G78" s="11">
        <v>1423.0</v>
      </c>
      <c r="K78" s="17">
        <v>4.0</v>
      </c>
    </row>
    <row r="79">
      <c r="A79" s="7" t="s">
        <v>102</v>
      </c>
      <c r="B79" s="7" t="s">
        <v>37</v>
      </c>
      <c r="C79" s="8">
        <v>10901.0</v>
      </c>
      <c r="D79" s="8">
        <v>30990.0</v>
      </c>
      <c r="E79" s="9">
        <v>0.65</v>
      </c>
      <c r="F79" s="10">
        <v>4.1</v>
      </c>
      <c r="G79" s="10">
        <v>398.0</v>
      </c>
      <c r="K79" s="17">
        <v>4.1</v>
      </c>
    </row>
    <row r="80">
      <c r="A80" s="7" t="s">
        <v>103</v>
      </c>
      <c r="B80" s="7" t="s">
        <v>15</v>
      </c>
      <c r="C80" s="8">
        <v>209.0</v>
      </c>
      <c r="D80" s="8">
        <v>499.0</v>
      </c>
      <c r="E80" s="9">
        <v>0.58</v>
      </c>
      <c r="F80" s="10">
        <v>3.9</v>
      </c>
      <c r="G80" s="10">
        <v>536.0</v>
      </c>
      <c r="K80" s="17">
        <v>3.9</v>
      </c>
    </row>
    <row r="81">
      <c r="A81" s="7" t="s">
        <v>104</v>
      </c>
      <c r="B81" s="7" t="s">
        <v>71</v>
      </c>
      <c r="C81" s="8">
        <v>1434.0</v>
      </c>
      <c r="D81" s="8">
        <v>3999.0</v>
      </c>
      <c r="E81" s="9">
        <v>0.64</v>
      </c>
      <c r="F81" s="10">
        <v>4.0</v>
      </c>
      <c r="G81" s="10">
        <v>32.0</v>
      </c>
      <c r="K81" s="17">
        <v>4.0</v>
      </c>
    </row>
    <row r="82">
      <c r="A82" s="7" t="s">
        <v>105</v>
      </c>
      <c r="B82" s="7" t="s">
        <v>15</v>
      </c>
      <c r="C82" s="8">
        <v>399.0</v>
      </c>
      <c r="D82" s="8">
        <v>1099.0</v>
      </c>
      <c r="E82" s="9">
        <v>0.64</v>
      </c>
      <c r="F82" s="10">
        <v>4.2</v>
      </c>
      <c r="G82" s="11">
        <v>24269.0</v>
      </c>
      <c r="K82" s="17">
        <v>4.2</v>
      </c>
    </row>
    <row r="83">
      <c r="A83" s="7" t="s">
        <v>106</v>
      </c>
      <c r="B83" s="7" t="s">
        <v>15</v>
      </c>
      <c r="C83" s="8">
        <v>139.0</v>
      </c>
      <c r="D83" s="8">
        <v>249.0</v>
      </c>
      <c r="E83" s="9">
        <v>0.44</v>
      </c>
      <c r="F83" s="10">
        <v>4.0</v>
      </c>
      <c r="G83" s="11">
        <v>9378.0</v>
      </c>
      <c r="K83" s="17">
        <v>4.0</v>
      </c>
    </row>
    <row r="84">
      <c r="A84" s="7" t="s">
        <v>107</v>
      </c>
      <c r="B84" s="7" t="s">
        <v>37</v>
      </c>
      <c r="C84" s="8">
        <v>7299.0</v>
      </c>
      <c r="D84" s="8">
        <v>19125.0</v>
      </c>
      <c r="E84" s="9">
        <v>0.62</v>
      </c>
      <c r="F84" s="10">
        <v>3.4</v>
      </c>
      <c r="G84" s="10">
        <v>902.0</v>
      </c>
      <c r="K84" s="17">
        <v>3.4</v>
      </c>
    </row>
    <row r="85">
      <c r="A85" s="7" t="s">
        <v>108</v>
      </c>
      <c r="B85" s="7" t="s">
        <v>15</v>
      </c>
      <c r="C85" s="8">
        <v>299.0</v>
      </c>
      <c r="D85" s="8">
        <v>799.0</v>
      </c>
      <c r="E85" s="9">
        <v>0.63</v>
      </c>
      <c r="F85" s="10">
        <v>4.4</v>
      </c>
      <c r="G85" s="11">
        <v>28791.0</v>
      </c>
      <c r="K85" s="17">
        <v>4.4</v>
      </c>
    </row>
    <row r="86">
      <c r="A86" s="7" t="s">
        <v>109</v>
      </c>
      <c r="B86" s="7" t="s">
        <v>15</v>
      </c>
      <c r="C86" s="8">
        <v>325.0</v>
      </c>
      <c r="D86" s="8">
        <v>1299.0</v>
      </c>
      <c r="E86" s="9">
        <v>0.75</v>
      </c>
      <c r="F86" s="10">
        <v>4.2</v>
      </c>
      <c r="G86" s="11">
        <v>10576.0</v>
      </c>
      <c r="K86" s="17">
        <v>4.2</v>
      </c>
    </row>
    <row r="87">
      <c r="A87" s="7" t="s">
        <v>110</v>
      </c>
      <c r="B87" s="7" t="s">
        <v>37</v>
      </c>
      <c r="C87" s="8">
        <v>29999.0</v>
      </c>
      <c r="D87" s="8">
        <v>39999.0</v>
      </c>
      <c r="E87" s="9">
        <v>0.25</v>
      </c>
      <c r="F87" s="10">
        <v>4.2</v>
      </c>
      <c r="G87" s="11">
        <v>7298.0</v>
      </c>
      <c r="K87" s="17">
        <v>4.2</v>
      </c>
    </row>
    <row r="88">
      <c r="A88" s="7" t="s">
        <v>111</v>
      </c>
      <c r="B88" s="7" t="s">
        <v>37</v>
      </c>
      <c r="C88" s="8">
        <v>27999.0</v>
      </c>
      <c r="D88" s="8">
        <v>40990.0</v>
      </c>
      <c r="E88" s="9">
        <v>0.32</v>
      </c>
      <c r="F88" s="10">
        <v>4.3</v>
      </c>
      <c r="G88" s="11">
        <v>4703.0</v>
      </c>
      <c r="K88" s="17">
        <v>4.3</v>
      </c>
    </row>
    <row r="89">
      <c r="A89" s="7" t="s">
        <v>112</v>
      </c>
      <c r="B89" s="7" t="s">
        <v>37</v>
      </c>
      <c r="C89" s="8">
        <v>30990.0</v>
      </c>
      <c r="D89" s="8">
        <v>52900.0</v>
      </c>
      <c r="E89" s="9">
        <v>0.41</v>
      </c>
      <c r="F89" s="10">
        <v>4.3</v>
      </c>
      <c r="G89" s="11">
        <v>7109.0</v>
      </c>
      <c r="K89" s="17">
        <v>4.3</v>
      </c>
    </row>
    <row r="90">
      <c r="A90" s="7" t="s">
        <v>113</v>
      </c>
      <c r="B90" s="7" t="s">
        <v>15</v>
      </c>
      <c r="C90" s="8">
        <v>199.0</v>
      </c>
      <c r="D90" s="8">
        <v>999.0</v>
      </c>
      <c r="E90" s="9">
        <v>0.8</v>
      </c>
      <c r="F90" s="10">
        <v>4.5</v>
      </c>
      <c r="G90" s="10">
        <v>127.0</v>
      </c>
      <c r="K90" s="17">
        <v>4.5</v>
      </c>
    </row>
    <row r="91">
      <c r="A91" s="7" t="s">
        <v>114</v>
      </c>
      <c r="B91" s="7" t="s">
        <v>15</v>
      </c>
      <c r="C91" s="8">
        <v>649.0</v>
      </c>
      <c r="D91" s="8">
        <v>1999.0</v>
      </c>
      <c r="E91" s="9">
        <v>0.68</v>
      </c>
      <c r="F91" s="10">
        <v>4.2</v>
      </c>
      <c r="G91" s="11">
        <v>24269.0</v>
      </c>
      <c r="K91" s="17">
        <v>4.2</v>
      </c>
    </row>
    <row r="92">
      <c r="A92" s="7" t="s">
        <v>115</v>
      </c>
      <c r="B92" s="7" t="s">
        <v>25</v>
      </c>
      <c r="C92" s="8">
        <v>269.0</v>
      </c>
      <c r="D92" s="8">
        <v>800.0</v>
      </c>
      <c r="E92" s="9">
        <v>0.66</v>
      </c>
      <c r="F92" s="10">
        <v>3.6</v>
      </c>
      <c r="G92" s="11">
        <v>10134.0</v>
      </c>
      <c r="K92" s="17">
        <v>3.6</v>
      </c>
    </row>
    <row r="93">
      <c r="A93" s="7" t="s">
        <v>116</v>
      </c>
      <c r="B93" s="7" t="s">
        <v>37</v>
      </c>
      <c r="C93" s="8">
        <v>24999.0</v>
      </c>
      <c r="D93" s="8">
        <v>31999.0</v>
      </c>
      <c r="E93" s="9">
        <v>0.22</v>
      </c>
      <c r="F93" s="10">
        <v>4.2</v>
      </c>
      <c r="G93" s="11">
        <v>34899.0</v>
      </c>
      <c r="K93" s="17">
        <v>4.2</v>
      </c>
    </row>
    <row r="94">
      <c r="A94" s="7" t="s">
        <v>117</v>
      </c>
      <c r="B94" s="7" t="s">
        <v>15</v>
      </c>
      <c r="C94" s="8">
        <v>299.0</v>
      </c>
      <c r="D94" s="8">
        <v>699.0</v>
      </c>
      <c r="E94" s="9">
        <v>0.57</v>
      </c>
      <c r="F94" s="10">
        <v>4.2</v>
      </c>
      <c r="G94" s="11">
        <v>94363.0</v>
      </c>
      <c r="K94" s="17">
        <v>4.2</v>
      </c>
    </row>
    <row r="95">
      <c r="A95" s="7" t="s">
        <v>118</v>
      </c>
      <c r="B95" s="7" t="s">
        <v>15</v>
      </c>
      <c r="C95" s="8">
        <v>199.0</v>
      </c>
      <c r="D95" s="8">
        <v>999.0</v>
      </c>
      <c r="E95" s="9">
        <v>0.8</v>
      </c>
      <c r="F95" s="10">
        <v>4.1</v>
      </c>
      <c r="G95" s="10">
        <v>425.0</v>
      </c>
      <c r="K95" s="17">
        <v>4.1</v>
      </c>
    </row>
    <row r="96">
      <c r="A96" s="7" t="s">
        <v>119</v>
      </c>
      <c r="B96" s="7" t="s">
        <v>37</v>
      </c>
      <c r="C96" s="8">
        <v>18990.0</v>
      </c>
      <c r="D96" s="8">
        <v>40990.0</v>
      </c>
      <c r="E96" s="9">
        <v>0.54</v>
      </c>
      <c r="F96" s="10">
        <v>4.2</v>
      </c>
      <c r="G96" s="11">
        <v>6659.0</v>
      </c>
      <c r="K96" s="17">
        <v>4.2</v>
      </c>
    </row>
    <row r="97">
      <c r="A97" s="7" t="s">
        <v>120</v>
      </c>
      <c r="B97" s="7" t="s">
        <v>25</v>
      </c>
      <c r="C97" s="8">
        <v>290.0</v>
      </c>
      <c r="D97" s="8">
        <v>349.0</v>
      </c>
      <c r="E97" s="9">
        <v>0.17</v>
      </c>
      <c r="F97" s="10">
        <v>3.7</v>
      </c>
      <c r="G97" s="11">
        <v>1977.0</v>
      </c>
      <c r="K97" s="17">
        <v>3.7</v>
      </c>
    </row>
    <row r="98">
      <c r="A98" s="7" t="s">
        <v>121</v>
      </c>
      <c r="B98" s="7" t="s">
        <v>71</v>
      </c>
      <c r="C98" s="8">
        <v>249.0</v>
      </c>
      <c r="D98" s="8">
        <v>799.0</v>
      </c>
      <c r="E98" s="9">
        <v>0.69</v>
      </c>
      <c r="F98" s="10">
        <v>3.8</v>
      </c>
      <c r="G98" s="11">
        <v>1079.0</v>
      </c>
      <c r="K98" s="17">
        <v>3.8</v>
      </c>
    </row>
    <row r="99">
      <c r="A99" s="7" t="s">
        <v>122</v>
      </c>
      <c r="B99" s="7" t="s">
        <v>15</v>
      </c>
      <c r="C99" s="8">
        <v>345.0</v>
      </c>
      <c r="D99" s="8">
        <v>999.0</v>
      </c>
      <c r="E99" s="9">
        <v>0.65</v>
      </c>
      <c r="F99" s="10">
        <v>3.7</v>
      </c>
      <c r="G99" s="11">
        <v>1097.0</v>
      </c>
      <c r="K99" s="17">
        <v>3.7</v>
      </c>
    </row>
    <row r="100">
      <c r="A100" s="7" t="s">
        <v>123</v>
      </c>
      <c r="B100" s="7" t="s">
        <v>25</v>
      </c>
      <c r="C100" s="8">
        <v>1099.0</v>
      </c>
      <c r="D100" s="8">
        <v>1899.0</v>
      </c>
      <c r="E100" s="9">
        <v>0.42</v>
      </c>
      <c r="F100" s="10">
        <v>4.5</v>
      </c>
      <c r="G100" s="11">
        <v>22420.0</v>
      </c>
      <c r="K100" s="17">
        <v>4.5</v>
      </c>
    </row>
    <row r="101">
      <c r="A101" s="7" t="s">
        <v>124</v>
      </c>
      <c r="B101" s="7" t="s">
        <v>15</v>
      </c>
      <c r="C101" s="8">
        <v>719.0</v>
      </c>
      <c r="D101" s="8">
        <v>1499.0</v>
      </c>
      <c r="E101" s="9">
        <v>0.52</v>
      </c>
      <c r="F101" s="10">
        <v>4.1</v>
      </c>
      <c r="G101" s="11">
        <v>1045.0</v>
      </c>
      <c r="K101" s="17">
        <v>4.1</v>
      </c>
    </row>
    <row r="102">
      <c r="A102" s="7" t="s">
        <v>125</v>
      </c>
      <c r="B102" s="7" t="s">
        <v>71</v>
      </c>
      <c r="C102" s="8">
        <v>349.0</v>
      </c>
      <c r="D102" s="8">
        <v>1499.0</v>
      </c>
      <c r="E102" s="9">
        <v>0.77</v>
      </c>
      <c r="F102" s="10">
        <v>4.3</v>
      </c>
      <c r="G102" s="11">
        <v>4145.0</v>
      </c>
      <c r="K102" s="17">
        <v>4.3</v>
      </c>
    </row>
    <row r="103">
      <c r="A103" s="7" t="s">
        <v>126</v>
      </c>
      <c r="B103" s="7" t="s">
        <v>15</v>
      </c>
      <c r="C103" s="8">
        <v>849.0</v>
      </c>
      <c r="D103" s="8">
        <v>1809.0</v>
      </c>
      <c r="E103" s="9">
        <v>0.53</v>
      </c>
      <c r="F103" s="10">
        <v>4.3</v>
      </c>
      <c r="G103" s="11">
        <v>6547.0</v>
      </c>
      <c r="K103" s="17">
        <v>4.3</v>
      </c>
    </row>
    <row r="104">
      <c r="A104" s="7" t="s">
        <v>127</v>
      </c>
      <c r="B104" s="7" t="s">
        <v>71</v>
      </c>
      <c r="C104" s="8">
        <v>299.0</v>
      </c>
      <c r="D104" s="8">
        <v>899.0</v>
      </c>
      <c r="E104" s="9">
        <v>0.67</v>
      </c>
      <c r="F104" s="10">
        <v>4.0</v>
      </c>
      <c r="G104" s="11">
        <v>1588.0</v>
      </c>
      <c r="K104" s="17">
        <v>4.0</v>
      </c>
    </row>
    <row r="105">
      <c r="A105" s="7" t="s">
        <v>128</v>
      </c>
      <c r="B105" s="7" t="s">
        <v>37</v>
      </c>
      <c r="C105" s="8">
        <v>21999.0</v>
      </c>
      <c r="D105" s="8">
        <v>29999.0</v>
      </c>
      <c r="E105" s="9">
        <v>0.27</v>
      </c>
      <c r="F105" s="10">
        <v>4.2</v>
      </c>
      <c r="G105" s="11">
        <v>32840.0</v>
      </c>
      <c r="K105" s="17">
        <v>4.2</v>
      </c>
    </row>
    <row r="106">
      <c r="A106" s="7" t="s">
        <v>129</v>
      </c>
      <c r="B106" s="7" t="s">
        <v>15</v>
      </c>
      <c r="C106" s="8">
        <v>349.0</v>
      </c>
      <c r="D106" s="8">
        <v>999.0</v>
      </c>
      <c r="E106" s="9">
        <v>0.65</v>
      </c>
      <c r="F106" s="10">
        <v>4.2</v>
      </c>
      <c r="G106" s="11">
        <v>13120.0</v>
      </c>
      <c r="K106" s="17">
        <v>4.2</v>
      </c>
    </row>
    <row r="107">
      <c r="A107" s="7" t="s">
        <v>130</v>
      </c>
      <c r="B107" s="7" t="s">
        <v>15</v>
      </c>
      <c r="C107" s="8">
        <v>399.0</v>
      </c>
      <c r="D107" s="8">
        <v>999.0</v>
      </c>
      <c r="E107" s="9">
        <v>0.6</v>
      </c>
      <c r="F107" s="10">
        <v>4.3</v>
      </c>
      <c r="G107" s="11">
        <v>2806.0</v>
      </c>
      <c r="K107" s="17">
        <v>4.3</v>
      </c>
    </row>
    <row r="108">
      <c r="A108" s="7" t="s">
        <v>131</v>
      </c>
      <c r="B108" s="7" t="s">
        <v>15</v>
      </c>
      <c r="C108" s="8">
        <v>449.0</v>
      </c>
      <c r="D108" s="8">
        <v>1299.0</v>
      </c>
      <c r="E108" s="9">
        <v>0.65</v>
      </c>
      <c r="F108" s="10">
        <v>4.2</v>
      </c>
      <c r="G108" s="11">
        <v>24269.0</v>
      </c>
      <c r="K108" s="17">
        <v>4.2</v>
      </c>
    </row>
    <row r="109">
      <c r="A109" s="7" t="s">
        <v>132</v>
      </c>
      <c r="B109" s="7" t="s">
        <v>15</v>
      </c>
      <c r="C109" s="8">
        <v>299.0</v>
      </c>
      <c r="D109" s="8">
        <v>999.0</v>
      </c>
      <c r="E109" s="9">
        <v>0.7</v>
      </c>
      <c r="F109" s="10">
        <v>4.3</v>
      </c>
      <c r="G109" s="10">
        <v>766.0</v>
      </c>
      <c r="K109" s="17">
        <v>4.3</v>
      </c>
    </row>
    <row r="110">
      <c r="A110" s="7" t="s">
        <v>133</v>
      </c>
      <c r="B110" s="7" t="s">
        <v>37</v>
      </c>
      <c r="C110" s="8">
        <v>37999.0</v>
      </c>
      <c r="D110" s="8">
        <v>65000.0</v>
      </c>
      <c r="E110" s="9">
        <v>0.42</v>
      </c>
      <c r="F110" s="10">
        <v>4.3</v>
      </c>
      <c r="G110" s="11">
        <v>3587.0</v>
      </c>
      <c r="K110" s="17">
        <v>4.3</v>
      </c>
    </row>
    <row r="111">
      <c r="A111" s="7" t="s">
        <v>134</v>
      </c>
      <c r="B111" s="7" t="s">
        <v>15</v>
      </c>
      <c r="C111" s="8">
        <v>99.0</v>
      </c>
      <c r="D111" s="8">
        <v>800.0</v>
      </c>
      <c r="E111" s="9">
        <v>0.88</v>
      </c>
      <c r="F111" s="10">
        <v>3.9</v>
      </c>
      <c r="G111" s="11">
        <v>24871.0</v>
      </c>
      <c r="K111" s="17">
        <v>3.9</v>
      </c>
    </row>
    <row r="112">
      <c r="A112" s="7" t="s">
        <v>135</v>
      </c>
      <c r="B112" s="7" t="s">
        <v>77</v>
      </c>
      <c r="C112" s="8">
        <v>7390.0</v>
      </c>
      <c r="D112" s="8">
        <v>20000.0</v>
      </c>
      <c r="E112" s="9">
        <v>0.63</v>
      </c>
      <c r="F112" s="10">
        <v>4.1</v>
      </c>
      <c r="G112" s="11">
        <v>2581.0</v>
      </c>
      <c r="K112" s="17">
        <v>4.1</v>
      </c>
    </row>
    <row r="113">
      <c r="A113" s="7" t="s">
        <v>136</v>
      </c>
      <c r="B113" s="7" t="s">
        <v>15</v>
      </c>
      <c r="C113" s="8">
        <v>273.1</v>
      </c>
      <c r="D113" s="8">
        <v>999.0</v>
      </c>
      <c r="E113" s="9">
        <v>0.73</v>
      </c>
      <c r="F113" s="10">
        <v>4.3</v>
      </c>
      <c r="G113" s="11">
        <v>20850.0</v>
      </c>
      <c r="K113" s="17">
        <v>4.3</v>
      </c>
    </row>
    <row r="114">
      <c r="A114" s="7" t="s">
        <v>137</v>
      </c>
      <c r="B114" s="7" t="s">
        <v>37</v>
      </c>
      <c r="C114" s="8">
        <v>15990.0</v>
      </c>
      <c r="D114" s="8">
        <v>23990.0</v>
      </c>
      <c r="E114" s="9">
        <v>0.33</v>
      </c>
      <c r="F114" s="10">
        <v>4.3</v>
      </c>
      <c r="G114" s="11">
        <v>1035.0</v>
      </c>
      <c r="K114" s="17">
        <v>4.3</v>
      </c>
    </row>
    <row r="115">
      <c r="A115" s="7" t="s">
        <v>138</v>
      </c>
      <c r="B115" s="7" t="s">
        <v>15</v>
      </c>
      <c r="C115" s="8">
        <v>399.0</v>
      </c>
      <c r="D115" s="8">
        <v>999.0</v>
      </c>
      <c r="E115" s="9">
        <v>0.6</v>
      </c>
      <c r="F115" s="10">
        <v>4.1</v>
      </c>
      <c r="G115" s="11">
        <v>1780.0</v>
      </c>
      <c r="K115" s="17">
        <v>4.1</v>
      </c>
    </row>
    <row r="116">
      <c r="A116" s="7" t="s">
        <v>139</v>
      </c>
      <c r="B116" s="7" t="s">
        <v>71</v>
      </c>
      <c r="C116" s="8">
        <v>399.0</v>
      </c>
      <c r="D116" s="8">
        <v>1999.0</v>
      </c>
      <c r="E116" s="9">
        <v>0.8</v>
      </c>
      <c r="F116" s="10">
        <v>4.5</v>
      </c>
      <c r="G116" s="10">
        <v>505.0</v>
      </c>
      <c r="K116" s="17">
        <v>4.5</v>
      </c>
    </row>
    <row r="117">
      <c r="A117" s="7" t="s">
        <v>140</v>
      </c>
      <c r="B117" s="7" t="s">
        <v>15</v>
      </c>
      <c r="C117" s="8">
        <v>210.0</v>
      </c>
      <c r="D117" s="8">
        <v>399.0</v>
      </c>
      <c r="E117" s="9">
        <v>0.47</v>
      </c>
      <c r="F117" s="10">
        <v>4.1</v>
      </c>
      <c r="G117" s="11">
        <v>1717.0</v>
      </c>
      <c r="K117" s="17">
        <v>4.1</v>
      </c>
    </row>
    <row r="118">
      <c r="A118" s="7" t="s">
        <v>141</v>
      </c>
      <c r="B118" s="7" t="s">
        <v>71</v>
      </c>
      <c r="C118" s="8">
        <v>1299.0</v>
      </c>
      <c r="D118" s="8">
        <v>1999.0</v>
      </c>
      <c r="E118" s="9">
        <v>0.35</v>
      </c>
      <c r="F118" s="10">
        <v>3.6</v>
      </c>
      <c r="G118" s="10">
        <v>590.0</v>
      </c>
      <c r="K118" s="17">
        <v>3.6</v>
      </c>
    </row>
    <row r="119">
      <c r="A119" s="7" t="s">
        <v>142</v>
      </c>
      <c r="B119" s="7" t="s">
        <v>15</v>
      </c>
      <c r="C119" s="8">
        <v>347.0</v>
      </c>
      <c r="D119" s="8">
        <v>999.0</v>
      </c>
      <c r="E119" s="9">
        <v>0.65</v>
      </c>
      <c r="F119" s="10">
        <v>3.5</v>
      </c>
      <c r="G119" s="11">
        <v>1121.0</v>
      </c>
      <c r="K119" s="17">
        <v>3.5</v>
      </c>
    </row>
    <row r="120">
      <c r="A120" s="7" t="s">
        <v>143</v>
      </c>
      <c r="B120" s="7" t="s">
        <v>15</v>
      </c>
      <c r="C120" s="8">
        <v>149.0</v>
      </c>
      <c r="D120" s="8">
        <v>999.0</v>
      </c>
      <c r="E120" s="9">
        <v>0.85</v>
      </c>
      <c r="F120" s="10">
        <v>4.0</v>
      </c>
      <c r="G120" s="11">
        <v>1313.0</v>
      </c>
      <c r="K120" s="17">
        <v>4.0</v>
      </c>
    </row>
    <row r="121">
      <c r="A121" s="7" t="s">
        <v>144</v>
      </c>
      <c r="B121" s="7" t="s">
        <v>15</v>
      </c>
      <c r="C121" s="8">
        <v>228.0</v>
      </c>
      <c r="D121" s="8">
        <v>899.0</v>
      </c>
      <c r="E121" s="9">
        <v>0.75</v>
      </c>
      <c r="F121" s="10">
        <v>3.8</v>
      </c>
      <c r="G121" s="10">
        <v>132.0</v>
      </c>
      <c r="K121" s="17">
        <v>3.8</v>
      </c>
    </row>
    <row r="122">
      <c r="A122" s="7" t="s">
        <v>145</v>
      </c>
      <c r="B122" s="7" t="s">
        <v>15</v>
      </c>
      <c r="C122" s="8">
        <v>1599.0</v>
      </c>
      <c r="D122" s="8">
        <v>1999.0</v>
      </c>
      <c r="E122" s="9">
        <v>0.2</v>
      </c>
      <c r="F122" s="10">
        <v>4.4</v>
      </c>
      <c r="G122" s="11">
        <v>1951.0</v>
      </c>
      <c r="K122" s="17">
        <v>4.4</v>
      </c>
    </row>
    <row r="123">
      <c r="A123" s="7" t="s">
        <v>146</v>
      </c>
      <c r="B123" s="7" t="s">
        <v>71</v>
      </c>
      <c r="C123" s="8">
        <v>1499.0</v>
      </c>
      <c r="D123" s="8">
        <v>3999.0</v>
      </c>
      <c r="E123" s="9">
        <v>0.63</v>
      </c>
      <c r="F123" s="10">
        <v>3.7</v>
      </c>
      <c r="G123" s="10">
        <v>37.0</v>
      </c>
      <c r="K123" s="17">
        <v>3.7</v>
      </c>
    </row>
    <row r="124">
      <c r="A124" s="7" t="s">
        <v>147</v>
      </c>
      <c r="B124" s="7" t="s">
        <v>37</v>
      </c>
      <c r="C124" s="8">
        <v>8499.0</v>
      </c>
      <c r="D124" s="8">
        <v>15999.0</v>
      </c>
      <c r="E124" s="9">
        <v>0.47</v>
      </c>
      <c r="F124" s="10">
        <v>4.3</v>
      </c>
      <c r="G124" s="10">
        <v>592.0</v>
      </c>
      <c r="K124" s="17">
        <v>4.3</v>
      </c>
    </row>
    <row r="125">
      <c r="A125" s="7" t="s">
        <v>148</v>
      </c>
      <c r="B125" s="7" t="s">
        <v>37</v>
      </c>
      <c r="C125" s="8">
        <v>20990.0</v>
      </c>
      <c r="D125" s="8">
        <v>44990.0</v>
      </c>
      <c r="E125" s="9">
        <v>0.53</v>
      </c>
      <c r="F125" s="10">
        <v>4.1</v>
      </c>
      <c r="G125" s="11">
        <v>1259.0</v>
      </c>
      <c r="K125" s="17">
        <v>4.1</v>
      </c>
    </row>
    <row r="126">
      <c r="A126" s="7" t="s">
        <v>149</v>
      </c>
      <c r="B126" s="7" t="s">
        <v>37</v>
      </c>
      <c r="C126" s="8">
        <v>32999.0</v>
      </c>
      <c r="D126" s="8">
        <v>44999.0</v>
      </c>
      <c r="E126" s="9">
        <v>0.27</v>
      </c>
      <c r="F126" s="10">
        <v>4.2</v>
      </c>
      <c r="G126" s="11">
        <v>45238.0</v>
      </c>
      <c r="K126" s="17">
        <v>4.2</v>
      </c>
    </row>
    <row r="127">
      <c r="A127" s="7" t="s">
        <v>150</v>
      </c>
      <c r="B127" s="7" t="s">
        <v>31</v>
      </c>
      <c r="C127" s="8">
        <v>799.0</v>
      </c>
      <c r="D127" s="8">
        <v>1700.0</v>
      </c>
      <c r="E127" s="9">
        <v>0.53</v>
      </c>
      <c r="F127" s="10">
        <v>4.1</v>
      </c>
      <c r="G127" s="11">
        <v>28638.0</v>
      </c>
      <c r="K127" s="17">
        <v>4.1</v>
      </c>
    </row>
    <row r="128">
      <c r="A128" s="7" t="s">
        <v>151</v>
      </c>
      <c r="B128" s="7" t="s">
        <v>31</v>
      </c>
      <c r="C128" s="8">
        <v>229.0</v>
      </c>
      <c r="D128" s="8">
        <v>595.0</v>
      </c>
      <c r="E128" s="9">
        <v>0.62</v>
      </c>
      <c r="F128" s="10">
        <v>4.3</v>
      </c>
      <c r="G128" s="11">
        <v>12835.0</v>
      </c>
      <c r="K128" s="17">
        <v>4.3</v>
      </c>
    </row>
    <row r="129">
      <c r="A129" s="7" t="s">
        <v>152</v>
      </c>
      <c r="B129" s="7" t="s">
        <v>37</v>
      </c>
      <c r="C129" s="8">
        <v>9999.0</v>
      </c>
      <c r="D129" s="8">
        <v>27990.0</v>
      </c>
      <c r="E129" s="9">
        <v>0.64</v>
      </c>
      <c r="F129" s="10">
        <v>4.2</v>
      </c>
      <c r="G129" s="11">
        <v>1269.0</v>
      </c>
      <c r="K129" s="17">
        <v>4.2</v>
      </c>
    </row>
    <row r="130">
      <c r="A130" s="7" t="s">
        <v>153</v>
      </c>
      <c r="B130" s="7" t="s">
        <v>71</v>
      </c>
      <c r="C130" s="8">
        <v>349.0</v>
      </c>
      <c r="D130" s="8">
        <v>599.0</v>
      </c>
      <c r="E130" s="9">
        <v>0.42</v>
      </c>
      <c r="F130" s="10">
        <v>4.2</v>
      </c>
      <c r="G130" s="10">
        <v>284.0</v>
      </c>
      <c r="K130" s="17">
        <v>4.2</v>
      </c>
    </row>
    <row r="131">
      <c r="A131" s="7" t="s">
        <v>154</v>
      </c>
      <c r="B131" s="7" t="s">
        <v>155</v>
      </c>
      <c r="C131" s="8">
        <v>489.0</v>
      </c>
      <c r="D131" s="8">
        <v>1200.0</v>
      </c>
      <c r="E131" s="9">
        <v>0.59</v>
      </c>
      <c r="F131" s="10">
        <v>4.4</v>
      </c>
      <c r="G131" s="11">
        <v>69538.0</v>
      </c>
      <c r="K131" s="17">
        <v>4.4</v>
      </c>
    </row>
    <row r="132">
      <c r="A132" s="7" t="s">
        <v>156</v>
      </c>
      <c r="B132" s="7" t="s">
        <v>37</v>
      </c>
      <c r="C132" s="8">
        <v>23999.0</v>
      </c>
      <c r="D132" s="8">
        <v>34990.0</v>
      </c>
      <c r="E132" s="9">
        <v>0.31</v>
      </c>
      <c r="F132" s="10">
        <v>4.3</v>
      </c>
      <c r="G132" s="11">
        <v>4703.0</v>
      </c>
      <c r="K132" s="17">
        <v>4.3</v>
      </c>
    </row>
    <row r="133">
      <c r="A133" s="7" t="s">
        <v>157</v>
      </c>
      <c r="B133" s="7" t="s">
        <v>15</v>
      </c>
      <c r="C133" s="8">
        <v>399.0</v>
      </c>
      <c r="D133" s="8">
        <v>999.0</v>
      </c>
      <c r="E133" s="9">
        <v>0.6</v>
      </c>
      <c r="F133" s="10">
        <v>4.3</v>
      </c>
      <c r="G133" s="11">
        <v>2806.0</v>
      </c>
      <c r="K133" s="17">
        <v>4.3</v>
      </c>
    </row>
    <row r="134">
      <c r="A134" s="7" t="s">
        <v>158</v>
      </c>
      <c r="B134" s="7" t="s">
        <v>159</v>
      </c>
      <c r="C134" s="8">
        <v>349.0</v>
      </c>
      <c r="D134" s="8">
        <v>1299.0</v>
      </c>
      <c r="E134" s="9">
        <v>0.73</v>
      </c>
      <c r="F134" s="10">
        <v>4.0</v>
      </c>
      <c r="G134" s="11">
        <v>3295.0</v>
      </c>
      <c r="K134" s="17">
        <v>4.0</v>
      </c>
    </row>
    <row r="135">
      <c r="A135" s="7" t="s">
        <v>160</v>
      </c>
      <c r="B135" s="7" t="s">
        <v>15</v>
      </c>
      <c r="C135" s="8">
        <v>179.0</v>
      </c>
      <c r="D135" s="8">
        <v>299.0</v>
      </c>
      <c r="E135" s="9">
        <v>0.4</v>
      </c>
      <c r="F135" s="10">
        <v>3.9</v>
      </c>
      <c r="G135" s="10">
        <v>81.0</v>
      </c>
      <c r="K135" s="17">
        <v>3.9</v>
      </c>
    </row>
    <row r="136">
      <c r="A136" s="7" t="s">
        <v>161</v>
      </c>
      <c r="B136" s="7" t="s">
        <v>15</v>
      </c>
      <c r="C136" s="8">
        <v>689.0</v>
      </c>
      <c r="D136" s="8">
        <v>1500.0</v>
      </c>
      <c r="E136" s="9">
        <v>0.54</v>
      </c>
      <c r="F136" s="10">
        <v>4.2</v>
      </c>
      <c r="G136" s="11">
        <v>42301.0</v>
      </c>
      <c r="K136" s="17">
        <v>4.2</v>
      </c>
    </row>
    <row r="137">
      <c r="A137" s="7" t="s">
        <v>162</v>
      </c>
      <c r="B137" s="7" t="s">
        <v>37</v>
      </c>
      <c r="C137" s="8">
        <v>30990.0</v>
      </c>
      <c r="D137" s="8">
        <v>49990.0</v>
      </c>
      <c r="E137" s="9">
        <v>0.38</v>
      </c>
      <c r="F137" s="10">
        <v>4.3</v>
      </c>
      <c r="G137" s="11">
        <v>1376.0</v>
      </c>
      <c r="K137" s="17">
        <v>4.3</v>
      </c>
    </row>
    <row r="138">
      <c r="A138" s="7" t="s">
        <v>163</v>
      </c>
      <c r="B138" s="7" t="s">
        <v>15</v>
      </c>
      <c r="C138" s="8">
        <v>249.0</v>
      </c>
      <c r="D138" s="8">
        <v>931.0</v>
      </c>
      <c r="E138" s="9">
        <v>0.73</v>
      </c>
      <c r="F138" s="10">
        <v>3.9</v>
      </c>
      <c r="G138" s="11">
        <v>1075.0</v>
      </c>
      <c r="K138" s="17">
        <v>3.9</v>
      </c>
    </row>
    <row r="139">
      <c r="A139" s="7" t="s">
        <v>164</v>
      </c>
      <c r="B139" s="7" t="s">
        <v>31</v>
      </c>
      <c r="C139" s="8">
        <v>999.0</v>
      </c>
      <c r="D139" s="8">
        <v>2399.0</v>
      </c>
      <c r="E139" s="9">
        <v>0.58</v>
      </c>
      <c r="F139" s="10">
        <v>4.6</v>
      </c>
      <c r="G139" s="11">
        <v>3664.0</v>
      </c>
      <c r="K139" s="17">
        <v>4.6</v>
      </c>
    </row>
    <row r="140">
      <c r="A140" s="7" t="s">
        <v>165</v>
      </c>
      <c r="B140" s="7" t="s">
        <v>71</v>
      </c>
      <c r="C140" s="8">
        <v>399.0</v>
      </c>
      <c r="D140" s="8">
        <v>399.0</v>
      </c>
      <c r="E140" s="9">
        <v>0.0</v>
      </c>
      <c r="F140" s="10">
        <v>3.9</v>
      </c>
      <c r="G140" s="11">
        <v>1951.0</v>
      </c>
      <c r="K140" s="17">
        <v>3.9</v>
      </c>
    </row>
    <row r="141">
      <c r="A141" s="7" t="s">
        <v>166</v>
      </c>
      <c r="B141" s="7" t="s">
        <v>15</v>
      </c>
      <c r="C141" s="8">
        <v>349.0</v>
      </c>
      <c r="D141" s="8">
        <v>699.0</v>
      </c>
      <c r="E141" s="9">
        <v>0.5</v>
      </c>
      <c r="F141" s="10">
        <v>4.3</v>
      </c>
      <c r="G141" s="11">
        <v>20850.0</v>
      </c>
      <c r="K141" s="17">
        <v>4.3</v>
      </c>
    </row>
    <row r="142">
      <c r="A142" s="7" t="s">
        <v>167</v>
      </c>
      <c r="B142" s="7" t="s">
        <v>15</v>
      </c>
      <c r="C142" s="8">
        <v>399.0</v>
      </c>
      <c r="D142" s="8">
        <v>1099.0</v>
      </c>
      <c r="E142" s="9">
        <v>0.64</v>
      </c>
      <c r="F142" s="10">
        <v>4.1</v>
      </c>
      <c r="G142" s="11">
        <v>2685.0</v>
      </c>
      <c r="K142" s="17">
        <v>4.1</v>
      </c>
    </row>
    <row r="143">
      <c r="A143" s="7" t="s">
        <v>168</v>
      </c>
      <c r="B143" s="7" t="s">
        <v>25</v>
      </c>
      <c r="C143" s="8">
        <v>1699.0</v>
      </c>
      <c r="D143" s="8">
        <v>2999.0</v>
      </c>
      <c r="E143" s="9">
        <v>0.43</v>
      </c>
      <c r="F143" s="10">
        <v>4.4</v>
      </c>
      <c r="G143" s="11">
        <v>24780.0</v>
      </c>
      <c r="K143" s="17">
        <v>4.4</v>
      </c>
    </row>
    <row r="144">
      <c r="A144" s="7" t="s">
        <v>169</v>
      </c>
      <c r="B144" s="7" t="s">
        <v>71</v>
      </c>
      <c r="C144" s="8">
        <v>655.0</v>
      </c>
      <c r="D144" s="8">
        <v>1099.0</v>
      </c>
      <c r="E144" s="9">
        <v>0.4</v>
      </c>
      <c r="F144" s="10">
        <v>3.2</v>
      </c>
      <c r="G144" s="10">
        <v>285.0</v>
      </c>
      <c r="K144" s="17">
        <v>3.2</v>
      </c>
    </row>
    <row r="145">
      <c r="A145" s="7" t="s">
        <v>170</v>
      </c>
      <c r="B145" s="7" t="s">
        <v>25</v>
      </c>
      <c r="C145" s="8">
        <v>749.0</v>
      </c>
      <c r="D145" s="8">
        <v>1339.0</v>
      </c>
      <c r="E145" s="9">
        <v>0.44</v>
      </c>
      <c r="F145" s="10">
        <v>4.2</v>
      </c>
      <c r="G145" s="7" t="s">
        <v>171</v>
      </c>
      <c r="K145" s="17">
        <v>4.2</v>
      </c>
    </row>
    <row r="146">
      <c r="A146" s="7" t="s">
        <v>172</v>
      </c>
      <c r="B146" s="7" t="s">
        <v>37</v>
      </c>
      <c r="C146" s="8">
        <v>9999.0</v>
      </c>
      <c r="D146" s="8">
        <v>12999.0</v>
      </c>
      <c r="E146" s="9">
        <v>0.23</v>
      </c>
      <c r="F146" s="10">
        <v>4.2</v>
      </c>
      <c r="G146" s="11">
        <v>6088.0</v>
      </c>
      <c r="K146" s="17">
        <v>4.2</v>
      </c>
    </row>
    <row r="147">
      <c r="A147" s="7" t="s">
        <v>173</v>
      </c>
      <c r="B147" s="7" t="s">
        <v>71</v>
      </c>
      <c r="C147" s="8">
        <v>195.0</v>
      </c>
      <c r="D147" s="8">
        <v>499.0</v>
      </c>
      <c r="E147" s="9">
        <v>0.61</v>
      </c>
      <c r="F147" s="10">
        <v>3.7</v>
      </c>
      <c r="G147" s="11">
        <v>1383.0</v>
      </c>
      <c r="K147" s="17">
        <v>3.7</v>
      </c>
    </row>
    <row r="148">
      <c r="A148" s="7" t="s">
        <v>174</v>
      </c>
      <c r="B148" s="7" t="s">
        <v>15</v>
      </c>
      <c r="C148" s="8">
        <v>999.0</v>
      </c>
      <c r="D148" s="8">
        <v>2100.0</v>
      </c>
      <c r="E148" s="9">
        <v>0.52</v>
      </c>
      <c r="F148" s="10">
        <v>4.5</v>
      </c>
      <c r="G148" s="11">
        <v>5492.0</v>
      </c>
      <c r="K148" s="17">
        <v>4.5</v>
      </c>
    </row>
    <row r="149">
      <c r="A149" s="7" t="s">
        <v>175</v>
      </c>
      <c r="B149" s="7" t="s">
        <v>15</v>
      </c>
      <c r="C149" s="8">
        <v>499.0</v>
      </c>
      <c r="D149" s="8">
        <v>899.0</v>
      </c>
      <c r="E149" s="9">
        <v>0.44</v>
      </c>
      <c r="F149" s="10">
        <v>4.2</v>
      </c>
      <c r="G149" s="10">
        <v>919.0</v>
      </c>
      <c r="K149" s="17">
        <v>4.2</v>
      </c>
    </row>
    <row r="150">
      <c r="A150" s="7" t="s">
        <v>176</v>
      </c>
      <c r="B150" s="7" t="s">
        <v>177</v>
      </c>
      <c r="C150" s="8">
        <v>416.0</v>
      </c>
      <c r="D150" s="8">
        <v>599.0</v>
      </c>
      <c r="E150" s="9">
        <v>0.31</v>
      </c>
      <c r="F150" s="10">
        <v>4.2</v>
      </c>
      <c r="G150" s="11">
        <v>30023.0</v>
      </c>
      <c r="K150" s="17">
        <v>4.2</v>
      </c>
    </row>
    <row r="151">
      <c r="A151" s="7" t="s">
        <v>178</v>
      </c>
      <c r="B151" s="7" t="s">
        <v>15</v>
      </c>
      <c r="C151" s="8">
        <v>368.0</v>
      </c>
      <c r="D151" s="8">
        <v>699.0</v>
      </c>
      <c r="E151" s="9">
        <v>0.47</v>
      </c>
      <c r="F151" s="10">
        <v>4.2</v>
      </c>
      <c r="G151" s="10">
        <v>387.0</v>
      </c>
      <c r="K151" s="17">
        <v>4.2</v>
      </c>
    </row>
    <row r="152">
      <c r="A152" s="7" t="s">
        <v>179</v>
      </c>
      <c r="B152" s="7" t="s">
        <v>37</v>
      </c>
      <c r="C152" s="8">
        <v>29990.0</v>
      </c>
      <c r="D152" s="8">
        <v>65000.0</v>
      </c>
      <c r="E152" s="9">
        <v>0.54</v>
      </c>
      <c r="F152" s="10">
        <v>4.1</v>
      </c>
      <c r="G152" s="10">
        <v>211.0</v>
      </c>
      <c r="K152" s="17">
        <v>4.1</v>
      </c>
    </row>
    <row r="153">
      <c r="A153" s="7" t="s">
        <v>180</v>
      </c>
      <c r="B153" s="7" t="s">
        <v>15</v>
      </c>
      <c r="C153" s="8">
        <v>339.0</v>
      </c>
      <c r="D153" s="8">
        <v>1099.0</v>
      </c>
      <c r="E153" s="9">
        <v>0.69</v>
      </c>
      <c r="F153" s="10">
        <v>4.3</v>
      </c>
      <c r="G153" s="10">
        <v>974.0</v>
      </c>
      <c r="K153" s="17">
        <v>4.3</v>
      </c>
    </row>
    <row r="154">
      <c r="A154" s="7" t="s">
        <v>181</v>
      </c>
      <c r="B154" s="7" t="s">
        <v>37</v>
      </c>
      <c r="C154" s="8">
        <v>15490.0</v>
      </c>
      <c r="D154" s="8">
        <v>20900.0</v>
      </c>
      <c r="E154" s="9">
        <v>0.26</v>
      </c>
      <c r="F154" s="10">
        <v>4.3</v>
      </c>
      <c r="G154" s="11">
        <v>16299.0</v>
      </c>
      <c r="K154" s="17">
        <v>4.3</v>
      </c>
    </row>
    <row r="155">
      <c r="A155" s="7" t="s">
        <v>182</v>
      </c>
      <c r="B155" s="7" t="s">
        <v>15</v>
      </c>
      <c r="C155" s="8">
        <v>499.0</v>
      </c>
      <c r="D155" s="8">
        <v>1299.0</v>
      </c>
      <c r="E155" s="9">
        <v>0.62</v>
      </c>
      <c r="F155" s="10">
        <v>4.3</v>
      </c>
      <c r="G155" s="11">
        <v>30411.0</v>
      </c>
      <c r="K155" s="17">
        <v>4.3</v>
      </c>
    </row>
    <row r="156">
      <c r="A156" s="7" t="s">
        <v>183</v>
      </c>
      <c r="B156" s="7" t="s">
        <v>25</v>
      </c>
      <c r="C156" s="8">
        <v>249.0</v>
      </c>
      <c r="D156" s="8">
        <v>399.0</v>
      </c>
      <c r="E156" s="9">
        <v>0.38</v>
      </c>
      <c r="F156" s="10">
        <v>3.4</v>
      </c>
      <c r="G156" s="11">
        <v>4642.0</v>
      </c>
      <c r="K156" s="17">
        <v>3.4</v>
      </c>
    </row>
    <row r="157">
      <c r="A157" s="7" t="s">
        <v>184</v>
      </c>
      <c r="B157" s="7" t="s">
        <v>71</v>
      </c>
      <c r="C157" s="8">
        <v>399.0</v>
      </c>
      <c r="D157" s="8">
        <v>799.0</v>
      </c>
      <c r="E157" s="9">
        <v>0.5</v>
      </c>
      <c r="F157" s="10">
        <v>4.3</v>
      </c>
      <c r="G157" s="10">
        <v>12.0</v>
      </c>
      <c r="K157" s="17">
        <v>4.3</v>
      </c>
    </row>
    <row r="158">
      <c r="A158" s="7" t="s">
        <v>185</v>
      </c>
      <c r="B158" s="7" t="s">
        <v>15</v>
      </c>
      <c r="C158" s="8">
        <v>1499.0</v>
      </c>
      <c r="D158" s="8">
        <v>1999.0</v>
      </c>
      <c r="E158" s="9">
        <v>0.25</v>
      </c>
      <c r="F158" s="10">
        <v>4.4</v>
      </c>
      <c r="G158" s="11">
        <v>1951.0</v>
      </c>
      <c r="K158" s="17">
        <v>4.4</v>
      </c>
    </row>
    <row r="159">
      <c r="A159" s="7" t="s">
        <v>186</v>
      </c>
      <c r="B159" s="7" t="s">
        <v>187</v>
      </c>
      <c r="C159" s="8">
        <v>9490.0</v>
      </c>
      <c r="D159" s="8">
        <v>15990.0</v>
      </c>
      <c r="E159" s="9">
        <v>0.41</v>
      </c>
      <c r="F159" s="10">
        <v>3.9</v>
      </c>
      <c r="G159" s="11">
        <v>10480.0</v>
      </c>
      <c r="K159" s="17">
        <v>3.9</v>
      </c>
    </row>
    <row r="160">
      <c r="A160" s="7" t="s">
        <v>188</v>
      </c>
      <c r="B160" s="7" t="s">
        <v>31</v>
      </c>
      <c r="C160" s="8">
        <v>637.0</v>
      </c>
      <c r="D160" s="8">
        <v>1499.0</v>
      </c>
      <c r="E160" s="9">
        <v>0.58</v>
      </c>
      <c r="F160" s="10">
        <v>4.1</v>
      </c>
      <c r="G160" s="10">
        <v>24.0</v>
      </c>
      <c r="K160" s="17">
        <v>4.1</v>
      </c>
    </row>
    <row r="161">
      <c r="A161" s="7" t="s">
        <v>189</v>
      </c>
      <c r="B161" s="7" t="s">
        <v>71</v>
      </c>
      <c r="C161" s="8">
        <v>399.0</v>
      </c>
      <c r="D161" s="8">
        <v>899.0</v>
      </c>
      <c r="E161" s="9">
        <v>0.56</v>
      </c>
      <c r="F161" s="10">
        <v>3.9</v>
      </c>
      <c r="G161" s="10">
        <v>254.0</v>
      </c>
      <c r="K161" s="17">
        <v>3.9</v>
      </c>
    </row>
    <row r="162">
      <c r="A162" s="7" t="s">
        <v>190</v>
      </c>
      <c r="B162" s="7" t="s">
        <v>177</v>
      </c>
      <c r="C162" s="8">
        <v>1089.0</v>
      </c>
      <c r="D162" s="8">
        <v>1600.0</v>
      </c>
      <c r="E162" s="9">
        <v>0.32</v>
      </c>
      <c r="F162" s="10">
        <v>4.0</v>
      </c>
      <c r="G162" s="11">
        <v>3565.0</v>
      </c>
      <c r="K162" s="17">
        <v>4.0</v>
      </c>
    </row>
    <row r="163">
      <c r="A163" s="7" t="s">
        <v>191</v>
      </c>
      <c r="B163" s="7" t="s">
        <v>15</v>
      </c>
      <c r="C163" s="8">
        <v>339.0</v>
      </c>
      <c r="D163" s="8">
        <v>999.0</v>
      </c>
      <c r="E163" s="9">
        <v>0.66</v>
      </c>
      <c r="F163" s="10">
        <v>4.3</v>
      </c>
      <c r="G163" s="11">
        <v>6255.0</v>
      </c>
      <c r="K163" s="17">
        <v>4.3</v>
      </c>
    </row>
    <row r="164">
      <c r="A164" s="7" t="s">
        <v>192</v>
      </c>
      <c r="B164" s="7" t="s">
        <v>15</v>
      </c>
      <c r="C164" s="8">
        <v>149.0</v>
      </c>
      <c r="D164" s="8">
        <v>499.0</v>
      </c>
      <c r="E164" s="9">
        <v>0.7</v>
      </c>
      <c r="F164" s="10">
        <v>4.0</v>
      </c>
      <c r="G164" s="11">
        <v>7732.0</v>
      </c>
      <c r="K164" s="17">
        <v>4.0</v>
      </c>
    </row>
    <row r="165">
      <c r="A165" s="7" t="s">
        <v>193</v>
      </c>
      <c r="B165" s="7" t="s">
        <v>15</v>
      </c>
      <c r="C165" s="8">
        <v>149.0</v>
      </c>
      <c r="D165" s="8">
        <v>399.0</v>
      </c>
      <c r="E165" s="9">
        <v>0.63</v>
      </c>
      <c r="F165" s="10">
        <v>3.9</v>
      </c>
      <c r="G165" s="10">
        <v>57.0</v>
      </c>
      <c r="K165" s="17">
        <v>3.9</v>
      </c>
    </row>
    <row r="166">
      <c r="A166" s="7" t="s">
        <v>194</v>
      </c>
      <c r="B166" s="7" t="s">
        <v>15</v>
      </c>
      <c r="C166" s="8">
        <v>599.0</v>
      </c>
      <c r="D166" s="8">
        <v>849.0</v>
      </c>
      <c r="E166" s="9">
        <v>0.29</v>
      </c>
      <c r="F166" s="10">
        <v>4.5</v>
      </c>
      <c r="G166" s="10">
        <v>577.0</v>
      </c>
      <c r="K166" s="17">
        <v>4.5</v>
      </c>
    </row>
    <row r="167">
      <c r="A167" s="7" t="s">
        <v>195</v>
      </c>
      <c r="B167" s="7" t="s">
        <v>71</v>
      </c>
      <c r="C167" s="8">
        <v>299.0</v>
      </c>
      <c r="D167" s="8">
        <v>1199.0</v>
      </c>
      <c r="E167" s="9">
        <v>0.75</v>
      </c>
      <c r="F167" s="10">
        <v>3.9</v>
      </c>
      <c r="G167" s="11">
        <v>1193.0</v>
      </c>
      <c r="K167" s="17">
        <v>3.9</v>
      </c>
    </row>
    <row r="168">
      <c r="A168" s="7" t="s">
        <v>196</v>
      </c>
      <c r="B168" s="7" t="s">
        <v>15</v>
      </c>
      <c r="C168" s="8">
        <v>399.0</v>
      </c>
      <c r="D168" s="8">
        <v>1299.0</v>
      </c>
      <c r="E168" s="9">
        <v>0.69</v>
      </c>
      <c r="F168" s="10">
        <v>4.2</v>
      </c>
      <c r="G168" s="11">
        <v>13120.0</v>
      </c>
      <c r="K168" s="17">
        <v>4.2</v>
      </c>
    </row>
    <row r="169">
      <c r="A169" s="7" t="s">
        <v>197</v>
      </c>
      <c r="B169" s="7" t="s">
        <v>71</v>
      </c>
      <c r="C169" s="8">
        <v>339.0</v>
      </c>
      <c r="D169" s="8">
        <v>1999.0</v>
      </c>
      <c r="E169" s="9">
        <v>0.83</v>
      </c>
      <c r="F169" s="10">
        <v>4.0</v>
      </c>
      <c r="G169" s="10">
        <v>343.0</v>
      </c>
      <c r="K169" s="17">
        <v>4.0</v>
      </c>
    </row>
    <row r="170">
      <c r="A170" s="7" t="s">
        <v>198</v>
      </c>
      <c r="B170" s="7" t="s">
        <v>37</v>
      </c>
      <c r="C170" s="8">
        <v>12499.0</v>
      </c>
      <c r="D170" s="8">
        <v>22990.0</v>
      </c>
      <c r="E170" s="9">
        <v>0.46</v>
      </c>
      <c r="F170" s="10">
        <v>4.3</v>
      </c>
      <c r="G170" s="11">
        <v>1611.0</v>
      </c>
      <c r="K170" s="17">
        <v>4.3</v>
      </c>
    </row>
    <row r="171">
      <c r="A171" s="7" t="s">
        <v>199</v>
      </c>
      <c r="B171" s="7" t="s">
        <v>15</v>
      </c>
      <c r="C171" s="8">
        <v>249.0</v>
      </c>
      <c r="D171" s="8">
        <v>399.0</v>
      </c>
      <c r="E171" s="9">
        <v>0.38</v>
      </c>
      <c r="F171" s="10">
        <v>4.0</v>
      </c>
      <c r="G171" s="11">
        <v>6558.0</v>
      </c>
      <c r="K171" s="17">
        <v>4.0</v>
      </c>
    </row>
    <row r="172">
      <c r="A172" s="7" t="s">
        <v>200</v>
      </c>
      <c r="B172" s="7" t="s">
        <v>25</v>
      </c>
      <c r="C172" s="8">
        <v>1399.0</v>
      </c>
      <c r="D172" s="8">
        <v>2499.0</v>
      </c>
      <c r="E172" s="9">
        <v>0.44</v>
      </c>
      <c r="F172" s="10">
        <v>4.4</v>
      </c>
      <c r="G172" s="11">
        <v>23169.0</v>
      </c>
      <c r="K172" s="17">
        <v>4.4</v>
      </c>
    </row>
    <row r="173">
      <c r="A173" s="7" t="s">
        <v>201</v>
      </c>
      <c r="B173" s="7" t="s">
        <v>37</v>
      </c>
      <c r="C173" s="8">
        <v>32999.0</v>
      </c>
      <c r="D173" s="8">
        <v>47990.0</v>
      </c>
      <c r="E173" s="9">
        <v>0.31</v>
      </c>
      <c r="F173" s="10">
        <v>4.3</v>
      </c>
      <c r="G173" s="11">
        <v>4703.0</v>
      </c>
      <c r="K173" s="17">
        <v>4.3</v>
      </c>
    </row>
    <row r="174">
      <c r="A174" s="7" t="s">
        <v>202</v>
      </c>
      <c r="B174" s="7" t="s">
        <v>15</v>
      </c>
      <c r="C174" s="8">
        <v>149.0</v>
      </c>
      <c r="D174" s="8">
        <v>399.0</v>
      </c>
      <c r="E174" s="9">
        <v>0.63</v>
      </c>
      <c r="F174" s="10">
        <v>4.0</v>
      </c>
      <c r="G174" s="11">
        <v>1423.0</v>
      </c>
      <c r="K174" s="17">
        <v>4.0</v>
      </c>
    </row>
    <row r="175">
      <c r="A175" s="7" t="s">
        <v>203</v>
      </c>
      <c r="B175" s="7" t="s">
        <v>15</v>
      </c>
      <c r="C175" s="8">
        <v>325.0</v>
      </c>
      <c r="D175" s="8">
        <v>999.0</v>
      </c>
      <c r="E175" s="9">
        <v>0.67</v>
      </c>
      <c r="F175" s="10">
        <v>4.3</v>
      </c>
      <c r="G175" s="11">
        <v>2651.0</v>
      </c>
      <c r="K175" s="17">
        <v>4.3</v>
      </c>
    </row>
    <row r="176">
      <c r="A176" s="7" t="s">
        <v>204</v>
      </c>
      <c r="B176" s="7" t="s">
        <v>15</v>
      </c>
      <c r="C176" s="8">
        <v>399.0</v>
      </c>
      <c r="D176" s="8">
        <v>1999.0</v>
      </c>
      <c r="E176" s="9">
        <v>0.8</v>
      </c>
      <c r="F176" s="10">
        <v>5.0</v>
      </c>
      <c r="G176" s="10">
        <v>5.0</v>
      </c>
      <c r="K176" s="17">
        <v>5.0</v>
      </c>
    </row>
    <row r="177">
      <c r="A177" s="7" t="s">
        <v>205</v>
      </c>
      <c r="B177" s="7" t="s">
        <v>25</v>
      </c>
      <c r="C177" s="8">
        <v>199.0</v>
      </c>
      <c r="D177" s="8">
        <v>499.0</v>
      </c>
      <c r="E177" s="9">
        <v>0.6</v>
      </c>
      <c r="F177" s="10">
        <v>3.7</v>
      </c>
      <c r="G177" s="10">
        <v>612.0</v>
      </c>
      <c r="K177" s="17">
        <v>3.7</v>
      </c>
    </row>
    <row r="178">
      <c r="A178" s="7" t="s">
        <v>206</v>
      </c>
      <c r="B178" s="7" t="s">
        <v>15</v>
      </c>
      <c r="C178" s="8">
        <v>88.0</v>
      </c>
      <c r="D178" s="8">
        <v>299.0</v>
      </c>
      <c r="E178" s="9">
        <v>0.71</v>
      </c>
      <c r="F178" s="10">
        <v>4.0</v>
      </c>
      <c r="G178" s="11">
        <v>9378.0</v>
      </c>
      <c r="K178" s="17">
        <v>4.0</v>
      </c>
    </row>
    <row r="179">
      <c r="A179" s="7" t="s">
        <v>207</v>
      </c>
      <c r="B179" s="7" t="s">
        <v>15</v>
      </c>
      <c r="C179" s="8">
        <v>399.0</v>
      </c>
      <c r="D179" s="8">
        <v>1099.0</v>
      </c>
      <c r="E179" s="9">
        <v>0.64</v>
      </c>
      <c r="F179" s="10">
        <v>4.1</v>
      </c>
      <c r="G179" s="11">
        <v>2685.0</v>
      </c>
      <c r="K179" s="17">
        <v>4.1</v>
      </c>
    </row>
    <row r="180">
      <c r="A180" s="7" t="s">
        <v>208</v>
      </c>
      <c r="B180" s="7" t="s">
        <v>15</v>
      </c>
      <c r="C180" s="8">
        <v>57.89</v>
      </c>
      <c r="D180" s="8">
        <v>199.0</v>
      </c>
      <c r="E180" s="9">
        <v>0.71</v>
      </c>
      <c r="F180" s="10">
        <v>4.0</v>
      </c>
      <c r="G180" s="11">
        <v>9378.0</v>
      </c>
      <c r="K180" s="17">
        <v>4.0</v>
      </c>
    </row>
    <row r="181">
      <c r="A181" s="7" t="s">
        <v>209</v>
      </c>
      <c r="B181" s="7" t="s">
        <v>71</v>
      </c>
      <c r="C181" s="8">
        <v>799.0</v>
      </c>
      <c r="D181" s="8">
        <v>1999.0</v>
      </c>
      <c r="E181" s="9">
        <v>0.6</v>
      </c>
      <c r="F181" s="10">
        <v>3.3</v>
      </c>
      <c r="G181" s="10">
        <v>576.0</v>
      </c>
      <c r="K181" s="17">
        <v>3.3</v>
      </c>
    </row>
    <row r="182">
      <c r="A182" s="7" t="s">
        <v>210</v>
      </c>
      <c r="B182" s="7" t="s">
        <v>71</v>
      </c>
      <c r="C182" s="8">
        <v>205.0</v>
      </c>
      <c r="D182" s="8">
        <v>499.0</v>
      </c>
      <c r="E182" s="9">
        <v>0.59</v>
      </c>
      <c r="F182" s="10">
        <v>3.8</v>
      </c>
      <c r="G182" s="10">
        <v>313.0</v>
      </c>
      <c r="K182" s="17">
        <v>3.8</v>
      </c>
    </row>
    <row r="183">
      <c r="A183" s="7" t="s">
        <v>211</v>
      </c>
      <c r="B183" s="7" t="s">
        <v>15</v>
      </c>
      <c r="C183" s="8">
        <v>299.0</v>
      </c>
      <c r="D183" s="8">
        <v>699.0</v>
      </c>
      <c r="E183" s="9">
        <v>0.57</v>
      </c>
      <c r="F183" s="10">
        <v>4.1</v>
      </c>
      <c r="G183" s="11">
        <v>2957.0</v>
      </c>
      <c r="K183" s="17">
        <v>4.1</v>
      </c>
    </row>
    <row r="184">
      <c r="A184" s="7" t="s">
        <v>212</v>
      </c>
      <c r="B184" s="7" t="s">
        <v>15</v>
      </c>
      <c r="C184" s="8">
        <v>849.0</v>
      </c>
      <c r="D184" s="8">
        <v>999.0</v>
      </c>
      <c r="E184" s="9">
        <v>0.15</v>
      </c>
      <c r="F184" s="10">
        <v>4.1</v>
      </c>
      <c r="G184" s="11">
        <v>6736.0</v>
      </c>
      <c r="K184" s="17">
        <v>4.1</v>
      </c>
    </row>
    <row r="185">
      <c r="A185" s="7" t="s">
        <v>213</v>
      </c>
      <c r="B185" s="7" t="s">
        <v>15</v>
      </c>
      <c r="C185" s="8">
        <v>949.0</v>
      </c>
      <c r="D185" s="8">
        <v>1999.0</v>
      </c>
      <c r="E185" s="9">
        <v>0.53</v>
      </c>
      <c r="F185" s="10">
        <v>4.4</v>
      </c>
      <c r="G185" s="11">
        <v>13552.0</v>
      </c>
      <c r="K185" s="17">
        <v>4.4</v>
      </c>
    </row>
    <row r="186">
      <c r="A186" s="7" t="s">
        <v>214</v>
      </c>
      <c r="B186" s="7" t="s">
        <v>15</v>
      </c>
      <c r="C186" s="8">
        <v>499.0</v>
      </c>
      <c r="D186" s="8">
        <v>1200.0</v>
      </c>
      <c r="E186" s="9">
        <v>0.58</v>
      </c>
      <c r="F186" s="10">
        <v>4.3</v>
      </c>
      <c r="G186" s="11">
        <v>5451.0</v>
      </c>
      <c r="K186" s="17">
        <v>4.3</v>
      </c>
    </row>
    <row r="187">
      <c r="A187" s="7" t="s">
        <v>215</v>
      </c>
      <c r="B187" s="7" t="s">
        <v>15</v>
      </c>
      <c r="C187" s="8">
        <v>299.0</v>
      </c>
      <c r="D187" s="8">
        <v>485.0</v>
      </c>
      <c r="E187" s="9">
        <v>0.38</v>
      </c>
      <c r="F187" s="10">
        <v>4.3</v>
      </c>
      <c r="G187" s="11">
        <v>10911.0</v>
      </c>
      <c r="K187" s="17">
        <v>4.3</v>
      </c>
    </row>
    <row r="188">
      <c r="A188" s="7" t="s">
        <v>216</v>
      </c>
      <c r="B188" s="7" t="s">
        <v>15</v>
      </c>
      <c r="C188" s="8">
        <v>949.0</v>
      </c>
      <c r="D188" s="8">
        <v>1999.0</v>
      </c>
      <c r="E188" s="9">
        <v>0.53</v>
      </c>
      <c r="F188" s="10">
        <v>4.4</v>
      </c>
      <c r="G188" s="11">
        <v>13552.0</v>
      </c>
      <c r="K188" s="17">
        <v>4.4</v>
      </c>
    </row>
    <row r="189">
      <c r="A189" s="7" t="s">
        <v>217</v>
      </c>
      <c r="B189" s="7" t="s">
        <v>15</v>
      </c>
      <c r="C189" s="8">
        <v>379.0</v>
      </c>
      <c r="D189" s="8">
        <v>1099.0</v>
      </c>
      <c r="E189" s="9">
        <v>0.66</v>
      </c>
      <c r="F189" s="10">
        <v>4.3</v>
      </c>
      <c r="G189" s="11">
        <v>2806.0</v>
      </c>
      <c r="K189" s="17">
        <v>4.3</v>
      </c>
    </row>
    <row r="190">
      <c r="A190" s="7" t="s">
        <v>218</v>
      </c>
      <c r="B190" s="7" t="s">
        <v>37</v>
      </c>
      <c r="C190" s="8">
        <v>8990.0</v>
      </c>
      <c r="D190" s="8">
        <v>18990.0</v>
      </c>
      <c r="E190" s="9">
        <v>0.53</v>
      </c>
      <c r="F190" s="10">
        <v>3.9</v>
      </c>
      <c r="G190" s="10">
        <v>350.0</v>
      </c>
      <c r="K190" s="17">
        <v>3.9</v>
      </c>
    </row>
    <row r="191">
      <c r="A191" s="7" t="s">
        <v>219</v>
      </c>
      <c r="B191" s="7" t="s">
        <v>177</v>
      </c>
      <c r="C191" s="8">
        <v>486.0</v>
      </c>
      <c r="D191" s="8">
        <v>1999.0</v>
      </c>
      <c r="E191" s="9">
        <v>0.76</v>
      </c>
      <c r="F191" s="10">
        <v>4.2</v>
      </c>
      <c r="G191" s="11">
        <v>30023.0</v>
      </c>
      <c r="K191" s="17">
        <v>4.2</v>
      </c>
    </row>
    <row r="192">
      <c r="A192" s="7" t="s">
        <v>220</v>
      </c>
      <c r="B192" s="7" t="s">
        <v>77</v>
      </c>
      <c r="C192" s="8">
        <v>5699.0</v>
      </c>
      <c r="D192" s="8">
        <v>11000.0</v>
      </c>
      <c r="E192" s="9">
        <v>0.48</v>
      </c>
      <c r="F192" s="10">
        <v>4.2</v>
      </c>
      <c r="G192" s="11">
        <v>4003.0</v>
      </c>
      <c r="K192" s="17">
        <v>4.2</v>
      </c>
    </row>
    <row r="193">
      <c r="A193" s="7" t="s">
        <v>221</v>
      </c>
      <c r="B193" s="7" t="s">
        <v>15</v>
      </c>
      <c r="C193" s="8">
        <v>709.0</v>
      </c>
      <c r="D193" s="8">
        <v>1999.0</v>
      </c>
      <c r="E193" s="9">
        <v>0.65</v>
      </c>
      <c r="F193" s="10">
        <v>4.1</v>
      </c>
      <c r="G193" s="7" t="s">
        <v>222</v>
      </c>
      <c r="K193" s="17">
        <v>4.1</v>
      </c>
    </row>
    <row r="194">
      <c r="A194" s="7" t="s">
        <v>223</v>
      </c>
      <c r="B194" s="7" t="s">
        <v>37</v>
      </c>
      <c r="C194" s="8">
        <v>47990.0</v>
      </c>
      <c r="D194" s="8">
        <v>70900.0</v>
      </c>
      <c r="E194" s="9">
        <v>0.32</v>
      </c>
      <c r="F194" s="10">
        <v>4.3</v>
      </c>
      <c r="G194" s="11">
        <v>7109.0</v>
      </c>
      <c r="K194" s="17">
        <v>4.3</v>
      </c>
    </row>
    <row r="195">
      <c r="A195" s="7" t="s">
        <v>224</v>
      </c>
      <c r="B195" s="7" t="s">
        <v>71</v>
      </c>
      <c r="C195" s="8">
        <v>299.0</v>
      </c>
      <c r="D195" s="8">
        <v>1199.0</v>
      </c>
      <c r="E195" s="9">
        <v>0.75</v>
      </c>
      <c r="F195" s="10">
        <v>3.7</v>
      </c>
      <c r="G195" s="10">
        <v>490.0</v>
      </c>
      <c r="K195" s="17">
        <v>3.7</v>
      </c>
    </row>
    <row r="196">
      <c r="A196" s="7" t="s">
        <v>225</v>
      </c>
      <c r="B196" s="7" t="s">
        <v>15</v>
      </c>
      <c r="C196" s="8">
        <v>320.0</v>
      </c>
      <c r="D196" s="8">
        <v>599.0</v>
      </c>
      <c r="E196" s="9">
        <v>0.47</v>
      </c>
      <c r="F196" s="10">
        <v>4.1</v>
      </c>
      <c r="G196" s="10">
        <v>491.0</v>
      </c>
      <c r="K196" s="17">
        <v>4.1</v>
      </c>
    </row>
    <row r="197">
      <c r="A197" s="7" t="s">
        <v>226</v>
      </c>
      <c r="B197" s="7" t="s">
        <v>15</v>
      </c>
      <c r="C197" s="8">
        <v>139.0</v>
      </c>
      <c r="D197" s="8">
        <v>549.0</v>
      </c>
      <c r="E197" s="9">
        <v>0.75</v>
      </c>
      <c r="F197" s="10">
        <v>3.9</v>
      </c>
      <c r="G197" s="10">
        <v>61.0</v>
      </c>
      <c r="K197" s="17">
        <v>3.9</v>
      </c>
    </row>
    <row r="198">
      <c r="A198" s="7" t="s">
        <v>227</v>
      </c>
      <c r="B198" s="7" t="s">
        <v>15</v>
      </c>
      <c r="C198" s="8">
        <v>129.0</v>
      </c>
      <c r="D198" s="8">
        <v>249.0</v>
      </c>
      <c r="E198" s="9">
        <v>0.48</v>
      </c>
      <c r="F198" s="10">
        <v>4.0</v>
      </c>
      <c r="G198" s="11">
        <v>9378.0</v>
      </c>
      <c r="K198" s="17">
        <v>4.0</v>
      </c>
    </row>
    <row r="199">
      <c r="A199" s="7" t="s">
        <v>228</v>
      </c>
      <c r="B199" s="7" t="s">
        <v>37</v>
      </c>
      <c r="C199" s="8">
        <v>24999.0</v>
      </c>
      <c r="D199" s="8">
        <v>35999.0</v>
      </c>
      <c r="E199" s="9">
        <v>0.31</v>
      </c>
      <c r="F199" s="10">
        <v>4.2</v>
      </c>
      <c r="G199" s="11">
        <v>32840.0</v>
      </c>
      <c r="K199" s="17">
        <v>4.2</v>
      </c>
    </row>
    <row r="200">
      <c r="A200" s="7" t="s">
        <v>229</v>
      </c>
      <c r="B200" s="7" t="s">
        <v>15</v>
      </c>
      <c r="C200" s="8">
        <v>999.0</v>
      </c>
      <c r="D200" s="8">
        <v>1699.0</v>
      </c>
      <c r="E200" s="9">
        <v>0.41</v>
      </c>
      <c r="F200" s="10">
        <v>4.4</v>
      </c>
      <c r="G200" s="11">
        <v>7318.0</v>
      </c>
      <c r="K200" s="17">
        <v>4.4</v>
      </c>
    </row>
    <row r="201">
      <c r="A201" s="7" t="s">
        <v>230</v>
      </c>
      <c r="B201" s="7" t="s">
        <v>15</v>
      </c>
      <c r="C201" s="8">
        <v>225.0</v>
      </c>
      <c r="D201" s="8">
        <v>499.0</v>
      </c>
      <c r="E201" s="9">
        <v>0.55</v>
      </c>
      <c r="F201" s="10">
        <v>4.1</v>
      </c>
      <c r="G201" s="10">
        <v>789.0</v>
      </c>
      <c r="K201" s="17">
        <v>4.1</v>
      </c>
    </row>
    <row r="202">
      <c r="A202" s="7" t="s">
        <v>231</v>
      </c>
      <c r="B202" s="7" t="s">
        <v>71</v>
      </c>
      <c r="C202" s="8">
        <v>547.0</v>
      </c>
      <c r="D202" s="8">
        <v>2999.0</v>
      </c>
      <c r="E202" s="9">
        <v>0.82</v>
      </c>
      <c r="F202" s="10">
        <v>4.3</v>
      </c>
      <c r="G202" s="10">
        <v>407.0</v>
      </c>
      <c r="K202" s="17">
        <v>4.3</v>
      </c>
    </row>
    <row r="203">
      <c r="A203" s="7" t="s">
        <v>232</v>
      </c>
      <c r="B203" s="7" t="s">
        <v>15</v>
      </c>
      <c r="C203" s="8">
        <v>259.0</v>
      </c>
      <c r="D203" s="8">
        <v>699.0</v>
      </c>
      <c r="E203" s="9">
        <v>0.63</v>
      </c>
      <c r="F203" s="10">
        <v>3.8</v>
      </c>
      <c r="G203" s="11">
        <v>2399.0</v>
      </c>
      <c r="K203" s="17">
        <v>3.8</v>
      </c>
    </row>
    <row r="204">
      <c r="A204" s="7" t="s">
        <v>233</v>
      </c>
      <c r="B204" s="7" t="s">
        <v>71</v>
      </c>
      <c r="C204" s="8">
        <v>239.0</v>
      </c>
      <c r="D204" s="8">
        <v>699.0</v>
      </c>
      <c r="E204" s="9">
        <v>0.66</v>
      </c>
      <c r="F204" s="10">
        <v>4.4</v>
      </c>
      <c r="G204" s="11">
        <v>2640.0</v>
      </c>
      <c r="K204" s="17">
        <v>4.4</v>
      </c>
    </row>
    <row r="205">
      <c r="A205" s="7" t="s">
        <v>234</v>
      </c>
      <c r="B205" s="7" t="s">
        <v>71</v>
      </c>
      <c r="C205" s="8">
        <v>349.0</v>
      </c>
      <c r="D205" s="8">
        <v>999.0</v>
      </c>
      <c r="E205" s="9">
        <v>0.65</v>
      </c>
      <c r="F205" s="10">
        <v>4.0</v>
      </c>
      <c r="G205" s="10">
        <v>839.0</v>
      </c>
      <c r="K205" s="17">
        <v>4.0</v>
      </c>
    </row>
    <row r="206">
      <c r="A206" s="7" t="s">
        <v>235</v>
      </c>
      <c r="B206" s="7" t="s">
        <v>31</v>
      </c>
      <c r="C206" s="8">
        <v>467.0</v>
      </c>
      <c r="D206" s="8">
        <v>599.0</v>
      </c>
      <c r="E206" s="9">
        <v>0.22</v>
      </c>
      <c r="F206" s="10">
        <v>4.4</v>
      </c>
      <c r="G206" s="11">
        <v>44054.0</v>
      </c>
      <c r="K206" s="17">
        <v>4.4</v>
      </c>
    </row>
    <row r="207">
      <c r="A207" s="7" t="s">
        <v>236</v>
      </c>
      <c r="B207" s="7" t="s">
        <v>15</v>
      </c>
      <c r="C207" s="8">
        <v>449.0</v>
      </c>
      <c r="D207" s="8">
        <v>599.0</v>
      </c>
      <c r="E207" s="9">
        <v>0.25</v>
      </c>
      <c r="F207" s="10">
        <v>4.0</v>
      </c>
      <c r="G207" s="11">
        <v>3231.0</v>
      </c>
      <c r="K207" s="17">
        <v>4.0</v>
      </c>
    </row>
    <row r="208">
      <c r="A208" s="7" t="s">
        <v>237</v>
      </c>
      <c r="B208" s="7" t="s">
        <v>37</v>
      </c>
      <c r="C208" s="8">
        <v>11990.0</v>
      </c>
      <c r="D208" s="8">
        <v>31990.0</v>
      </c>
      <c r="E208" s="9">
        <v>0.63</v>
      </c>
      <c r="F208" s="10">
        <v>4.2</v>
      </c>
      <c r="G208" s="10">
        <v>64.0</v>
      </c>
      <c r="K208" s="17">
        <v>4.2</v>
      </c>
    </row>
    <row r="209">
      <c r="A209" s="7" t="s">
        <v>238</v>
      </c>
      <c r="B209" s="7" t="s">
        <v>15</v>
      </c>
      <c r="C209" s="8">
        <v>350.0</v>
      </c>
      <c r="D209" s="8">
        <v>599.0</v>
      </c>
      <c r="E209" s="9">
        <v>0.42</v>
      </c>
      <c r="F209" s="10">
        <v>3.9</v>
      </c>
      <c r="G209" s="11">
        <v>8314.0</v>
      </c>
      <c r="K209" s="17">
        <v>3.9</v>
      </c>
    </row>
    <row r="210">
      <c r="A210" s="7" t="s">
        <v>239</v>
      </c>
      <c r="B210" s="7" t="s">
        <v>15</v>
      </c>
      <c r="C210" s="8">
        <v>252.0</v>
      </c>
      <c r="D210" s="8">
        <v>999.0</v>
      </c>
      <c r="E210" s="9">
        <v>0.75</v>
      </c>
      <c r="F210" s="10">
        <v>3.7</v>
      </c>
      <c r="G210" s="11">
        <v>2249.0</v>
      </c>
      <c r="K210" s="17">
        <v>3.7</v>
      </c>
    </row>
    <row r="211">
      <c r="A211" s="7" t="s">
        <v>240</v>
      </c>
      <c r="B211" s="7" t="s">
        <v>71</v>
      </c>
      <c r="C211" s="8">
        <v>204.0</v>
      </c>
      <c r="D211" s="8">
        <v>599.0</v>
      </c>
      <c r="E211" s="9">
        <v>0.66</v>
      </c>
      <c r="F211" s="10">
        <v>3.6</v>
      </c>
      <c r="G211" s="10">
        <v>339.0</v>
      </c>
      <c r="K211" s="17">
        <v>3.6</v>
      </c>
    </row>
    <row r="212">
      <c r="A212" s="7" t="s">
        <v>241</v>
      </c>
      <c r="B212" s="7" t="s">
        <v>187</v>
      </c>
      <c r="C212" s="8">
        <v>6490.0</v>
      </c>
      <c r="D212" s="8">
        <v>9990.0</v>
      </c>
      <c r="E212" s="9">
        <v>0.35</v>
      </c>
      <c r="F212" s="10">
        <v>4.0</v>
      </c>
      <c r="G212" s="10">
        <v>27.0</v>
      </c>
      <c r="K212" s="17">
        <v>4.0</v>
      </c>
    </row>
    <row r="213">
      <c r="A213" s="7" t="s">
        <v>242</v>
      </c>
      <c r="B213" s="7" t="s">
        <v>71</v>
      </c>
      <c r="C213" s="8">
        <v>235.0</v>
      </c>
      <c r="D213" s="8">
        <v>599.0</v>
      </c>
      <c r="E213" s="9">
        <v>0.61</v>
      </c>
      <c r="F213" s="10">
        <v>3.5</v>
      </c>
      <c r="G213" s="10">
        <v>197.0</v>
      </c>
      <c r="K213" s="17">
        <v>3.5</v>
      </c>
    </row>
    <row r="214">
      <c r="A214" s="7" t="s">
        <v>243</v>
      </c>
      <c r="B214" s="7" t="s">
        <v>15</v>
      </c>
      <c r="C214" s="8">
        <v>299.0</v>
      </c>
      <c r="D214" s="8">
        <v>800.0</v>
      </c>
      <c r="E214" s="9">
        <v>0.63</v>
      </c>
      <c r="F214" s="10">
        <v>4.5</v>
      </c>
      <c r="G214" s="11">
        <v>74977.0</v>
      </c>
      <c r="K214" s="17">
        <v>4.5</v>
      </c>
    </row>
    <row r="215">
      <c r="A215" s="7" t="s">
        <v>244</v>
      </c>
      <c r="B215" s="7" t="s">
        <v>15</v>
      </c>
      <c r="C215" s="8">
        <v>799.0</v>
      </c>
      <c r="D215" s="8">
        <v>1999.0</v>
      </c>
      <c r="E215" s="9">
        <v>0.6</v>
      </c>
      <c r="F215" s="10">
        <v>4.2</v>
      </c>
      <c r="G215" s="11">
        <v>8583.0</v>
      </c>
      <c r="K215" s="17">
        <v>4.2</v>
      </c>
    </row>
    <row r="216">
      <c r="A216" s="7" t="s">
        <v>245</v>
      </c>
      <c r="B216" s="7" t="s">
        <v>71</v>
      </c>
      <c r="C216" s="8">
        <v>299.0</v>
      </c>
      <c r="D216" s="8">
        <v>999.0</v>
      </c>
      <c r="E216" s="9">
        <v>0.7</v>
      </c>
      <c r="F216" s="10">
        <v>3.8</v>
      </c>
      <c r="G216" s="10">
        <v>928.0</v>
      </c>
      <c r="K216" s="17">
        <v>3.8</v>
      </c>
    </row>
    <row r="217">
      <c r="A217" s="7" t="s">
        <v>246</v>
      </c>
      <c r="B217" s="7" t="s">
        <v>77</v>
      </c>
      <c r="C217" s="8">
        <v>6999.0</v>
      </c>
      <c r="D217" s="8">
        <v>16990.0</v>
      </c>
      <c r="E217" s="9">
        <v>0.59</v>
      </c>
      <c r="F217" s="10">
        <v>3.8</v>
      </c>
      <c r="G217" s="10">
        <v>110.0</v>
      </c>
      <c r="K217" s="17">
        <v>3.8</v>
      </c>
    </row>
    <row r="218">
      <c r="A218" s="7" t="s">
        <v>247</v>
      </c>
      <c r="B218" s="7" t="s">
        <v>37</v>
      </c>
      <c r="C218" s="8">
        <v>42999.0</v>
      </c>
      <c r="D218" s="8">
        <v>59999.0</v>
      </c>
      <c r="E218" s="9">
        <v>0.28</v>
      </c>
      <c r="F218" s="10">
        <v>4.1</v>
      </c>
      <c r="G218" s="11">
        <v>6753.0</v>
      </c>
      <c r="K218" s="17">
        <v>4.1</v>
      </c>
    </row>
    <row r="219">
      <c r="A219" s="7" t="s">
        <v>248</v>
      </c>
      <c r="B219" s="7" t="s">
        <v>31</v>
      </c>
      <c r="C219" s="8">
        <v>173.0</v>
      </c>
      <c r="D219" s="8">
        <v>999.0</v>
      </c>
      <c r="E219" s="9">
        <v>0.83</v>
      </c>
      <c r="F219" s="10">
        <v>4.3</v>
      </c>
      <c r="G219" s="11">
        <v>1237.0</v>
      </c>
      <c r="K219" s="17">
        <v>4.3</v>
      </c>
    </row>
    <row r="220">
      <c r="A220" s="7" t="s">
        <v>249</v>
      </c>
      <c r="B220" s="7" t="s">
        <v>250</v>
      </c>
      <c r="C220" s="8">
        <v>209.0</v>
      </c>
      <c r="D220" s="8">
        <v>600.0</v>
      </c>
      <c r="E220" s="9">
        <v>0.65</v>
      </c>
      <c r="F220" s="10">
        <v>4.4</v>
      </c>
      <c r="G220" s="11">
        <v>18872.0</v>
      </c>
      <c r="K220" s="17">
        <v>4.4</v>
      </c>
    </row>
    <row r="221">
      <c r="A221" s="7" t="s">
        <v>251</v>
      </c>
      <c r="B221" s="7" t="s">
        <v>15</v>
      </c>
      <c r="C221" s="8">
        <v>848.99</v>
      </c>
      <c r="D221" s="8">
        <v>1490.0</v>
      </c>
      <c r="E221" s="9">
        <v>0.43</v>
      </c>
      <c r="F221" s="10">
        <v>3.9</v>
      </c>
      <c r="G221" s="10">
        <v>356.0</v>
      </c>
      <c r="K221" s="17">
        <v>3.9</v>
      </c>
    </row>
    <row r="222">
      <c r="A222" s="7" t="s">
        <v>252</v>
      </c>
      <c r="B222" s="7" t="s">
        <v>15</v>
      </c>
      <c r="C222" s="8">
        <v>649.0</v>
      </c>
      <c r="D222" s="8">
        <v>1999.0</v>
      </c>
      <c r="E222" s="9">
        <v>0.68</v>
      </c>
      <c r="F222" s="10">
        <v>4.2</v>
      </c>
      <c r="G222" s="11">
        <v>24269.0</v>
      </c>
      <c r="K222" s="17">
        <v>4.2</v>
      </c>
    </row>
    <row r="223">
      <c r="A223" s="7" t="s">
        <v>253</v>
      </c>
      <c r="B223" s="7" t="s">
        <v>71</v>
      </c>
      <c r="C223" s="8">
        <v>299.0</v>
      </c>
      <c r="D223" s="8">
        <v>899.0</v>
      </c>
      <c r="E223" s="9">
        <v>0.67</v>
      </c>
      <c r="F223" s="10">
        <v>3.8</v>
      </c>
      <c r="G223" s="10">
        <v>425.0</v>
      </c>
      <c r="K223" s="17">
        <v>3.8</v>
      </c>
    </row>
    <row r="224">
      <c r="A224" s="7" t="s">
        <v>254</v>
      </c>
      <c r="B224" s="7" t="s">
        <v>93</v>
      </c>
      <c r="C224" s="8">
        <v>399.0</v>
      </c>
      <c r="D224" s="8">
        <v>799.0</v>
      </c>
      <c r="E224" s="9">
        <v>0.5</v>
      </c>
      <c r="F224" s="10">
        <v>4.1</v>
      </c>
      <c r="G224" s="11">
        <v>1161.0</v>
      </c>
      <c r="K224" s="17">
        <v>4.1</v>
      </c>
    </row>
    <row r="225">
      <c r="A225" s="7" t="s">
        <v>255</v>
      </c>
      <c r="B225" s="7" t="s">
        <v>15</v>
      </c>
      <c r="C225" s="8">
        <v>249.0</v>
      </c>
      <c r="D225" s="8">
        <v>499.0</v>
      </c>
      <c r="E225" s="9">
        <v>0.5</v>
      </c>
      <c r="F225" s="10">
        <v>4.1</v>
      </c>
      <c r="G225" s="11">
        <v>1508.0</v>
      </c>
      <c r="K225" s="17">
        <v>4.1</v>
      </c>
    </row>
    <row r="226">
      <c r="A226" s="7" t="s">
        <v>256</v>
      </c>
      <c r="B226" s="7" t="s">
        <v>257</v>
      </c>
      <c r="C226" s="8">
        <v>1249.0</v>
      </c>
      <c r="D226" s="8">
        <v>2299.0</v>
      </c>
      <c r="E226" s="9">
        <v>0.46</v>
      </c>
      <c r="F226" s="10">
        <v>4.3</v>
      </c>
      <c r="G226" s="11">
        <v>7636.0</v>
      </c>
      <c r="K226" s="17">
        <v>4.3</v>
      </c>
    </row>
    <row r="227">
      <c r="A227" s="7" t="s">
        <v>258</v>
      </c>
      <c r="B227" s="7" t="s">
        <v>71</v>
      </c>
      <c r="C227" s="8">
        <v>213.0</v>
      </c>
      <c r="D227" s="8">
        <v>499.0</v>
      </c>
      <c r="E227" s="9">
        <v>0.57</v>
      </c>
      <c r="F227" s="10">
        <v>3.7</v>
      </c>
      <c r="G227" s="10">
        <v>246.0</v>
      </c>
      <c r="K227" s="17">
        <v>3.7</v>
      </c>
    </row>
    <row r="228">
      <c r="A228" s="7" t="s">
        <v>259</v>
      </c>
      <c r="B228" s="7" t="s">
        <v>71</v>
      </c>
      <c r="C228" s="8">
        <v>209.0</v>
      </c>
      <c r="D228" s="8">
        <v>499.0</v>
      </c>
      <c r="E228" s="9">
        <v>0.58</v>
      </c>
      <c r="F228" s="10">
        <v>4.0</v>
      </c>
      <c r="G228" s="10">
        <v>479.0</v>
      </c>
      <c r="K228" s="17">
        <v>4.0</v>
      </c>
    </row>
    <row r="229">
      <c r="A229" s="7" t="s">
        <v>260</v>
      </c>
      <c r="B229" s="7" t="s">
        <v>31</v>
      </c>
      <c r="C229" s="8">
        <v>598.0</v>
      </c>
      <c r="D229" s="8">
        <v>4999.0</v>
      </c>
      <c r="E229" s="9">
        <v>0.88</v>
      </c>
      <c r="F229" s="10">
        <v>4.2</v>
      </c>
      <c r="G229" s="10">
        <v>910.0</v>
      </c>
      <c r="K229" s="17">
        <v>4.2</v>
      </c>
    </row>
    <row r="230">
      <c r="A230" s="7" t="s">
        <v>261</v>
      </c>
      <c r="B230" s="7" t="s">
        <v>15</v>
      </c>
      <c r="C230" s="8">
        <v>799.0</v>
      </c>
      <c r="D230" s="8">
        <v>1749.0</v>
      </c>
      <c r="E230" s="9">
        <v>0.54</v>
      </c>
      <c r="F230" s="10">
        <v>4.1</v>
      </c>
      <c r="G230" s="11">
        <v>5626.0</v>
      </c>
      <c r="K230" s="17">
        <v>4.1</v>
      </c>
    </row>
    <row r="231">
      <c r="A231" s="7" t="s">
        <v>262</v>
      </c>
      <c r="B231" s="7" t="s">
        <v>15</v>
      </c>
      <c r="C231" s="8">
        <v>159.0</v>
      </c>
      <c r="D231" s="8">
        <v>595.0</v>
      </c>
      <c r="E231" s="9">
        <v>0.73</v>
      </c>
      <c r="F231" s="10">
        <v>4.3</v>
      </c>
      <c r="G231" s="11">
        <v>14184.0</v>
      </c>
      <c r="K231" s="17">
        <v>4.3</v>
      </c>
    </row>
    <row r="232">
      <c r="A232" s="7" t="s">
        <v>263</v>
      </c>
      <c r="B232" s="7" t="s">
        <v>264</v>
      </c>
      <c r="C232" s="8">
        <v>499.0</v>
      </c>
      <c r="D232" s="8">
        <v>1100.0</v>
      </c>
      <c r="E232" s="9">
        <v>0.55</v>
      </c>
      <c r="F232" s="10">
        <v>4.4</v>
      </c>
      <c r="G232" s="11">
        <v>25177.0</v>
      </c>
      <c r="K232" s="17">
        <v>4.4</v>
      </c>
    </row>
    <row r="233">
      <c r="A233" s="7" t="s">
        <v>265</v>
      </c>
      <c r="B233" s="7" t="s">
        <v>37</v>
      </c>
      <c r="C233" s="8">
        <v>31999.0</v>
      </c>
      <c r="D233" s="8">
        <v>49999.0</v>
      </c>
      <c r="E233" s="9">
        <v>0.36</v>
      </c>
      <c r="F233" s="10">
        <v>4.3</v>
      </c>
      <c r="G233" s="11">
        <v>21252.0</v>
      </c>
      <c r="K233" s="17">
        <v>4.3</v>
      </c>
    </row>
    <row r="234">
      <c r="A234" s="7" t="s">
        <v>266</v>
      </c>
      <c r="B234" s="7" t="s">
        <v>37</v>
      </c>
      <c r="C234" s="8">
        <v>32990.0</v>
      </c>
      <c r="D234" s="8">
        <v>56790.0</v>
      </c>
      <c r="E234" s="9">
        <v>0.42</v>
      </c>
      <c r="F234" s="10">
        <v>4.3</v>
      </c>
      <c r="G234" s="10">
        <v>567.0</v>
      </c>
      <c r="K234" s="17">
        <v>4.3</v>
      </c>
    </row>
    <row r="235">
      <c r="A235" s="7" t="s">
        <v>267</v>
      </c>
      <c r="B235" s="7" t="s">
        <v>71</v>
      </c>
      <c r="C235" s="8">
        <v>299.0</v>
      </c>
      <c r="D235" s="8">
        <v>1199.0</v>
      </c>
      <c r="E235" s="9">
        <v>0.75</v>
      </c>
      <c r="F235" s="10">
        <v>3.5</v>
      </c>
      <c r="G235" s="10">
        <v>466.0</v>
      </c>
      <c r="K235" s="17">
        <v>3.5</v>
      </c>
    </row>
    <row r="236">
      <c r="A236" s="7" t="s">
        <v>268</v>
      </c>
      <c r="B236" s="7" t="s">
        <v>15</v>
      </c>
      <c r="C236" s="8">
        <v>128.31</v>
      </c>
      <c r="D236" s="8">
        <v>549.0</v>
      </c>
      <c r="E236" s="9">
        <v>0.77</v>
      </c>
      <c r="F236" s="10">
        <v>3.9</v>
      </c>
      <c r="G236" s="10">
        <v>61.0</v>
      </c>
      <c r="K236" s="17">
        <v>3.9</v>
      </c>
    </row>
    <row r="237">
      <c r="A237" s="7" t="s">
        <v>269</v>
      </c>
      <c r="B237" s="7" t="s">
        <v>15</v>
      </c>
      <c r="C237" s="8">
        <v>599.0</v>
      </c>
      <c r="D237" s="8">
        <v>849.0</v>
      </c>
      <c r="E237" s="9">
        <v>0.29</v>
      </c>
      <c r="F237" s="10">
        <v>4.5</v>
      </c>
      <c r="G237" s="10">
        <v>474.0</v>
      </c>
      <c r="K237" s="17">
        <v>4.5</v>
      </c>
    </row>
    <row r="238">
      <c r="A238" s="7" t="s">
        <v>270</v>
      </c>
      <c r="B238" s="7" t="s">
        <v>71</v>
      </c>
      <c r="C238" s="8">
        <v>399.0</v>
      </c>
      <c r="D238" s="8">
        <v>899.0</v>
      </c>
      <c r="E238" s="9">
        <v>0.56</v>
      </c>
      <c r="F238" s="10">
        <v>3.4</v>
      </c>
      <c r="G238" s="10">
        <v>431.0</v>
      </c>
      <c r="K238" s="17">
        <v>3.4</v>
      </c>
    </row>
    <row r="239">
      <c r="A239" s="7" t="s">
        <v>271</v>
      </c>
      <c r="B239" s="7" t="s">
        <v>15</v>
      </c>
      <c r="C239" s="8">
        <v>449.0</v>
      </c>
      <c r="D239" s="8">
        <v>1099.0</v>
      </c>
      <c r="E239" s="9">
        <v>0.59</v>
      </c>
      <c r="F239" s="10">
        <v>4.0</v>
      </c>
      <c r="G239" s="10">
        <v>242.0</v>
      </c>
      <c r="K239" s="17">
        <v>4.0</v>
      </c>
    </row>
    <row r="240">
      <c r="A240" s="7" t="s">
        <v>272</v>
      </c>
      <c r="B240" s="7" t="s">
        <v>15</v>
      </c>
      <c r="C240" s="8">
        <v>254.0</v>
      </c>
      <c r="D240" s="8">
        <v>799.0</v>
      </c>
      <c r="E240" s="9">
        <v>0.68</v>
      </c>
      <c r="F240" s="10">
        <v>4.0</v>
      </c>
      <c r="G240" s="11">
        <v>2905.0</v>
      </c>
      <c r="K240" s="17">
        <v>4.0</v>
      </c>
    </row>
    <row r="241">
      <c r="A241" s="7" t="s">
        <v>273</v>
      </c>
      <c r="B241" s="7" t="s">
        <v>274</v>
      </c>
      <c r="C241" s="8">
        <v>399.0</v>
      </c>
      <c r="D241" s="8">
        <v>795.0</v>
      </c>
      <c r="E241" s="9">
        <v>0.5</v>
      </c>
      <c r="F241" s="10">
        <v>4.4</v>
      </c>
      <c r="G241" s="11">
        <v>12091.0</v>
      </c>
      <c r="K241" s="17">
        <v>4.4</v>
      </c>
    </row>
    <row r="242">
      <c r="A242" s="7" t="s">
        <v>275</v>
      </c>
      <c r="B242" s="7" t="s">
        <v>15</v>
      </c>
      <c r="C242" s="8">
        <v>179.0</v>
      </c>
      <c r="D242" s="8">
        <v>399.0</v>
      </c>
      <c r="E242" s="9">
        <v>0.55</v>
      </c>
      <c r="F242" s="10">
        <v>4.0</v>
      </c>
      <c r="G242" s="11">
        <v>1423.0</v>
      </c>
      <c r="K242" s="17">
        <v>4.0</v>
      </c>
    </row>
    <row r="243">
      <c r="A243" s="7" t="s">
        <v>276</v>
      </c>
      <c r="B243" s="7" t="s">
        <v>15</v>
      </c>
      <c r="C243" s="8">
        <v>339.0</v>
      </c>
      <c r="D243" s="8">
        <v>999.0</v>
      </c>
      <c r="E243" s="9">
        <v>0.66</v>
      </c>
      <c r="F243" s="10">
        <v>4.3</v>
      </c>
      <c r="G243" s="11">
        <v>6255.0</v>
      </c>
      <c r="K243" s="17">
        <v>4.3</v>
      </c>
    </row>
    <row r="244">
      <c r="A244" s="7" t="s">
        <v>277</v>
      </c>
      <c r="B244" s="7" t="s">
        <v>93</v>
      </c>
      <c r="C244" s="8">
        <v>399.0</v>
      </c>
      <c r="D244" s="8">
        <v>999.0</v>
      </c>
      <c r="E244" s="9">
        <v>0.6</v>
      </c>
      <c r="F244" s="10">
        <v>4.0</v>
      </c>
      <c r="G244" s="11">
        <v>1236.0</v>
      </c>
      <c r="K244" s="17">
        <v>4.0</v>
      </c>
    </row>
    <row r="245">
      <c r="A245" s="7" t="s">
        <v>278</v>
      </c>
      <c r="B245" s="7" t="s">
        <v>71</v>
      </c>
      <c r="C245" s="8">
        <v>199.0</v>
      </c>
      <c r="D245" s="8">
        <v>399.0</v>
      </c>
      <c r="E245" s="9">
        <v>0.5</v>
      </c>
      <c r="F245" s="10">
        <v>4.2</v>
      </c>
      <c r="G245" s="11">
        <v>1335.0</v>
      </c>
      <c r="K245" s="17">
        <v>4.2</v>
      </c>
    </row>
    <row r="246">
      <c r="A246" s="7" t="s">
        <v>279</v>
      </c>
      <c r="B246" s="7" t="s">
        <v>71</v>
      </c>
      <c r="C246" s="8">
        <v>349.0</v>
      </c>
      <c r="D246" s="8">
        <v>1999.0</v>
      </c>
      <c r="E246" s="9">
        <v>0.83</v>
      </c>
      <c r="F246" s="10">
        <v>3.8</v>
      </c>
      <c r="G246" s="10">
        <v>197.0</v>
      </c>
      <c r="K246" s="17">
        <v>3.8</v>
      </c>
    </row>
    <row r="247">
      <c r="A247" s="7" t="s">
        <v>280</v>
      </c>
      <c r="B247" s="7" t="s">
        <v>15</v>
      </c>
      <c r="C247" s="8">
        <v>299.0</v>
      </c>
      <c r="D247" s="8">
        <v>798.0</v>
      </c>
      <c r="E247" s="9">
        <v>0.63</v>
      </c>
      <c r="F247" s="10">
        <v>4.4</v>
      </c>
      <c r="G247" s="11">
        <v>28791.0</v>
      </c>
      <c r="K247" s="17">
        <v>4.4</v>
      </c>
    </row>
    <row r="248">
      <c r="A248" s="7" t="s">
        <v>281</v>
      </c>
      <c r="B248" s="7" t="s">
        <v>15</v>
      </c>
      <c r="C248" s="8">
        <v>89.0</v>
      </c>
      <c r="D248" s="8">
        <v>800.0</v>
      </c>
      <c r="E248" s="9">
        <v>0.89</v>
      </c>
      <c r="F248" s="10">
        <v>3.9</v>
      </c>
      <c r="G248" s="11">
        <v>1075.0</v>
      </c>
      <c r="K248" s="17">
        <v>3.9</v>
      </c>
    </row>
    <row r="249">
      <c r="A249" s="7" t="s">
        <v>282</v>
      </c>
      <c r="B249" s="7" t="s">
        <v>15</v>
      </c>
      <c r="C249" s="8">
        <v>549.0</v>
      </c>
      <c r="D249" s="8">
        <v>995.0</v>
      </c>
      <c r="E249" s="9">
        <v>0.45</v>
      </c>
      <c r="F249" s="10">
        <v>4.2</v>
      </c>
      <c r="G249" s="11">
        <v>29746.0</v>
      </c>
      <c r="K249" s="17">
        <v>4.2</v>
      </c>
    </row>
    <row r="250">
      <c r="A250" s="7" t="s">
        <v>283</v>
      </c>
      <c r="B250" s="7" t="s">
        <v>15</v>
      </c>
      <c r="C250" s="8">
        <v>129.0</v>
      </c>
      <c r="D250" s="8">
        <v>1000.0</v>
      </c>
      <c r="E250" s="9">
        <v>0.87</v>
      </c>
      <c r="F250" s="10">
        <v>3.9</v>
      </c>
      <c r="G250" s="10">
        <v>295.0</v>
      </c>
      <c r="K250" s="17">
        <v>3.9</v>
      </c>
    </row>
    <row r="251">
      <c r="A251" s="7" t="s">
        <v>284</v>
      </c>
      <c r="B251" s="7" t="s">
        <v>37</v>
      </c>
      <c r="C251" s="8">
        <v>77990.0</v>
      </c>
      <c r="D251" s="8" t="s">
        <v>285</v>
      </c>
      <c r="E251" s="9">
        <v>0.44</v>
      </c>
      <c r="F251" s="10">
        <v>4.7</v>
      </c>
      <c r="G251" s="11">
        <v>5935.0</v>
      </c>
      <c r="K251" s="17">
        <v>4.7</v>
      </c>
    </row>
    <row r="252">
      <c r="A252" s="7" t="s">
        <v>286</v>
      </c>
      <c r="B252" s="7" t="s">
        <v>71</v>
      </c>
      <c r="C252" s="8">
        <v>349.0</v>
      </c>
      <c r="D252" s="8">
        <v>799.0</v>
      </c>
      <c r="E252" s="9">
        <v>0.56</v>
      </c>
      <c r="F252" s="10">
        <v>3.6</v>
      </c>
      <c r="G252" s="10">
        <v>323.0</v>
      </c>
      <c r="K252" s="17">
        <v>3.6</v>
      </c>
    </row>
    <row r="253">
      <c r="A253" s="7" t="s">
        <v>287</v>
      </c>
      <c r="B253" s="7" t="s">
        <v>71</v>
      </c>
      <c r="C253" s="8">
        <v>499.0</v>
      </c>
      <c r="D253" s="8">
        <v>899.0</v>
      </c>
      <c r="E253" s="9">
        <v>0.44</v>
      </c>
      <c r="F253" s="10">
        <v>3.7</v>
      </c>
      <c r="G253" s="10">
        <v>185.0</v>
      </c>
      <c r="K253" s="17">
        <v>3.7</v>
      </c>
    </row>
    <row r="254">
      <c r="A254" s="7" t="s">
        <v>288</v>
      </c>
      <c r="B254" s="7" t="s">
        <v>15</v>
      </c>
      <c r="C254" s="8">
        <v>299.0</v>
      </c>
      <c r="D254" s="8">
        <v>799.0</v>
      </c>
      <c r="E254" s="9">
        <v>0.63</v>
      </c>
      <c r="F254" s="10">
        <v>4.2</v>
      </c>
      <c r="G254" s="11">
        <v>2117.0</v>
      </c>
      <c r="K254" s="17">
        <v>4.2</v>
      </c>
    </row>
    <row r="255">
      <c r="A255" s="7" t="s">
        <v>289</v>
      </c>
      <c r="B255" s="7" t="s">
        <v>15</v>
      </c>
      <c r="C255" s="8">
        <v>182.0</v>
      </c>
      <c r="D255" s="8">
        <v>599.0</v>
      </c>
      <c r="E255" s="9">
        <v>0.7</v>
      </c>
      <c r="F255" s="10">
        <v>4.0</v>
      </c>
      <c r="G255" s="11">
        <v>9378.0</v>
      </c>
      <c r="K255" s="17">
        <v>4.0</v>
      </c>
    </row>
    <row r="256">
      <c r="A256" s="7" t="s">
        <v>290</v>
      </c>
      <c r="B256" s="7" t="s">
        <v>93</v>
      </c>
      <c r="C256" s="8">
        <v>96.0</v>
      </c>
      <c r="D256" s="8">
        <v>399.0</v>
      </c>
      <c r="E256" s="9">
        <v>0.76</v>
      </c>
      <c r="F256" s="10">
        <v>3.6</v>
      </c>
      <c r="G256" s="11">
        <v>1796.0</v>
      </c>
      <c r="K256" s="17">
        <v>3.6</v>
      </c>
    </row>
    <row r="257">
      <c r="A257" s="7" t="s">
        <v>291</v>
      </c>
      <c r="B257" s="7" t="s">
        <v>37</v>
      </c>
      <c r="C257" s="8">
        <v>54990.0</v>
      </c>
      <c r="D257" s="8">
        <v>85000.0</v>
      </c>
      <c r="E257" s="9">
        <v>0.35</v>
      </c>
      <c r="F257" s="10">
        <v>4.3</v>
      </c>
      <c r="G257" s="11">
        <v>3587.0</v>
      </c>
      <c r="K257" s="17">
        <v>4.3</v>
      </c>
    </row>
    <row r="258">
      <c r="A258" s="7" t="s">
        <v>292</v>
      </c>
      <c r="B258" s="7" t="s">
        <v>155</v>
      </c>
      <c r="C258" s="8">
        <v>439.0</v>
      </c>
      <c r="D258" s="8">
        <v>758.0</v>
      </c>
      <c r="E258" s="9">
        <v>0.42</v>
      </c>
      <c r="F258" s="10">
        <v>4.2</v>
      </c>
      <c r="G258" s="11">
        <v>4296.0</v>
      </c>
      <c r="K258" s="17">
        <v>4.2</v>
      </c>
    </row>
    <row r="259">
      <c r="A259" s="7" t="s">
        <v>293</v>
      </c>
      <c r="B259" s="7" t="s">
        <v>15</v>
      </c>
      <c r="C259" s="8">
        <v>299.0</v>
      </c>
      <c r="D259" s="8">
        <v>999.0</v>
      </c>
      <c r="E259" s="9">
        <v>0.7</v>
      </c>
      <c r="F259" s="10">
        <v>4.3</v>
      </c>
      <c r="G259" s="11">
        <v>2651.0</v>
      </c>
      <c r="K259" s="17">
        <v>4.3</v>
      </c>
    </row>
    <row r="260">
      <c r="A260" s="7" t="s">
        <v>294</v>
      </c>
      <c r="B260" s="7" t="s">
        <v>15</v>
      </c>
      <c r="C260" s="8">
        <v>299.0</v>
      </c>
      <c r="D260" s="8">
        <v>799.0</v>
      </c>
      <c r="E260" s="9">
        <v>0.63</v>
      </c>
      <c r="F260" s="10">
        <v>4.2</v>
      </c>
      <c r="G260" s="11">
        <v>94363.0</v>
      </c>
      <c r="K260" s="17">
        <v>4.2</v>
      </c>
    </row>
    <row r="261">
      <c r="A261" s="7" t="s">
        <v>295</v>
      </c>
      <c r="B261" s="7" t="s">
        <v>15</v>
      </c>
      <c r="C261" s="8">
        <v>789.0</v>
      </c>
      <c r="D261" s="8">
        <v>1999.0</v>
      </c>
      <c r="E261" s="9">
        <v>0.61</v>
      </c>
      <c r="F261" s="10">
        <v>4.2</v>
      </c>
      <c r="G261" s="11">
        <v>34540.0</v>
      </c>
      <c r="K261" s="17">
        <v>4.2</v>
      </c>
    </row>
    <row r="262">
      <c r="A262" s="7" t="s">
        <v>296</v>
      </c>
      <c r="B262" s="7" t="s">
        <v>31</v>
      </c>
      <c r="C262" s="8">
        <v>299.0</v>
      </c>
      <c r="D262" s="8">
        <v>700.0</v>
      </c>
      <c r="E262" s="9">
        <v>0.57</v>
      </c>
      <c r="F262" s="10">
        <v>4.4</v>
      </c>
      <c r="G262" s="11">
        <v>8714.0</v>
      </c>
      <c r="K262" s="17">
        <v>4.4</v>
      </c>
    </row>
    <row r="263">
      <c r="A263" s="7" t="s">
        <v>297</v>
      </c>
      <c r="B263" s="7" t="s">
        <v>15</v>
      </c>
      <c r="C263" s="8">
        <v>325.0</v>
      </c>
      <c r="D263" s="8">
        <v>1099.0</v>
      </c>
      <c r="E263" s="9">
        <v>0.7</v>
      </c>
      <c r="F263" s="10">
        <v>4.2</v>
      </c>
      <c r="G263" s="11">
        <v>10576.0</v>
      </c>
      <c r="K263" s="17">
        <v>4.2</v>
      </c>
    </row>
    <row r="264">
      <c r="A264" s="7" t="s">
        <v>298</v>
      </c>
      <c r="B264" s="7" t="s">
        <v>15</v>
      </c>
      <c r="C264" s="8">
        <v>1299.0</v>
      </c>
      <c r="D264" s="8">
        <v>1999.0</v>
      </c>
      <c r="E264" s="9">
        <v>0.35</v>
      </c>
      <c r="F264" s="10">
        <v>4.4</v>
      </c>
      <c r="G264" s="11">
        <v>7318.0</v>
      </c>
      <c r="K264" s="17">
        <v>4.4</v>
      </c>
    </row>
    <row r="265">
      <c r="A265" s="7" t="s">
        <v>299</v>
      </c>
      <c r="B265" s="7" t="s">
        <v>71</v>
      </c>
      <c r="C265" s="8">
        <v>790.0</v>
      </c>
      <c r="D265" s="8">
        <v>1999.0</v>
      </c>
      <c r="E265" s="9">
        <v>0.6</v>
      </c>
      <c r="F265" s="10">
        <v>3.0</v>
      </c>
      <c r="G265" s="10">
        <v>103.0</v>
      </c>
      <c r="K265" s="17">
        <v>3.0</v>
      </c>
    </row>
    <row r="266">
      <c r="A266" s="7" t="s">
        <v>300</v>
      </c>
      <c r="B266" s="7" t="s">
        <v>301</v>
      </c>
      <c r="C266" s="8">
        <v>4699.0</v>
      </c>
      <c r="D266" s="8">
        <v>4699.0</v>
      </c>
      <c r="E266" s="9">
        <v>0.0</v>
      </c>
      <c r="F266" s="10">
        <v>4.5</v>
      </c>
      <c r="G266" s="10">
        <v>224.0</v>
      </c>
      <c r="K266" s="17">
        <v>4.5</v>
      </c>
    </row>
    <row r="267">
      <c r="A267" s="7" t="s">
        <v>302</v>
      </c>
      <c r="B267" s="7" t="s">
        <v>37</v>
      </c>
      <c r="C267" s="8">
        <v>18999.0</v>
      </c>
      <c r="D267" s="8">
        <v>24990.0</v>
      </c>
      <c r="E267" s="9">
        <v>0.24</v>
      </c>
      <c r="F267" s="10">
        <v>4.3</v>
      </c>
      <c r="G267" s="11">
        <v>4702.0</v>
      </c>
      <c r="K267" s="17">
        <v>4.3</v>
      </c>
    </row>
    <row r="268">
      <c r="A268" s="7" t="s">
        <v>303</v>
      </c>
      <c r="B268" s="7" t="s">
        <v>15</v>
      </c>
      <c r="C268" s="8">
        <v>199.0</v>
      </c>
      <c r="D268" s="8">
        <v>999.0</v>
      </c>
      <c r="E268" s="9">
        <v>0.8</v>
      </c>
      <c r="F268" s="10">
        <v>4.2</v>
      </c>
      <c r="G268" s="10">
        <v>85.0</v>
      </c>
      <c r="K268" s="17">
        <v>4.2</v>
      </c>
    </row>
    <row r="269">
      <c r="A269" s="7" t="s">
        <v>304</v>
      </c>
      <c r="B269" s="7" t="s">
        <v>31</v>
      </c>
      <c r="C269" s="8">
        <v>269.0</v>
      </c>
      <c r="D269" s="8">
        <v>650.0</v>
      </c>
      <c r="E269" s="9">
        <v>0.59</v>
      </c>
      <c r="F269" s="10">
        <v>4.4</v>
      </c>
      <c r="G269" s="11">
        <v>35877.0</v>
      </c>
      <c r="K269" s="17">
        <v>4.4</v>
      </c>
    </row>
    <row r="270">
      <c r="A270" s="7" t="s">
        <v>305</v>
      </c>
      <c r="B270" s="7" t="s">
        <v>306</v>
      </c>
      <c r="C270" s="8">
        <v>1990.0</v>
      </c>
      <c r="D270" s="8">
        <v>3100.0</v>
      </c>
      <c r="E270" s="9">
        <v>0.36</v>
      </c>
      <c r="F270" s="10">
        <v>4.0</v>
      </c>
      <c r="G270" s="10">
        <v>897.0</v>
      </c>
      <c r="K270" s="17">
        <v>4.0</v>
      </c>
    </row>
    <row r="271">
      <c r="A271" s="7" t="s">
        <v>307</v>
      </c>
      <c r="B271" s="7" t="s">
        <v>308</v>
      </c>
      <c r="C271" s="8">
        <v>2299.0</v>
      </c>
      <c r="D271" s="8">
        <v>3999.0</v>
      </c>
      <c r="E271" s="9">
        <v>0.43</v>
      </c>
      <c r="F271" s="10">
        <v>3.8</v>
      </c>
      <c r="G271" s="10">
        <v>282.0</v>
      </c>
      <c r="K271" s="17">
        <v>3.8</v>
      </c>
    </row>
    <row r="272">
      <c r="A272" s="7" t="s">
        <v>309</v>
      </c>
      <c r="B272" s="7" t="s">
        <v>37</v>
      </c>
      <c r="C272" s="8">
        <v>35999.0</v>
      </c>
      <c r="D272" s="8">
        <v>49990.0</v>
      </c>
      <c r="E272" s="9">
        <v>0.28</v>
      </c>
      <c r="F272" s="10">
        <v>4.3</v>
      </c>
      <c r="G272" s="11">
        <v>1611.0</v>
      </c>
      <c r="K272" s="17">
        <v>4.3</v>
      </c>
    </row>
    <row r="273">
      <c r="A273" s="7" t="s">
        <v>310</v>
      </c>
      <c r="B273" s="7" t="s">
        <v>71</v>
      </c>
      <c r="C273" s="8">
        <v>349.0</v>
      </c>
      <c r="D273" s="8">
        <v>999.0</v>
      </c>
      <c r="E273" s="9">
        <v>0.65</v>
      </c>
      <c r="F273" s="10">
        <v>4.2</v>
      </c>
      <c r="G273" s="10">
        <v>513.0</v>
      </c>
      <c r="K273" s="17">
        <v>4.2</v>
      </c>
    </row>
    <row r="274">
      <c r="A274" s="7" t="s">
        <v>311</v>
      </c>
      <c r="B274" s="7" t="s">
        <v>15</v>
      </c>
      <c r="C274" s="8">
        <v>719.0</v>
      </c>
      <c r="D274" s="8">
        <v>1499.0</v>
      </c>
      <c r="E274" s="9">
        <v>0.52</v>
      </c>
      <c r="F274" s="10">
        <v>4.1</v>
      </c>
      <c r="G274" s="11">
        <v>1045.0</v>
      </c>
      <c r="K274" s="17">
        <v>4.1</v>
      </c>
    </row>
    <row r="275">
      <c r="A275" s="7" t="s">
        <v>312</v>
      </c>
      <c r="B275" s="7" t="s">
        <v>37</v>
      </c>
      <c r="C275" s="8">
        <v>8999.0</v>
      </c>
      <c r="D275" s="8">
        <v>18999.0</v>
      </c>
      <c r="E275" s="9">
        <v>0.53</v>
      </c>
      <c r="F275" s="10">
        <v>4.0</v>
      </c>
      <c r="G275" s="11">
        <v>6347.0</v>
      </c>
      <c r="K275" s="17">
        <v>4.0</v>
      </c>
    </row>
    <row r="276">
      <c r="A276" s="7" t="s">
        <v>313</v>
      </c>
      <c r="B276" s="7" t="s">
        <v>257</v>
      </c>
      <c r="C276" s="8">
        <v>917.0</v>
      </c>
      <c r="D276" s="8">
        <v>2299.0</v>
      </c>
      <c r="E276" s="9">
        <v>0.6</v>
      </c>
      <c r="F276" s="10">
        <v>4.2</v>
      </c>
      <c r="G276" s="11">
        <v>3300.0</v>
      </c>
      <c r="K276" s="17">
        <v>4.2</v>
      </c>
    </row>
    <row r="277">
      <c r="A277" s="7" t="s">
        <v>314</v>
      </c>
      <c r="B277" s="7" t="s">
        <v>71</v>
      </c>
      <c r="C277" s="8">
        <v>399.0</v>
      </c>
      <c r="D277" s="8">
        <v>999.0</v>
      </c>
      <c r="E277" s="9">
        <v>0.6</v>
      </c>
      <c r="F277" s="10">
        <v>3.3</v>
      </c>
      <c r="G277" s="10">
        <v>23.0</v>
      </c>
      <c r="K277" s="17">
        <v>3.3</v>
      </c>
    </row>
    <row r="278">
      <c r="A278" s="7" t="s">
        <v>315</v>
      </c>
      <c r="B278" s="7" t="s">
        <v>37</v>
      </c>
      <c r="C278" s="8">
        <v>45999.0</v>
      </c>
      <c r="D278" s="8">
        <v>69900.0</v>
      </c>
      <c r="E278" s="9">
        <v>0.34</v>
      </c>
      <c r="F278" s="10">
        <v>4.3</v>
      </c>
      <c r="G278" s="11">
        <v>7109.0</v>
      </c>
      <c r="K278" s="17">
        <v>4.3</v>
      </c>
    </row>
    <row r="279">
      <c r="A279" s="7" t="s">
        <v>316</v>
      </c>
      <c r="B279" s="7" t="s">
        <v>15</v>
      </c>
      <c r="C279" s="8">
        <v>119.0</v>
      </c>
      <c r="D279" s="8">
        <v>299.0</v>
      </c>
      <c r="E279" s="9">
        <v>0.6</v>
      </c>
      <c r="F279" s="10">
        <v>3.8</v>
      </c>
      <c r="G279" s="10">
        <v>51.0</v>
      </c>
      <c r="K279" s="17">
        <v>3.8</v>
      </c>
    </row>
    <row r="280">
      <c r="A280" s="7" t="s">
        <v>317</v>
      </c>
      <c r="B280" s="7" t="s">
        <v>37</v>
      </c>
      <c r="C280" s="8">
        <v>21999.0</v>
      </c>
      <c r="D280" s="8">
        <v>29999.0</v>
      </c>
      <c r="E280" s="9">
        <v>0.27</v>
      </c>
      <c r="F280" s="10">
        <v>4.2</v>
      </c>
      <c r="G280" s="11">
        <v>32840.0</v>
      </c>
      <c r="K280" s="17">
        <v>4.2</v>
      </c>
    </row>
    <row r="281">
      <c r="A281" s="7" t="s">
        <v>318</v>
      </c>
      <c r="B281" s="7" t="s">
        <v>71</v>
      </c>
      <c r="C281" s="8">
        <v>299.0</v>
      </c>
      <c r="D281" s="8">
        <v>599.0</v>
      </c>
      <c r="E281" s="9">
        <v>0.5</v>
      </c>
      <c r="F281" s="10">
        <v>3.7</v>
      </c>
      <c r="G281" s="10">
        <v>708.0</v>
      </c>
      <c r="K281" s="17">
        <v>3.7</v>
      </c>
    </row>
    <row r="282">
      <c r="A282" s="7" t="s">
        <v>319</v>
      </c>
      <c r="B282" s="7" t="s">
        <v>37</v>
      </c>
      <c r="C282" s="8">
        <v>21990.0</v>
      </c>
      <c r="D282" s="8">
        <v>34990.0</v>
      </c>
      <c r="E282" s="9">
        <v>0.37</v>
      </c>
      <c r="F282" s="10">
        <v>4.3</v>
      </c>
      <c r="G282" s="11">
        <v>1657.0</v>
      </c>
      <c r="K282" s="17">
        <v>4.3</v>
      </c>
    </row>
    <row r="283">
      <c r="A283" s="7" t="s">
        <v>320</v>
      </c>
      <c r="B283" s="7" t="s">
        <v>15</v>
      </c>
      <c r="C283" s="8">
        <v>417.44</v>
      </c>
      <c r="D283" s="8">
        <v>670.0</v>
      </c>
      <c r="E283" s="9">
        <v>0.38</v>
      </c>
      <c r="F283" s="10">
        <v>3.9</v>
      </c>
      <c r="G283" s="10">
        <v>523.0</v>
      </c>
      <c r="K283" s="17">
        <v>3.9</v>
      </c>
    </row>
    <row r="284">
      <c r="A284" s="7" t="s">
        <v>321</v>
      </c>
      <c r="B284" s="7" t="s">
        <v>15</v>
      </c>
      <c r="C284" s="8">
        <v>199.0</v>
      </c>
      <c r="D284" s="8">
        <v>999.0</v>
      </c>
      <c r="E284" s="9">
        <v>0.8</v>
      </c>
      <c r="F284" s="10">
        <v>3.0</v>
      </c>
      <c r="G284" s="7"/>
      <c r="K284" s="17">
        <v>3.0</v>
      </c>
    </row>
    <row r="285">
      <c r="A285" s="7" t="s">
        <v>322</v>
      </c>
      <c r="B285" s="7" t="s">
        <v>37</v>
      </c>
      <c r="C285" s="8">
        <v>47990.0</v>
      </c>
      <c r="D285" s="8">
        <v>79990.0</v>
      </c>
      <c r="E285" s="9">
        <v>0.4</v>
      </c>
      <c r="F285" s="10">
        <v>4.3</v>
      </c>
      <c r="G285" s="11">
        <v>1376.0</v>
      </c>
      <c r="K285" s="17">
        <v>4.3</v>
      </c>
    </row>
    <row r="286">
      <c r="A286" s="7" t="s">
        <v>323</v>
      </c>
      <c r="B286" s="7" t="s">
        <v>71</v>
      </c>
      <c r="C286" s="8">
        <v>215.0</v>
      </c>
      <c r="D286" s="8">
        <v>499.0</v>
      </c>
      <c r="E286" s="9">
        <v>0.57</v>
      </c>
      <c r="F286" s="10">
        <v>3.5</v>
      </c>
      <c r="G286" s="10">
        <v>121.0</v>
      </c>
      <c r="K286" s="17">
        <v>3.5</v>
      </c>
    </row>
    <row r="287">
      <c r="A287" s="7" t="s">
        <v>324</v>
      </c>
      <c r="B287" s="7" t="s">
        <v>15</v>
      </c>
      <c r="C287" s="8">
        <v>99.0</v>
      </c>
      <c r="D287" s="8">
        <v>800.0</v>
      </c>
      <c r="E287" s="9">
        <v>0.88</v>
      </c>
      <c r="F287" s="10">
        <v>3.9</v>
      </c>
      <c r="G287" s="11">
        <v>1075.0</v>
      </c>
      <c r="K287" s="17">
        <v>3.9</v>
      </c>
    </row>
    <row r="288">
      <c r="A288" s="7" t="s">
        <v>325</v>
      </c>
      <c r="B288" s="7" t="s">
        <v>37</v>
      </c>
      <c r="C288" s="8">
        <v>18999.0</v>
      </c>
      <c r="D288" s="8">
        <v>35000.0</v>
      </c>
      <c r="E288" s="9">
        <v>0.46</v>
      </c>
      <c r="F288" s="10">
        <v>4.0</v>
      </c>
      <c r="G288" s="11">
        <v>1001.0</v>
      </c>
      <c r="K288" s="17">
        <v>4.0</v>
      </c>
    </row>
    <row r="289">
      <c r="A289" s="7" t="s">
        <v>326</v>
      </c>
      <c r="B289" s="7" t="s">
        <v>15</v>
      </c>
      <c r="C289" s="8">
        <v>249.0</v>
      </c>
      <c r="D289" s="8">
        <v>999.0</v>
      </c>
      <c r="E289" s="9">
        <v>0.75</v>
      </c>
      <c r="F289" s="10">
        <v>4.3</v>
      </c>
      <c r="G289" s="10">
        <v>112.0</v>
      </c>
      <c r="K289" s="17">
        <v>4.3</v>
      </c>
    </row>
    <row r="290">
      <c r="A290" s="7" t="s">
        <v>327</v>
      </c>
      <c r="B290" s="7" t="s">
        <v>77</v>
      </c>
      <c r="C290" s="8">
        <v>7999.0</v>
      </c>
      <c r="D290" s="8">
        <v>15999.0</v>
      </c>
      <c r="E290" s="9">
        <v>0.5</v>
      </c>
      <c r="F290" s="10">
        <v>3.8</v>
      </c>
      <c r="G290" s="11">
        <v>3022.0</v>
      </c>
      <c r="K290" s="17">
        <v>3.8</v>
      </c>
    </row>
    <row r="291">
      <c r="A291" s="7" t="s">
        <v>328</v>
      </c>
      <c r="B291" s="7" t="s">
        <v>15</v>
      </c>
      <c r="C291" s="8">
        <v>649.0</v>
      </c>
      <c r="D291" s="8">
        <v>1600.0</v>
      </c>
      <c r="E291" s="9">
        <v>0.59</v>
      </c>
      <c r="F291" s="10">
        <v>4.3</v>
      </c>
      <c r="G291" s="11">
        <v>5451.0</v>
      </c>
      <c r="K291" s="17">
        <v>4.3</v>
      </c>
    </row>
    <row r="292">
      <c r="A292" s="7" t="s">
        <v>104</v>
      </c>
      <c r="B292" s="7" t="s">
        <v>71</v>
      </c>
      <c r="C292" s="8">
        <v>1289.0</v>
      </c>
      <c r="D292" s="8">
        <v>2499.0</v>
      </c>
      <c r="E292" s="9">
        <v>0.48</v>
      </c>
      <c r="F292" s="10">
        <v>3.3</v>
      </c>
      <c r="G292" s="10">
        <v>73.0</v>
      </c>
      <c r="K292" s="17">
        <v>3.3</v>
      </c>
    </row>
    <row r="293">
      <c r="A293" s="7" t="s">
        <v>329</v>
      </c>
      <c r="B293" s="7" t="s">
        <v>31</v>
      </c>
      <c r="C293" s="8">
        <v>609.0</v>
      </c>
      <c r="D293" s="8">
        <v>1500.0</v>
      </c>
      <c r="E293" s="9">
        <v>0.59</v>
      </c>
      <c r="F293" s="10">
        <v>4.5</v>
      </c>
      <c r="G293" s="11">
        <v>1029.0</v>
      </c>
      <c r="K293" s="17">
        <v>4.5</v>
      </c>
    </row>
    <row r="294">
      <c r="A294" s="7" t="s">
        <v>330</v>
      </c>
      <c r="B294" s="7" t="s">
        <v>37</v>
      </c>
      <c r="C294" s="8">
        <v>32990.0</v>
      </c>
      <c r="D294" s="8">
        <v>54990.0</v>
      </c>
      <c r="E294" s="9">
        <v>0.4</v>
      </c>
      <c r="F294" s="10">
        <v>4.1</v>
      </c>
      <c r="G294" s="11">
        <v>1555.0</v>
      </c>
      <c r="K294" s="17">
        <v>4.1</v>
      </c>
    </row>
    <row r="295">
      <c r="A295" s="7" t="s">
        <v>331</v>
      </c>
      <c r="B295" s="7" t="s">
        <v>31</v>
      </c>
      <c r="C295" s="8">
        <v>599.0</v>
      </c>
      <c r="D295" s="8">
        <v>1999.0</v>
      </c>
      <c r="E295" s="9">
        <v>0.7</v>
      </c>
      <c r="F295" s="10">
        <v>4.2</v>
      </c>
      <c r="G295" s="10">
        <v>47.0</v>
      </c>
      <c r="K295" s="17">
        <v>4.2</v>
      </c>
    </row>
    <row r="296">
      <c r="A296" s="7" t="s">
        <v>332</v>
      </c>
      <c r="B296" s="7" t="s">
        <v>15</v>
      </c>
      <c r="C296" s="8">
        <v>349.0</v>
      </c>
      <c r="D296" s="8">
        <v>899.0</v>
      </c>
      <c r="E296" s="9">
        <v>0.61</v>
      </c>
      <c r="F296" s="10">
        <v>4.1</v>
      </c>
      <c r="G296" s="11">
        <v>14896.0</v>
      </c>
      <c r="K296" s="17">
        <v>4.1</v>
      </c>
    </row>
    <row r="297">
      <c r="A297" s="7" t="s">
        <v>333</v>
      </c>
      <c r="B297" s="7" t="s">
        <v>37</v>
      </c>
      <c r="C297" s="8">
        <v>29999.0</v>
      </c>
      <c r="D297" s="8">
        <v>50999.0</v>
      </c>
      <c r="E297" s="9">
        <v>0.41</v>
      </c>
      <c r="F297" s="10">
        <v>4.4</v>
      </c>
      <c r="G297" s="11">
        <v>1712.0</v>
      </c>
      <c r="K297" s="17">
        <v>4.4</v>
      </c>
    </row>
    <row r="298">
      <c r="A298" s="7" t="s">
        <v>278</v>
      </c>
      <c r="B298" s="7" t="s">
        <v>71</v>
      </c>
      <c r="C298" s="8">
        <v>199.0</v>
      </c>
      <c r="D298" s="8">
        <v>399.0</v>
      </c>
      <c r="E298" s="9">
        <v>0.5</v>
      </c>
      <c r="F298" s="10">
        <v>4.2</v>
      </c>
      <c r="G298" s="11">
        <v>1335.0</v>
      </c>
      <c r="K298" s="17">
        <v>4.2</v>
      </c>
    </row>
    <row r="299">
      <c r="A299" s="7" t="s">
        <v>334</v>
      </c>
      <c r="B299" s="7" t="s">
        <v>71</v>
      </c>
      <c r="C299" s="8">
        <v>349.0</v>
      </c>
      <c r="D299" s="8">
        <v>699.0</v>
      </c>
      <c r="E299" s="9">
        <v>0.5</v>
      </c>
      <c r="F299" s="10">
        <v>3.9</v>
      </c>
      <c r="G299" s="10">
        <v>214.0</v>
      </c>
      <c r="K299" s="17">
        <v>3.9</v>
      </c>
    </row>
    <row r="300">
      <c r="A300" s="7" t="s">
        <v>335</v>
      </c>
      <c r="B300" s="7" t="s">
        <v>93</v>
      </c>
      <c r="C300" s="8">
        <v>1850.0</v>
      </c>
      <c r="D300" s="8">
        <v>4500.0</v>
      </c>
      <c r="E300" s="9">
        <v>0.59</v>
      </c>
      <c r="F300" s="10">
        <v>4.0</v>
      </c>
      <c r="G300" s="10">
        <v>184.0</v>
      </c>
      <c r="K300" s="17">
        <v>4.0</v>
      </c>
    </row>
    <row r="301">
      <c r="A301" s="7" t="s">
        <v>336</v>
      </c>
      <c r="B301" s="7" t="s">
        <v>187</v>
      </c>
      <c r="C301" s="8">
        <v>13990.0</v>
      </c>
      <c r="D301" s="8">
        <v>28900.0</v>
      </c>
      <c r="E301" s="9">
        <v>0.52</v>
      </c>
      <c r="F301" s="10">
        <v>4.5</v>
      </c>
      <c r="G301" s="10">
        <v>7.0</v>
      </c>
      <c r="K301" s="17">
        <v>4.5</v>
      </c>
    </row>
    <row r="302">
      <c r="A302" s="7" t="s">
        <v>337</v>
      </c>
      <c r="B302" s="7" t="s">
        <v>15</v>
      </c>
      <c r="C302" s="8">
        <v>129.0</v>
      </c>
      <c r="D302" s="8">
        <v>449.0</v>
      </c>
      <c r="E302" s="9">
        <v>0.71</v>
      </c>
      <c r="F302" s="10">
        <v>3.7</v>
      </c>
      <c r="G302" s="10">
        <v>41.0</v>
      </c>
      <c r="K302" s="17">
        <v>3.7</v>
      </c>
    </row>
    <row r="303">
      <c r="A303" s="7" t="s">
        <v>338</v>
      </c>
      <c r="B303" s="7" t="s">
        <v>31</v>
      </c>
      <c r="C303" s="8">
        <v>379.0</v>
      </c>
      <c r="D303" s="8">
        <v>999.0</v>
      </c>
      <c r="E303" s="9">
        <v>0.62</v>
      </c>
      <c r="F303" s="10">
        <v>4.2</v>
      </c>
      <c r="G303" s="11">
        <v>12153.0</v>
      </c>
      <c r="K303" s="17">
        <v>4.2</v>
      </c>
    </row>
    <row r="304">
      <c r="A304" s="7" t="s">
        <v>339</v>
      </c>
      <c r="B304" s="7" t="s">
        <v>31</v>
      </c>
      <c r="C304" s="8">
        <v>185.0</v>
      </c>
      <c r="D304" s="8">
        <v>499.0</v>
      </c>
      <c r="E304" s="9">
        <v>0.63</v>
      </c>
      <c r="F304" s="10">
        <v>4.2</v>
      </c>
      <c r="G304" s="10">
        <v>25.0</v>
      </c>
      <c r="K304" s="17">
        <v>4.2</v>
      </c>
    </row>
    <row r="305">
      <c r="A305" s="7" t="s">
        <v>340</v>
      </c>
      <c r="B305" s="7" t="s">
        <v>25</v>
      </c>
      <c r="C305" s="8">
        <v>218.0</v>
      </c>
      <c r="D305" s="8">
        <v>999.0</v>
      </c>
      <c r="E305" s="9">
        <v>0.78</v>
      </c>
      <c r="F305" s="10">
        <v>4.2</v>
      </c>
      <c r="G305" s="10">
        <v>163.0</v>
      </c>
      <c r="K305" s="17">
        <v>4.2</v>
      </c>
    </row>
    <row r="306">
      <c r="A306" s="7" t="s">
        <v>341</v>
      </c>
      <c r="B306" s="7" t="s">
        <v>15</v>
      </c>
      <c r="C306" s="8">
        <v>199.0</v>
      </c>
      <c r="D306" s="8">
        <v>999.0</v>
      </c>
      <c r="E306" s="9">
        <v>0.8</v>
      </c>
      <c r="F306" s="10">
        <v>4.3</v>
      </c>
      <c r="G306" s="10">
        <v>87.0</v>
      </c>
      <c r="K306" s="17">
        <v>4.3</v>
      </c>
    </row>
    <row r="307">
      <c r="A307" s="7" t="s">
        <v>342</v>
      </c>
      <c r="B307" s="7" t="s">
        <v>31</v>
      </c>
      <c r="C307" s="8">
        <v>499.0</v>
      </c>
      <c r="D307" s="8">
        <v>900.0</v>
      </c>
      <c r="E307" s="9">
        <v>0.45</v>
      </c>
      <c r="F307" s="10">
        <v>4.4</v>
      </c>
      <c r="G307" s="11">
        <v>2165.0</v>
      </c>
      <c r="K307" s="17">
        <v>4.4</v>
      </c>
    </row>
    <row r="308">
      <c r="A308" s="7" t="s">
        <v>343</v>
      </c>
      <c r="B308" s="7" t="s">
        <v>37</v>
      </c>
      <c r="C308" s="8">
        <v>26999.0</v>
      </c>
      <c r="D308" s="8">
        <v>42999.0</v>
      </c>
      <c r="E308" s="9">
        <v>0.37</v>
      </c>
      <c r="F308" s="10">
        <v>4.2</v>
      </c>
      <c r="G308" s="11">
        <v>1510.0</v>
      </c>
      <c r="K308" s="17">
        <v>4.2</v>
      </c>
    </row>
    <row r="309">
      <c r="A309" s="7" t="s">
        <v>344</v>
      </c>
      <c r="B309" s="7" t="s">
        <v>93</v>
      </c>
      <c r="C309" s="8">
        <v>893.0</v>
      </c>
      <c r="D309" s="8">
        <v>1052.0</v>
      </c>
      <c r="E309" s="9">
        <v>0.15</v>
      </c>
      <c r="F309" s="10">
        <v>4.3</v>
      </c>
      <c r="G309" s="10">
        <v>106.0</v>
      </c>
      <c r="K309" s="17">
        <v>4.3</v>
      </c>
    </row>
    <row r="310">
      <c r="A310" s="7" t="s">
        <v>345</v>
      </c>
      <c r="B310" s="7" t="s">
        <v>37</v>
      </c>
      <c r="C310" s="8">
        <v>10990.0</v>
      </c>
      <c r="D310" s="8">
        <v>19990.0</v>
      </c>
      <c r="E310" s="9">
        <v>0.45</v>
      </c>
      <c r="F310" s="10">
        <v>3.7</v>
      </c>
      <c r="G310" s="10">
        <v>129.0</v>
      </c>
      <c r="K310" s="17">
        <v>3.7</v>
      </c>
    </row>
    <row r="311">
      <c r="A311" s="7" t="s">
        <v>346</v>
      </c>
      <c r="B311" s="7" t="s">
        <v>15</v>
      </c>
      <c r="C311" s="8">
        <v>379.0</v>
      </c>
      <c r="D311" s="8">
        <v>1099.0</v>
      </c>
      <c r="E311" s="9">
        <v>0.66</v>
      </c>
      <c r="F311" s="10">
        <v>4.3</v>
      </c>
      <c r="G311" s="11">
        <v>3049.0</v>
      </c>
      <c r="K311" s="17">
        <v>4.3</v>
      </c>
    </row>
    <row r="312">
      <c r="A312" s="7" t="s">
        <v>347</v>
      </c>
      <c r="B312" s="7" t="s">
        <v>37</v>
      </c>
      <c r="C312" s="8">
        <v>16999.0</v>
      </c>
      <c r="D312" s="8">
        <v>25999.0</v>
      </c>
      <c r="E312" s="9">
        <v>0.35</v>
      </c>
      <c r="F312" s="10">
        <v>4.2</v>
      </c>
      <c r="G312" s="11">
        <v>32840.0</v>
      </c>
      <c r="K312" s="17">
        <v>4.2</v>
      </c>
    </row>
    <row r="313">
      <c r="A313" s="7" t="s">
        <v>348</v>
      </c>
      <c r="B313" s="7" t="s">
        <v>31</v>
      </c>
      <c r="C313" s="8">
        <v>699.0</v>
      </c>
      <c r="D313" s="8">
        <v>1899.0</v>
      </c>
      <c r="E313" s="9">
        <v>0.63</v>
      </c>
      <c r="F313" s="10">
        <v>4.4</v>
      </c>
      <c r="G313" s="10">
        <v>390.0</v>
      </c>
      <c r="K313" s="17">
        <v>4.4</v>
      </c>
    </row>
    <row r="314">
      <c r="A314" s="7" t="s">
        <v>349</v>
      </c>
      <c r="B314" s="7" t="s">
        <v>350</v>
      </c>
      <c r="C314" s="8">
        <v>2699.0</v>
      </c>
      <c r="D314" s="8">
        <v>3500.0</v>
      </c>
      <c r="E314" s="9">
        <v>0.23</v>
      </c>
      <c r="F314" s="10">
        <v>3.5</v>
      </c>
      <c r="G314" s="10">
        <v>621.0</v>
      </c>
      <c r="K314" s="17">
        <v>3.5</v>
      </c>
    </row>
    <row r="315">
      <c r="A315" s="7" t="s">
        <v>351</v>
      </c>
      <c r="B315" s="7" t="s">
        <v>15</v>
      </c>
      <c r="C315" s="8">
        <v>129.0</v>
      </c>
      <c r="D315" s="8">
        <v>599.0</v>
      </c>
      <c r="E315" s="9">
        <v>0.78</v>
      </c>
      <c r="F315" s="10">
        <v>4.1</v>
      </c>
      <c r="G315" s="10">
        <v>265.0</v>
      </c>
      <c r="K315" s="17">
        <v>4.1</v>
      </c>
    </row>
    <row r="316">
      <c r="A316" s="7" t="s">
        <v>352</v>
      </c>
      <c r="B316" s="7" t="s">
        <v>15</v>
      </c>
      <c r="C316" s="8">
        <v>389.0</v>
      </c>
      <c r="D316" s="8">
        <v>999.0</v>
      </c>
      <c r="E316" s="9">
        <v>0.61</v>
      </c>
      <c r="F316" s="10">
        <v>4.3</v>
      </c>
      <c r="G316" s="10">
        <v>838.0</v>
      </c>
      <c r="K316" s="17">
        <v>4.3</v>
      </c>
    </row>
    <row r="317">
      <c r="A317" s="7" t="s">
        <v>353</v>
      </c>
      <c r="B317" s="7" t="s">
        <v>71</v>
      </c>
      <c r="C317" s="8">
        <v>246.0</v>
      </c>
      <c r="D317" s="8">
        <v>600.0</v>
      </c>
      <c r="E317" s="9">
        <v>0.59</v>
      </c>
      <c r="F317" s="10">
        <v>4.2</v>
      </c>
      <c r="G317" s="10">
        <v>143.0</v>
      </c>
      <c r="K317" s="17">
        <v>4.2</v>
      </c>
    </row>
    <row r="318">
      <c r="A318" s="7" t="s">
        <v>354</v>
      </c>
      <c r="B318" s="7" t="s">
        <v>15</v>
      </c>
      <c r="C318" s="8">
        <v>299.0</v>
      </c>
      <c r="D318" s="8">
        <v>799.0</v>
      </c>
      <c r="E318" s="9">
        <v>0.63</v>
      </c>
      <c r="F318" s="10">
        <v>4.0</v>
      </c>
      <c r="G318" s="10">
        <v>151.0</v>
      </c>
      <c r="K318" s="17">
        <v>4.0</v>
      </c>
    </row>
    <row r="319">
      <c r="A319" s="7" t="s">
        <v>355</v>
      </c>
      <c r="B319" s="7" t="s">
        <v>71</v>
      </c>
      <c r="C319" s="8">
        <v>247.0</v>
      </c>
      <c r="D319" s="8">
        <v>399.0</v>
      </c>
      <c r="E319" s="9">
        <v>0.38</v>
      </c>
      <c r="F319" s="10">
        <v>3.9</v>
      </c>
      <c r="G319" s="10">
        <v>200.0</v>
      </c>
      <c r="K319" s="17">
        <v>3.9</v>
      </c>
    </row>
    <row r="320">
      <c r="A320" s="7" t="s">
        <v>356</v>
      </c>
      <c r="B320" s="7" t="s">
        <v>71</v>
      </c>
      <c r="C320" s="8">
        <v>1369.0</v>
      </c>
      <c r="D320" s="8">
        <v>2999.0</v>
      </c>
      <c r="E320" s="9">
        <v>0.54</v>
      </c>
      <c r="F320" s="10">
        <v>3.3</v>
      </c>
      <c r="G320" s="10">
        <v>227.0</v>
      </c>
      <c r="K320" s="17">
        <v>3.3</v>
      </c>
    </row>
    <row r="321">
      <c r="A321" s="7" t="s">
        <v>357</v>
      </c>
      <c r="B321" s="7" t="s">
        <v>71</v>
      </c>
      <c r="C321" s="8">
        <v>199.0</v>
      </c>
      <c r="D321" s="8">
        <v>499.0</v>
      </c>
      <c r="E321" s="9">
        <v>0.6</v>
      </c>
      <c r="F321" s="10">
        <v>3.8</v>
      </c>
      <c r="G321" s="10">
        <v>538.0</v>
      </c>
      <c r="K321" s="17">
        <v>3.8</v>
      </c>
    </row>
    <row r="322">
      <c r="A322" s="7" t="s">
        <v>358</v>
      </c>
      <c r="B322" s="7" t="s">
        <v>31</v>
      </c>
      <c r="C322" s="8">
        <v>299.0</v>
      </c>
      <c r="D322" s="8">
        <v>599.0</v>
      </c>
      <c r="E322" s="9">
        <v>0.5</v>
      </c>
      <c r="F322" s="10">
        <v>4.0</v>
      </c>
      <c r="G322" s="10">
        <v>171.0</v>
      </c>
      <c r="K322" s="17">
        <v>4.0</v>
      </c>
    </row>
    <row r="323">
      <c r="A323" s="7" t="s">
        <v>359</v>
      </c>
      <c r="B323" s="7" t="s">
        <v>37</v>
      </c>
      <c r="C323" s="8">
        <v>14999.0</v>
      </c>
      <c r="D323" s="8">
        <v>14999.0</v>
      </c>
      <c r="E323" s="9">
        <v>0.0</v>
      </c>
      <c r="F323" s="10">
        <v>4.3</v>
      </c>
      <c r="G323" s="11">
        <v>27508.0</v>
      </c>
      <c r="K323" s="17">
        <v>4.3</v>
      </c>
    </row>
    <row r="324">
      <c r="A324" s="7" t="s">
        <v>360</v>
      </c>
      <c r="B324" s="7" t="s">
        <v>15</v>
      </c>
      <c r="C324" s="8">
        <v>299.0</v>
      </c>
      <c r="D324" s="8">
        <v>699.0</v>
      </c>
      <c r="E324" s="9">
        <v>0.57</v>
      </c>
      <c r="F324" s="10">
        <v>3.9</v>
      </c>
      <c r="G324" s="11">
        <v>1454.0</v>
      </c>
      <c r="K324" s="17">
        <v>3.9</v>
      </c>
    </row>
    <row r="325">
      <c r="A325" s="7" t="s">
        <v>361</v>
      </c>
      <c r="B325" s="7" t="s">
        <v>37</v>
      </c>
      <c r="C325" s="8">
        <v>24990.0</v>
      </c>
      <c r="D325" s="8">
        <v>51990.0</v>
      </c>
      <c r="E325" s="9">
        <v>0.52</v>
      </c>
      <c r="F325" s="10">
        <v>4.2</v>
      </c>
      <c r="G325" s="11">
        <v>2951.0</v>
      </c>
      <c r="K325" s="17">
        <v>4.2</v>
      </c>
    </row>
    <row r="326">
      <c r="A326" s="7" t="s">
        <v>362</v>
      </c>
      <c r="B326" s="7" t="s">
        <v>15</v>
      </c>
      <c r="C326" s="8">
        <v>249.0</v>
      </c>
      <c r="D326" s="8">
        <v>999.0</v>
      </c>
      <c r="E326" s="9">
        <v>0.75</v>
      </c>
      <c r="F326" s="10">
        <v>5.0</v>
      </c>
      <c r="G326" s="7"/>
      <c r="K326" s="17">
        <v>5.0</v>
      </c>
    </row>
    <row r="327">
      <c r="A327" s="7" t="s">
        <v>363</v>
      </c>
      <c r="B327" s="7" t="s">
        <v>37</v>
      </c>
      <c r="C327" s="8">
        <v>61999.0</v>
      </c>
      <c r="D327" s="8">
        <v>69999.0</v>
      </c>
      <c r="E327" s="9">
        <v>0.11</v>
      </c>
      <c r="F327" s="10">
        <v>4.1</v>
      </c>
      <c r="G327" s="11">
        <v>6753.0</v>
      </c>
      <c r="K327" s="17">
        <v>4.1</v>
      </c>
    </row>
    <row r="328">
      <c r="A328" s="7" t="s">
        <v>364</v>
      </c>
      <c r="B328" s="7" t="s">
        <v>37</v>
      </c>
      <c r="C328" s="8">
        <v>24499.0</v>
      </c>
      <c r="D328" s="8">
        <v>50000.0</v>
      </c>
      <c r="E328" s="9">
        <v>0.51</v>
      </c>
      <c r="F328" s="10">
        <v>3.9</v>
      </c>
      <c r="G328" s="11">
        <v>3518.0</v>
      </c>
      <c r="K328" s="17">
        <v>3.9</v>
      </c>
    </row>
    <row r="329">
      <c r="A329" s="7" t="s">
        <v>365</v>
      </c>
      <c r="B329" s="7" t="s">
        <v>37</v>
      </c>
      <c r="C329" s="8">
        <v>10499.0</v>
      </c>
      <c r="D329" s="8">
        <v>19499.0</v>
      </c>
      <c r="E329" s="9">
        <v>0.46</v>
      </c>
      <c r="F329" s="10">
        <v>4.2</v>
      </c>
      <c r="G329" s="11">
        <v>1510.0</v>
      </c>
      <c r="K329" s="17">
        <v>4.2</v>
      </c>
    </row>
    <row r="330">
      <c r="A330" s="7" t="s">
        <v>366</v>
      </c>
      <c r="B330" s="7" t="s">
        <v>15</v>
      </c>
      <c r="C330" s="8">
        <v>349.0</v>
      </c>
      <c r="D330" s="8">
        <v>999.0</v>
      </c>
      <c r="E330" s="9">
        <v>0.65</v>
      </c>
      <c r="F330" s="10">
        <v>4.3</v>
      </c>
      <c r="G330" s="10">
        <v>838.0</v>
      </c>
      <c r="K330" s="17">
        <v>4.3</v>
      </c>
    </row>
    <row r="331">
      <c r="A331" s="7" t="s">
        <v>367</v>
      </c>
      <c r="B331" s="7" t="s">
        <v>71</v>
      </c>
      <c r="C331" s="8">
        <v>197.0</v>
      </c>
      <c r="D331" s="8">
        <v>499.0</v>
      </c>
      <c r="E331" s="9">
        <v>0.61</v>
      </c>
      <c r="F331" s="10">
        <v>3.8</v>
      </c>
      <c r="G331" s="10">
        <v>136.0</v>
      </c>
      <c r="K331" s="17">
        <v>3.8</v>
      </c>
    </row>
    <row r="332">
      <c r="A332" s="7" t="s">
        <v>368</v>
      </c>
      <c r="B332" s="7" t="s">
        <v>257</v>
      </c>
      <c r="C332" s="8">
        <v>1299.0</v>
      </c>
      <c r="D332" s="8">
        <v>2499.0</v>
      </c>
      <c r="E332" s="9">
        <v>0.48</v>
      </c>
      <c r="F332" s="10">
        <v>4.3</v>
      </c>
      <c r="G332" s="10">
        <v>301.0</v>
      </c>
      <c r="K332" s="17">
        <v>4.3</v>
      </c>
    </row>
    <row r="333">
      <c r="A333" s="7" t="s">
        <v>369</v>
      </c>
      <c r="B333" s="7" t="s">
        <v>15</v>
      </c>
      <c r="C333" s="8">
        <v>1519.0</v>
      </c>
      <c r="D333" s="8">
        <v>1899.0</v>
      </c>
      <c r="E333" s="9">
        <v>0.2</v>
      </c>
      <c r="F333" s="10">
        <v>4.4</v>
      </c>
      <c r="G333" s="11">
        <v>19763.0</v>
      </c>
      <c r="K333" s="17">
        <v>4.4</v>
      </c>
    </row>
    <row r="334">
      <c r="A334" s="7" t="s">
        <v>370</v>
      </c>
      <c r="B334" s="7" t="s">
        <v>37</v>
      </c>
      <c r="C334" s="8">
        <v>46999.0</v>
      </c>
      <c r="D334" s="8">
        <v>69999.0</v>
      </c>
      <c r="E334" s="9">
        <v>0.33</v>
      </c>
      <c r="F334" s="10">
        <v>4.3</v>
      </c>
      <c r="G334" s="11">
        <v>21252.0</v>
      </c>
      <c r="K334" s="17">
        <v>4.3</v>
      </c>
    </row>
    <row r="335">
      <c r="A335" s="7" t="s">
        <v>371</v>
      </c>
      <c r="B335" s="7" t="s">
        <v>15</v>
      </c>
      <c r="C335" s="8">
        <v>299.0</v>
      </c>
      <c r="D335" s="8">
        <v>799.0</v>
      </c>
      <c r="E335" s="9">
        <v>0.63</v>
      </c>
      <c r="F335" s="10">
        <v>4.3</v>
      </c>
      <c r="G335" s="11">
        <v>1902.0</v>
      </c>
      <c r="K335" s="17">
        <v>4.3</v>
      </c>
    </row>
    <row r="336">
      <c r="A336" s="7" t="s">
        <v>372</v>
      </c>
      <c r="B336" s="7" t="s">
        <v>373</v>
      </c>
      <c r="C336" s="8">
        <v>1799.0</v>
      </c>
      <c r="D336" s="8">
        <v>19999.0</v>
      </c>
      <c r="E336" s="9">
        <v>0.91</v>
      </c>
      <c r="F336" s="10">
        <v>4.2</v>
      </c>
      <c r="G336" s="11">
        <v>13937.0</v>
      </c>
      <c r="K336" s="17">
        <v>4.2</v>
      </c>
    </row>
    <row r="337">
      <c r="A337" s="7" t="s">
        <v>374</v>
      </c>
      <c r="B337" s="7" t="s">
        <v>373</v>
      </c>
      <c r="C337" s="8">
        <v>1998.0</v>
      </c>
      <c r="D337" s="8">
        <v>9999.0</v>
      </c>
      <c r="E337" s="9">
        <v>0.8</v>
      </c>
      <c r="F337" s="10">
        <v>4.3</v>
      </c>
      <c r="G337" s="11">
        <v>27696.0</v>
      </c>
      <c r="K337" s="17">
        <v>4.3</v>
      </c>
    </row>
    <row r="338">
      <c r="A338" s="7" t="s">
        <v>375</v>
      </c>
      <c r="B338" s="7" t="s">
        <v>373</v>
      </c>
      <c r="C338" s="8">
        <v>1999.0</v>
      </c>
      <c r="D338" s="8">
        <v>7990.0</v>
      </c>
      <c r="E338" s="9">
        <v>0.75</v>
      </c>
      <c r="F338" s="10">
        <v>3.8</v>
      </c>
      <c r="G338" s="11">
        <v>17831.0</v>
      </c>
      <c r="K338" s="17">
        <v>3.8</v>
      </c>
    </row>
    <row r="339">
      <c r="A339" s="7" t="s">
        <v>376</v>
      </c>
      <c r="B339" s="7" t="s">
        <v>377</v>
      </c>
      <c r="C339" s="8">
        <v>2049.0</v>
      </c>
      <c r="D339" s="8">
        <v>2199.0</v>
      </c>
      <c r="E339" s="9">
        <v>0.07</v>
      </c>
      <c r="F339" s="10">
        <v>4.3</v>
      </c>
      <c r="G339" s="7" t="s">
        <v>378</v>
      </c>
      <c r="K339" s="17">
        <v>4.3</v>
      </c>
    </row>
    <row r="340">
      <c r="A340" s="7" t="s">
        <v>379</v>
      </c>
      <c r="B340" s="7" t="s">
        <v>380</v>
      </c>
      <c r="C340" s="8">
        <v>6499.0</v>
      </c>
      <c r="D340" s="8">
        <v>8999.0</v>
      </c>
      <c r="E340" s="9">
        <v>0.28</v>
      </c>
      <c r="F340" s="10">
        <v>4.0</v>
      </c>
      <c r="G340" s="11">
        <v>7807.0</v>
      </c>
      <c r="K340" s="17">
        <v>4.0</v>
      </c>
    </row>
    <row r="341">
      <c r="A341" s="7" t="s">
        <v>381</v>
      </c>
      <c r="B341" s="7" t="s">
        <v>380</v>
      </c>
      <c r="C341" s="8">
        <v>28999.0</v>
      </c>
      <c r="D341" s="8">
        <v>28999.0</v>
      </c>
      <c r="E341" s="9">
        <v>0.0</v>
      </c>
      <c r="F341" s="10">
        <v>4.3</v>
      </c>
      <c r="G341" s="11">
        <v>17415.0</v>
      </c>
      <c r="K341" s="17">
        <v>4.3</v>
      </c>
    </row>
    <row r="342">
      <c r="A342" s="7" t="s">
        <v>382</v>
      </c>
      <c r="B342" s="7" t="s">
        <v>380</v>
      </c>
      <c r="C342" s="8">
        <v>28999.0</v>
      </c>
      <c r="D342" s="8">
        <v>28999.0</v>
      </c>
      <c r="E342" s="9">
        <v>0.0</v>
      </c>
      <c r="F342" s="10">
        <v>4.3</v>
      </c>
      <c r="G342" s="11">
        <v>17415.0</v>
      </c>
      <c r="K342" s="17">
        <v>4.3</v>
      </c>
    </row>
    <row r="343">
      <c r="A343" s="7" t="s">
        <v>383</v>
      </c>
      <c r="B343" s="7" t="s">
        <v>380</v>
      </c>
      <c r="C343" s="8">
        <v>6499.0</v>
      </c>
      <c r="D343" s="8">
        <v>8999.0</v>
      </c>
      <c r="E343" s="9">
        <v>0.28</v>
      </c>
      <c r="F343" s="10">
        <v>4.0</v>
      </c>
      <c r="G343" s="11">
        <v>7807.0</v>
      </c>
      <c r="K343" s="17">
        <v>4.0</v>
      </c>
    </row>
    <row r="344">
      <c r="A344" s="7" t="s">
        <v>384</v>
      </c>
      <c r="B344" s="7" t="s">
        <v>380</v>
      </c>
      <c r="C344" s="8">
        <v>6499.0</v>
      </c>
      <c r="D344" s="8">
        <v>8999.0</v>
      </c>
      <c r="E344" s="9">
        <v>0.28</v>
      </c>
      <c r="F344" s="10">
        <v>4.0</v>
      </c>
      <c r="G344" s="11">
        <v>7807.0</v>
      </c>
      <c r="K344" s="17">
        <v>4.0</v>
      </c>
    </row>
    <row r="345">
      <c r="A345" s="7" t="s">
        <v>385</v>
      </c>
      <c r="B345" s="7" t="s">
        <v>386</v>
      </c>
      <c r="C345" s="8">
        <v>569.0</v>
      </c>
      <c r="D345" s="8">
        <v>1000.0</v>
      </c>
      <c r="E345" s="9">
        <v>0.43</v>
      </c>
      <c r="F345" s="10">
        <v>4.4</v>
      </c>
      <c r="G345" s="11">
        <v>67259.0</v>
      </c>
      <c r="K345" s="17">
        <v>4.4</v>
      </c>
    </row>
    <row r="346">
      <c r="A346" s="7" t="s">
        <v>387</v>
      </c>
      <c r="B346" s="7" t="s">
        <v>373</v>
      </c>
      <c r="C346" s="8">
        <v>1898.0</v>
      </c>
      <c r="D346" s="8">
        <v>4999.0</v>
      </c>
      <c r="E346" s="9">
        <v>0.62</v>
      </c>
      <c r="F346" s="10">
        <v>4.1</v>
      </c>
      <c r="G346" s="11">
        <v>10689.0</v>
      </c>
      <c r="K346" s="17">
        <v>4.1</v>
      </c>
    </row>
    <row r="347">
      <c r="A347" s="7" t="s">
        <v>388</v>
      </c>
      <c r="B347" s="7" t="s">
        <v>389</v>
      </c>
      <c r="C347" s="8">
        <v>1299.0</v>
      </c>
      <c r="D347" s="8">
        <v>1599.0</v>
      </c>
      <c r="E347" s="9">
        <v>0.19</v>
      </c>
      <c r="F347" s="10">
        <v>4.0</v>
      </c>
      <c r="G347" s="7" t="s">
        <v>390</v>
      </c>
      <c r="K347" s="17">
        <v>4.0</v>
      </c>
    </row>
    <row r="348">
      <c r="A348" s="7" t="s">
        <v>391</v>
      </c>
      <c r="B348" s="7" t="s">
        <v>373</v>
      </c>
      <c r="C348" s="8">
        <v>1499.0</v>
      </c>
      <c r="D348" s="8">
        <v>6990.0</v>
      </c>
      <c r="E348" s="9">
        <v>0.79</v>
      </c>
      <c r="F348" s="10">
        <v>3.9</v>
      </c>
      <c r="G348" s="11">
        <v>21796.0</v>
      </c>
      <c r="K348" s="17">
        <v>3.9</v>
      </c>
    </row>
    <row r="349">
      <c r="A349" s="7" t="s">
        <v>392</v>
      </c>
      <c r="B349" s="7" t="s">
        <v>393</v>
      </c>
      <c r="C349" s="8">
        <v>599.0</v>
      </c>
      <c r="D349" s="8">
        <v>999.0</v>
      </c>
      <c r="E349" s="9">
        <v>0.4</v>
      </c>
      <c r="F349" s="10">
        <v>4.1</v>
      </c>
      <c r="G349" s="7" t="s">
        <v>394</v>
      </c>
      <c r="K349" s="17">
        <v>4.1</v>
      </c>
    </row>
    <row r="350">
      <c r="A350" s="7" t="s">
        <v>395</v>
      </c>
      <c r="B350" s="7" t="s">
        <v>380</v>
      </c>
      <c r="C350" s="8">
        <v>9499.0</v>
      </c>
      <c r="D350" s="8">
        <v>11999.0</v>
      </c>
      <c r="E350" s="9">
        <v>0.21</v>
      </c>
      <c r="F350" s="10">
        <v>4.2</v>
      </c>
      <c r="G350" s="10">
        <v>284.0</v>
      </c>
      <c r="K350" s="17">
        <v>4.2</v>
      </c>
    </row>
    <row r="351">
      <c r="A351" s="7" t="s">
        <v>396</v>
      </c>
      <c r="B351" s="7" t="s">
        <v>393</v>
      </c>
      <c r="C351" s="8">
        <v>599.0</v>
      </c>
      <c r="D351" s="8">
        <v>2499.0</v>
      </c>
      <c r="E351" s="9">
        <v>0.76</v>
      </c>
      <c r="F351" s="10">
        <v>3.9</v>
      </c>
      <c r="G351" s="11">
        <v>58162.0</v>
      </c>
      <c r="K351" s="17">
        <v>3.9</v>
      </c>
    </row>
    <row r="352">
      <c r="A352" s="7" t="s">
        <v>397</v>
      </c>
      <c r="B352" s="7" t="s">
        <v>380</v>
      </c>
      <c r="C352" s="8">
        <v>8999.0</v>
      </c>
      <c r="D352" s="8">
        <v>11999.0</v>
      </c>
      <c r="E352" s="9">
        <v>0.25</v>
      </c>
      <c r="F352" s="10">
        <v>4.0</v>
      </c>
      <c r="G352" s="11">
        <v>12796.0</v>
      </c>
      <c r="K352" s="17">
        <v>4.0</v>
      </c>
    </row>
    <row r="353">
      <c r="A353" s="7" t="s">
        <v>398</v>
      </c>
      <c r="B353" s="7" t="s">
        <v>399</v>
      </c>
      <c r="C353" s="8">
        <v>349.0</v>
      </c>
      <c r="D353" s="8">
        <v>1299.0</v>
      </c>
      <c r="E353" s="9">
        <v>0.73</v>
      </c>
      <c r="F353" s="10">
        <v>4.0</v>
      </c>
      <c r="G353" s="11">
        <v>14282.0</v>
      </c>
      <c r="K353" s="17">
        <v>4.0</v>
      </c>
    </row>
    <row r="354">
      <c r="A354" s="7" t="s">
        <v>400</v>
      </c>
      <c r="B354" s="7" t="s">
        <v>393</v>
      </c>
      <c r="C354" s="8">
        <v>349.0</v>
      </c>
      <c r="D354" s="8">
        <v>999.0</v>
      </c>
      <c r="E354" s="9">
        <v>0.65</v>
      </c>
      <c r="F354" s="10">
        <v>4.1</v>
      </c>
      <c r="G354" s="7" t="s">
        <v>401</v>
      </c>
      <c r="K354" s="17">
        <v>4.1</v>
      </c>
    </row>
    <row r="355">
      <c r="A355" s="7" t="s">
        <v>402</v>
      </c>
      <c r="B355" s="7" t="s">
        <v>386</v>
      </c>
      <c r="C355" s="8">
        <v>959.0</v>
      </c>
      <c r="D355" s="8">
        <v>1800.0</v>
      </c>
      <c r="E355" s="9">
        <v>0.47</v>
      </c>
      <c r="F355" s="10">
        <v>4.4</v>
      </c>
      <c r="G355" s="11">
        <v>67259.0</v>
      </c>
      <c r="K355" s="17">
        <v>4.4</v>
      </c>
    </row>
    <row r="356">
      <c r="A356" s="7" t="s">
        <v>403</v>
      </c>
      <c r="B356" s="7" t="s">
        <v>380</v>
      </c>
      <c r="C356" s="8">
        <v>9499.0</v>
      </c>
      <c r="D356" s="8">
        <v>11999.0</v>
      </c>
      <c r="E356" s="9">
        <v>0.21</v>
      </c>
      <c r="F356" s="10">
        <v>4.2</v>
      </c>
      <c r="G356" s="10">
        <v>284.0</v>
      </c>
      <c r="K356" s="17">
        <v>4.2</v>
      </c>
    </row>
    <row r="357">
      <c r="A357" s="7" t="s">
        <v>404</v>
      </c>
      <c r="B357" s="7" t="s">
        <v>377</v>
      </c>
      <c r="C357" s="8">
        <v>1499.0</v>
      </c>
      <c r="D357" s="8">
        <v>2499.0</v>
      </c>
      <c r="E357" s="9">
        <v>0.4</v>
      </c>
      <c r="F357" s="10">
        <v>4.3</v>
      </c>
      <c r="G357" s="11">
        <v>15970.0</v>
      </c>
      <c r="K357" s="17">
        <v>4.3</v>
      </c>
    </row>
    <row r="358">
      <c r="A358" s="7" t="s">
        <v>405</v>
      </c>
      <c r="B358" s="7" t="s">
        <v>377</v>
      </c>
      <c r="C358" s="8">
        <v>1149.0</v>
      </c>
      <c r="D358" s="8">
        <v>2199.0</v>
      </c>
      <c r="E358" s="9">
        <v>0.48</v>
      </c>
      <c r="F358" s="10">
        <v>4.3</v>
      </c>
      <c r="G358" s="7" t="s">
        <v>378</v>
      </c>
      <c r="K358" s="17">
        <v>4.3</v>
      </c>
    </row>
    <row r="359">
      <c r="A359" s="7" t="s">
        <v>406</v>
      </c>
      <c r="B359" s="7" t="s">
        <v>407</v>
      </c>
      <c r="C359" s="8">
        <v>349.0</v>
      </c>
      <c r="D359" s="8">
        <v>999.0</v>
      </c>
      <c r="E359" s="9">
        <v>0.65</v>
      </c>
      <c r="F359" s="10">
        <v>3.9</v>
      </c>
      <c r="G359" s="11">
        <v>46399.0</v>
      </c>
      <c r="K359" s="17">
        <v>3.9</v>
      </c>
    </row>
    <row r="360">
      <c r="A360" s="7" t="s">
        <v>408</v>
      </c>
      <c r="B360" s="7" t="s">
        <v>409</v>
      </c>
      <c r="C360" s="8">
        <v>1219.0</v>
      </c>
      <c r="D360" s="8">
        <v>1699.0</v>
      </c>
      <c r="E360" s="9">
        <v>0.28</v>
      </c>
      <c r="F360" s="10">
        <v>4.4</v>
      </c>
      <c r="G360" s="11">
        <v>8891.0</v>
      </c>
      <c r="K360" s="17">
        <v>4.4</v>
      </c>
    </row>
    <row r="361">
      <c r="A361" s="7" t="s">
        <v>410</v>
      </c>
      <c r="B361" s="7" t="s">
        <v>373</v>
      </c>
      <c r="C361" s="8">
        <v>1599.0</v>
      </c>
      <c r="D361" s="8">
        <v>3999.0</v>
      </c>
      <c r="E361" s="9">
        <v>0.6</v>
      </c>
      <c r="F361" s="10">
        <v>4.0</v>
      </c>
      <c r="G361" s="11">
        <v>30254.0</v>
      </c>
      <c r="K361" s="17">
        <v>4.0</v>
      </c>
    </row>
    <row r="362">
      <c r="A362" s="7" t="s">
        <v>411</v>
      </c>
      <c r="B362" s="7" t="s">
        <v>373</v>
      </c>
      <c r="C362" s="8">
        <v>1499.0</v>
      </c>
      <c r="D362" s="8">
        <v>7999.0</v>
      </c>
      <c r="E362" s="9">
        <v>0.81</v>
      </c>
      <c r="F362" s="10">
        <v>4.2</v>
      </c>
      <c r="G362" s="11">
        <v>22636.0</v>
      </c>
      <c r="K362" s="17">
        <v>4.2</v>
      </c>
    </row>
    <row r="363">
      <c r="A363" s="7" t="s">
        <v>412</v>
      </c>
      <c r="B363" s="7" t="s">
        <v>380</v>
      </c>
      <c r="C363" s="8">
        <v>18499.0</v>
      </c>
      <c r="D363" s="8">
        <v>25999.0</v>
      </c>
      <c r="E363" s="9">
        <v>0.29</v>
      </c>
      <c r="F363" s="10">
        <v>4.1</v>
      </c>
      <c r="G363" s="11">
        <v>22318.0</v>
      </c>
      <c r="K363" s="17">
        <v>4.1</v>
      </c>
    </row>
    <row r="364">
      <c r="A364" s="7" t="s">
        <v>413</v>
      </c>
      <c r="B364" s="7" t="s">
        <v>386</v>
      </c>
      <c r="C364" s="8">
        <v>369.0</v>
      </c>
      <c r="D364" s="8">
        <v>700.0</v>
      </c>
      <c r="E364" s="9">
        <v>0.47</v>
      </c>
      <c r="F364" s="10">
        <v>4.4</v>
      </c>
      <c r="G364" s="11">
        <v>67259.0</v>
      </c>
      <c r="K364" s="17">
        <v>4.4</v>
      </c>
    </row>
    <row r="365">
      <c r="A365" s="7" t="s">
        <v>414</v>
      </c>
      <c r="B365" s="7" t="s">
        <v>380</v>
      </c>
      <c r="C365" s="8">
        <v>12999.0</v>
      </c>
      <c r="D365" s="8">
        <v>17999.0</v>
      </c>
      <c r="E365" s="9">
        <v>0.28</v>
      </c>
      <c r="F365" s="10">
        <v>4.1</v>
      </c>
      <c r="G365" s="11">
        <v>18998.0</v>
      </c>
      <c r="K365" s="17">
        <v>4.1</v>
      </c>
    </row>
    <row r="366">
      <c r="A366" s="7" t="s">
        <v>372</v>
      </c>
      <c r="B366" s="7" t="s">
        <v>373</v>
      </c>
      <c r="C366" s="8">
        <v>1799.0</v>
      </c>
      <c r="D366" s="8">
        <v>19999.0</v>
      </c>
      <c r="E366" s="9">
        <v>0.91</v>
      </c>
      <c r="F366" s="10">
        <v>4.2</v>
      </c>
      <c r="G366" s="11">
        <v>13937.0</v>
      </c>
      <c r="K366" s="17">
        <v>4.2</v>
      </c>
    </row>
    <row r="367">
      <c r="A367" s="7" t="s">
        <v>415</v>
      </c>
      <c r="B367" s="7" t="s">
        <v>373</v>
      </c>
      <c r="C367" s="8">
        <v>2199.0</v>
      </c>
      <c r="D367" s="8">
        <v>9999.0</v>
      </c>
      <c r="E367" s="9">
        <v>0.78</v>
      </c>
      <c r="F367" s="10">
        <v>4.2</v>
      </c>
      <c r="G367" s="11">
        <v>29471.0</v>
      </c>
      <c r="K367" s="17">
        <v>4.2</v>
      </c>
    </row>
    <row r="368">
      <c r="A368" s="7" t="s">
        <v>416</v>
      </c>
      <c r="B368" s="7" t="s">
        <v>380</v>
      </c>
      <c r="C368" s="8">
        <v>16999.0</v>
      </c>
      <c r="D368" s="8">
        <v>24999.0</v>
      </c>
      <c r="E368" s="9">
        <v>0.32</v>
      </c>
      <c r="F368" s="10">
        <v>4.1</v>
      </c>
      <c r="G368" s="11">
        <v>22318.0</v>
      </c>
      <c r="K368" s="17">
        <v>4.1</v>
      </c>
    </row>
    <row r="369">
      <c r="A369" s="7" t="s">
        <v>417</v>
      </c>
      <c r="B369" s="7" t="s">
        <v>380</v>
      </c>
      <c r="C369" s="8">
        <v>16499.0</v>
      </c>
      <c r="D369" s="8">
        <v>20999.0</v>
      </c>
      <c r="E369" s="9">
        <v>0.21</v>
      </c>
      <c r="F369" s="10">
        <v>4.0</v>
      </c>
      <c r="G369" s="11">
        <v>21350.0</v>
      </c>
      <c r="K369" s="17">
        <v>4.0</v>
      </c>
    </row>
    <row r="370">
      <c r="A370" s="7" t="s">
        <v>372</v>
      </c>
      <c r="B370" s="7" t="s">
        <v>373</v>
      </c>
      <c r="C370" s="8">
        <v>1799.0</v>
      </c>
      <c r="D370" s="8">
        <v>19999.0</v>
      </c>
      <c r="E370" s="9">
        <v>0.91</v>
      </c>
      <c r="F370" s="10">
        <v>4.2</v>
      </c>
      <c r="G370" s="11">
        <v>13937.0</v>
      </c>
      <c r="K370" s="17">
        <v>4.2</v>
      </c>
    </row>
    <row r="371">
      <c r="A371" s="7" t="s">
        <v>14</v>
      </c>
      <c r="B371" s="7" t="s">
        <v>15</v>
      </c>
      <c r="C371" s="8">
        <v>399.0</v>
      </c>
      <c r="D371" s="8">
        <v>1099.0</v>
      </c>
      <c r="E371" s="9">
        <v>0.64</v>
      </c>
      <c r="F371" s="10">
        <v>4.2</v>
      </c>
      <c r="G371" s="11">
        <v>24270.0</v>
      </c>
      <c r="K371" s="17">
        <v>4.2</v>
      </c>
    </row>
    <row r="372">
      <c r="A372" s="7" t="s">
        <v>418</v>
      </c>
      <c r="B372" s="7" t="s">
        <v>380</v>
      </c>
      <c r="C372" s="8">
        <v>8499.0</v>
      </c>
      <c r="D372" s="8">
        <v>10999.0</v>
      </c>
      <c r="E372" s="9">
        <v>0.23</v>
      </c>
      <c r="F372" s="10">
        <v>4.1</v>
      </c>
      <c r="G372" s="7" t="s">
        <v>419</v>
      </c>
      <c r="K372" s="17">
        <v>4.1</v>
      </c>
    </row>
    <row r="373">
      <c r="A373" s="7" t="s">
        <v>420</v>
      </c>
      <c r="B373" s="7" t="s">
        <v>380</v>
      </c>
      <c r="C373" s="8">
        <v>6499.0</v>
      </c>
      <c r="D373" s="8">
        <v>8499.0</v>
      </c>
      <c r="E373" s="9">
        <v>0.24</v>
      </c>
      <c r="F373" s="10">
        <v>4.1</v>
      </c>
      <c r="G373" s="7" t="s">
        <v>419</v>
      </c>
      <c r="K373" s="17">
        <v>4.1</v>
      </c>
    </row>
    <row r="374">
      <c r="A374" s="7" t="s">
        <v>372</v>
      </c>
      <c r="B374" s="7" t="s">
        <v>373</v>
      </c>
      <c r="C374" s="8">
        <v>1799.0</v>
      </c>
      <c r="D374" s="8">
        <v>19999.0</v>
      </c>
      <c r="E374" s="9">
        <v>0.91</v>
      </c>
      <c r="F374" s="10">
        <v>4.2</v>
      </c>
      <c r="G374" s="11">
        <v>13937.0</v>
      </c>
      <c r="K374" s="17">
        <v>4.2</v>
      </c>
    </row>
    <row r="375">
      <c r="A375" s="7" t="s">
        <v>421</v>
      </c>
      <c r="B375" s="7" t="s">
        <v>380</v>
      </c>
      <c r="C375" s="8">
        <v>8999.0</v>
      </c>
      <c r="D375" s="8">
        <v>11999.0</v>
      </c>
      <c r="E375" s="9">
        <v>0.25</v>
      </c>
      <c r="F375" s="10">
        <v>4.0</v>
      </c>
      <c r="G375" s="11">
        <v>12796.0</v>
      </c>
      <c r="K375" s="17">
        <v>4.0</v>
      </c>
    </row>
    <row r="376">
      <c r="A376" s="7" t="s">
        <v>422</v>
      </c>
      <c r="B376" s="7" t="s">
        <v>423</v>
      </c>
      <c r="C376" s="8">
        <v>139.0</v>
      </c>
      <c r="D376" s="8">
        <v>495.0</v>
      </c>
      <c r="E376" s="9">
        <v>0.72</v>
      </c>
      <c r="F376" s="10">
        <v>4.3</v>
      </c>
      <c r="G376" s="11">
        <v>14185.0</v>
      </c>
      <c r="K376" s="17">
        <v>4.3</v>
      </c>
    </row>
    <row r="377">
      <c r="A377" s="7" t="s">
        <v>424</v>
      </c>
      <c r="B377" s="7" t="s">
        <v>373</v>
      </c>
      <c r="C377" s="8">
        <v>3999.0</v>
      </c>
      <c r="D377" s="8">
        <v>16999.0</v>
      </c>
      <c r="E377" s="9">
        <v>0.76</v>
      </c>
      <c r="F377" s="10">
        <v>4.3</v>
      </c>
      <c r="G377" s="11">
        <v>17159.0</v>
      </c>
      <c r="K377" s="17">
        <v>4.3</v>
      </c>
    </row>
    <row r="378">
      <c r="A378" s="7" t="s">
        <v>425</v>
      </c>
      <c r="B378" s="7" t="s">
        <v>373</v>
      </c>
      <c r="C378" s="8">
        <v>2998.0</v>
      </c>
      <c r="D378" s="8">
        <v>5999.0</v>
      </c>
      <c r="E378" s="9">
        <v>0.5</v>
      </c>
      <c r="F378" s="10">
        <v>4.1</v>
      </c>
      <c r="G378" s="11">
        <v>5179.0</v>
      </c>
      <c r="K378" s="17">
        <v>4.1</v>
      </c>
    </row>
    <row r="379">
      <c r="A379" s="7" t="s">
        <v>17</v>
      </c>
      <c r="B379" s="7" t="s">
        <v>15</v>
      </c>
      <c r="C379" s="8">
        <v>199.0</v>
      </c>
      <c r="D379" s="8">
        <v>349.0</v>
      </c>
      <c r="E379" s="9">
        <v>0.43</v>
      </c>
      <c r="F379" s="10">
        <v>4.0</v>
      </c>
      <c r="G379" s="11">
        <v>43993.0</v>
      </c>
      <c r="K379" s="17">
        <v>4.0</v>
      </c>
    </row>
    <row r="380">
      <c r="A380" s="7" t="s">
        <v>426</v>
      </c>
      <c r="B380" s="7" t="s">
        <v>380</v>
      </c>
      <c r="C380" s="8">
        <v>15499.0</v>
      </c>
      <c r="D380" s="8">
        <v>18999.0</v>
      </c>
      <c r="E380" s="9">
        <v>0.18</v>
      </c>
      <c r="F380" s="10">
        <v>4.1</v>
      </c>
      <c r="G380" s="11">
        <v>19252.0</v>
      </c>
      <c r="K380" s="17">
        <v>4.1</v>
      </c>
    </row>
    <row r="381">
      <c r="A381" s="7" t="s">
        <v>18</v>
      </c>
      <c r="B381" s="7" t="s">
        <v>15</v>
      </c>
      <c r="C381" s="8">
        <v>199.0</v>
      </c>
      <c r="D381" s="8">
        <v>999.0</v>
      </c>
      <c r="E381" s="9">
        <v>0.8</v>
      </c>
      <c r="F381" s="10">
        <v>3.9</v>
      </c>
      <c r="G381" s="11">
        <v>7928.0</v>
      </c>
      <c r="K381" s="17">
        <v>3.9</v>
      </c>
    </row>
    <row r="382">
      <c r="A382" s="7" t="s">
        <v>372</v>
      </c>
      <c r="B382" s="7" t="s">
        <v>373</v>
      </c>
      <c r="C382" s="8">
        <v>1799.0</v>
      </c>
      <c r="D382" s="8">
        <v>19999.0</v>
      </c>
      <c r="E382" s="9">
        <v>0.91</v>
      </c>
      <c r="F382" s="10">
        <v>4.2</v>
      </c>
      <c r="G382" s="11">
        <v>13937.0</v>
      </c>
      <c r="K382" s="17">
        <v>4.2</v>
      </c>
    </row>
    <row r="383">
      <c r="A383" s="7" t="s">
        <v>427</v>
      </c>
      <c r="B383" s="7" t="s">
        <v>380</v>
      </c>
      <c r="C383" s="8">
        <v>8999.0</v>
      </c>
      <c r="D383" s="8">
        <v>11999.0</v>
      </c>
      <c r="E383" s="9">
        <v>0.25</v>
      </c>
      <c r="F383" s="10">
        <v>4.0</v>
      </c>
      <c r="G383" s="11">
        <v>12796.0</v>
      </c>
      <c r="K383" s="17">
        <v>4.0</v>
      </c>
    </row>
    <row r="384">
      <c r="A384" s="7" t="s">
        <v>428</v>
      </c>
      <c r="B384" s="7" t="s">
        <v>399</v>
      </c>
      <c r="C384" s="8">
        <v>873.0</v>
      </c>
      <c r="D384" s="8">
        <v>1699.0</v>
      </c>
      <c r="E384" s="9">
        <v>0.49</v>
      </c>
      <c r="F384" s="10">
        <v>4.4</v>
      </c>
      <c r="G384" s="11">
        <v>1680.0</v>
      </c>
      <c r="K384" s="17">
        <v>4.4</v>
      </c>
    </row>
    <row r="385">
      <c r="A385" s="7" t="s">
        <v>429</v>
      </c>
      <c r="B385" s="7" t="s">
        <v>380</v>
      </c>
      <c r="C385" s="8">
        <v>12999.0</v>
      </c>
      <c r="D385" s="8">
        <v>15999.0</v>
      </c>
      <c r="E385" s="9">
        <v>0.19</v>
      </c>
      <c r="F385" s="10">
        <v>4.2</v>
      </c>
      <c r="G385" s="11">
        <v>13246.0</v>
      </c>
      <c r="K385" s="17">
        <v>4.2</v>
      </c>
    </row>
    <row r="386">
      <c r="A386" s="7" t="s">
        <v>430</v>
      </c>
      <c r="B386" s="7" t="s">
        <v>431</v>
      </c>
      <c r="C386" s="8">
        <v>539.0</v>
      </c>
      <c r="D386" s="8">
        <v>1599.0</v>
      </c>
      <c r="E386" s="9">
        <v>0.66</v>
      </c>
      <c r="F386" s="10">
        <v>3.8</v>
      </c>
      <c r="G386" s="11">
        <v>14648.0</v>
      </c>
      <c r="K386" s="17">
        <v>3.8</v>
      </c>
    </row>
    <row r="387">
      <c r="A387" s="7" t="s">
        <v>374</v>
      </c>
      <c r="B387" s="7" t="s">
        <v>373</v>
      </c>
      <c r="C387" s="8">
        <v>1999.0</v>
      </c>
      <c r="D387" s="8">
        <v>9999.0</v>
      </c>
      <c r="E387" s="9">
        <v>0.8</v>
      </c>
      <c r="F387" s="10">
        <v>4.3</v>
      </c>
      <c r="G387" s="11">
        <v>27696.0</v>
      </c>
      <c r="K387" s="17">
        <v>4.3</v>
      </c>
    </row>
    <row r="388">
      <c r="A388" s="7" t="s">
        <v>432</v>
      </c>
      <c r="B388" s="7" t="s">
        <v>380</v>
      </c>
      <c r="C388" s="8">
        <v>15490.0</v>
      </c>
      <c r="D388" s="8">
        <v>20990.0</v>
      </c>
      <c r="E388" s="9">
        <v>0.26</v>
      </c>
      <c r="F388" s="10">
        <v>4.2</v>
      </c>
      <c r="G388" s="11">
        <v>32916.0</v>
      </c>
      <c r="K388" s="17">
        <v>4.2</v>
      </c>
    </row>
    <row r="389">
      <c r="A389" s="7" t="s">
        <v>433</v>
      </c>
      <c r="B389" s="7" t="s">
        <v>380</v>
      </c>
      <c r="C389" s="8">
        <v>19999.0</v>
      </c>
      <c r="D389" s="8">
        <v>24999.0</v>
      </c>
      <c r="E389" s="9">
        <v>0.2</v>
      </c>
      <c r="F389" s="10">
        <v>3.9</v>
      </c>
      <c r="G389" s="11">
        <v>25824.0</v>
      </c>
      <c r="K389" s="17">
        <v>3.9</v>
      </c>
    </row>
    <row r="390">
      <c r="A390" s="7" t="s">
        <v>434</v>
      </c>
      <c r="B390" s="7" t="s">
        <v>409</v>
      </c>
      <c r="C390" s="8">
        <v>1075.0</v>
      </c>
      <c r="D390" s="8">
        <v>1699.0</v>
      </c>
      <c r="E390" s="9">
        <v>0.37</v>
      </c>
      <c r="F390" s="10">
        <v>4.4</v>
      </c>
      <c r="G390" s="11">
        <v>7462.0</v>
      </c>
      <c r="K390" s="17">
        <v>4.4</v>
      </c>
    </row>
    <row r="391">
      <c r="A391" s="7" t="s">
        <v>435</v>
      </c>
      <c r="B391" s="7" t="s">
        <v>393</v>
      </c>
      <c r="C391" s="8">
        <v>399.0</v>
      </c>
      <c r="D391" s="8">
        <v>699.0</v>
      </c>
      <c r="E391" s="9">
        <v>0.43</v>
      </c>
      <c r="F391" s="10">
        <v>4.0</v>
      </c>
      <c r="G391" s="11">
        <v>37817.0</v>
      </c>
      <c r="K391" s="17">
        <v>4.0</v>
      </c>
    </row>
    <row r="392">
      <c r="A392" s="7" t="s">
        <v>436</v>
      </c>
      <c r="B392" s="7" t="s">
        <v>373</v>
      </c>
      <c r="C392" s="8">
        <v>1999.0</v>
      </c>
      <c r="D392" s="8">
        <v>3990.0</v>
      </c>
      <c r="E392" s="9">
        <v>0.5</v>
      </c>
      <c r="F392" s="10">
        <v>4.0</v>
      </c>
      <c r="G392" s="11">
        <v>30254.0</v>
      </c>
      <c r="K392" s="17">
        <v>4.0</v>
      </c>
    </row>
    <row r="393">
      <c r="A393" s="7" t="s">
        <v>437</v>
      </c>
      <c r="B393" s="7" t="s">
        <v>373</v>
      </c>
      <c r="C393" s="8">
        <v>1999.0</v>
      </c>
      <c r="D393" s="8">
        <v>7990.0</v>
      </c>
      <c r="E393" s="9">
        <v>0.75</v>
      </c>
      <c r="F393" s="10">
        <v>3.8</v>
      </c>
      <c r="G393" s="11">
        <v>17831.0</v>
      </c>
      <c r="K393" s="17">
        <v>3.8</v>
      </c>
    </row>
    <row r="394">
      <c r="A394" s="7" t="s">
        <v>19</v>
      </c>
      <c r="B394" s="7" t="s">
        <v>15</v>
      </c>
      <c r="C394" s="8">
        <v>329.0</v>
      </c>
      <c r="D394" s="8">
        <v>699.0</v>
      </c>
      <c r="E394" s="9">
        <v>0.53</v>
      </c>
      <c r="F394" s="10">
        <v>4.2</v>
      </c>
      <c r="G394" s="11">
        <v>94364.0</v>
      </c>
      <c r="K394" s="17">
        <v>4.2</v>
      </c>
    </row>
    <row r="395">
      <c r="A395" s="7" t="s">
        <v>20</v>
      </c>
      <c r="B395" s="7" t="s">
        <v>15</v>
      </c>
      <c r="C395" s="8">
        <v>154.0</v>
      </c>
      <c r="D395" s="8">
        <v>399.0</v>
      </c>
      <c r="E395" s="9">
        <v>0.61</v>
      </c>
      <c r="F395" s="10">
        <v>4.2</v>
      </c>
      <c r="G395" s="11">
        <v>16905.0</v>
      </c>
      <c r="K395" s="17">
        <v>4.2</v>
      </c>
    </row>
    <row r="396">
      <c r="A396" s="7" t="s">
        <v>438</v>
      </c>
      <c r="B396" s="7" t="s">
        <v>380</v>
      </c>
      <c r="C396" s="8">
        <v>28999.0</v>
      </c>
      <c r="D396" s="8">
        <v>34999.0</v>
      </c>
      <c r="E396" s="9">
        <v>0.17</v>
      </c>
      <c r="F396" s="10">
        <v>4.4</v>
      </c>
      <c r="G396" s="11">
        <v>20311.0</v>
      </c>
      <c r="K396" s="17">
        <v>4.4</v>
      </c>
    </row>
    <row r="397">
      <c r="A397" s="7" t="s">
        <v>439</v>
      </c>
      <c r="B397" s="7" t="s">
        <v>373</v>
      </c>
      <c r="C397" s="8">
        <v>2299.0</v>
      </c>
      <c r="D397" s="8">
        <v>7990.0</v>
      </c>
      <c r="E397" s="9">
        <v>0.71</v>
      </c>
      <c r="F397" s="10">
        <v>4.2</v>
      </c>
      <c r="G397" s="11">
        <v>69622.0</v>
      </c>
      <c r="K397" s="17">
        <v>4.2</v>
      </c>
    </row>
    <row r="398">
      <c r="A398" s="7" t="s">
        <v>440</v>
      </c>
      <c r="B398" s="7" t="s">
        <v>441</v>
      </c>
      <c r="C398" s="8">
        <v>399.0</v>
      </c>
      <c r="D398" s="8">
        <v>1999.0</v>
      </c>
      <c r="E398" s="9">
        <v>0.8</v>
      </c>
      <c r="F398" s="10">
        <v>4.0</v>
      </c>
      <c r="G398" s="11">
        <v>3382.0</v>
      </c>
      <c r="K398" s="17">
        <v>4.0</v>
      </c>
    </row>
    <row r="399">
      <c r="A399" s="7" t="s">
        <v>442</v>
      </c>
      <c r="B399" s="7" t="s">
        <v>386</v>
      </c>
      <c r="C399" s="8">
        <v>1149.0</v>
      </c>
      <c r="D399" s="8">
        <v>3999.0</v>
      </c>
      <c r="E399" s="9">
        <v>0.71</v>
      </c>
      <c r="F399" s="10">
        <v>4.3</v>
      </c>
      <c r="G399" s="7" t="s">
        <v>443</v>
      </c>
      <c r="K399" s="17">
        <v>4.3</v>
      </c>
    </row>
    <row r="400">
      <c r="A400" s="7" t="s">
        <v>444</v>
      </c>
      <c r="B400" s="7" t="s">
        <v>409</v>
      </c>
      <c r="C400" s="8">
        <v>529.0</v>
      </c>
      <c r="D400" s="8">
        <v>1499.0</v>
      </c>
      <c r="E400" s="9">
        <v>0.65</v>
      </c>
      <c r="F400" s="10">
        <v>4.1</v>
      </c>
      <c r="G400" s="11">
        <v>8599.0</v>
      </c>
      <c r="K400" s="17">
        <v>4.1</v>
      </c>
    </row>
    <row r="401">
      <c r="A401" s="7" t="s">
        <v>445</v>
      </c>
      <c r="B401" s="7" t="s">
        <v>380</v>
      </c>
      <c r="C401" s="8">
        <v>13999.0</v>
      </c>
      <c r="D401" s="8">
        <v>19499.0</v>
      </c>
      <c r="E401" s="9">
        <v>0.28</v>
      </c>
      <c r="F401" s="10">
        <v>4.1</v>
      </c>
      <c r="G401" s="11">
        <v>18998.0</v>
      </c>
      <c r="K401" s="17">
        <v>4.1</v>
      </c>
    </row>
    <row r="402">
      <c r="A402" s="7" t="s">
        <v>446</v>
      </c>
      <c r="B402" s="7" t="s">
        <v>393</v>
      </c>
      <c r="C402" s="8">
        <v>379.0</v>
      </c>
      <c r="D402" s="8">
        <v>999.0</v>
      </c>
      <c r="E402" s="9">
        <v>0.62</v>
      </c>
      <c r="F402" s="10">
        <v>4.1</v>
      </c>
      <c r="G402" s="7" t="s">
        <v>401</v>
      </c>
      <c r="K402" s="17">
        <v>4.1</v>
      </c>
    </row>
    <row r="403">
      <c r="A403" s="7" t="s">
        <v>447</v>
      </c>
      <c r="B403" s="7" t="s">
        <v>380</v>
      </c>
      <c r="C403" s="8">
        <v>13999.0</v>
      </c>
      <c r="D403" s="8">
        <v>19999.0</v>
      </c>
      <c r="E403" s="9">
        <v>0.3</v>
      </c>
      <c r="F403" s="10">
        <v>4.1</v>
      </c>
      <c r="G403" s="11">
        <v>19252.0</v>
      </c>
      <c r="K403" s="17">
        <v>4.1</v>
      </c>
    </row>
    <row r="404">
      <c r="A404" s="7" t="s">
        <v>448</v>
      </c>
      <c r="B404" s="7" t="s">
        <v>373</v>
      </c>
      <c r="C404" s="8">
        <v>3999.0</v>
      </c>
      <c r="D404" s="8">
        <v>9999.0</v>
      </c>
      <c r="E404" s="9">
        <v>0.6</v>
      </c>
      <c r="F404" s="10">
        <v>4.4</v>
      </c>
      <c r="G404" s="10">
        <v>73.0</v>
      </c>
      <c r="K404" s="17">
        <v>4.4</v>
      </c>
    </row>
    <row r="405">
      <c r="A405" s="7" t="s">
        <v>21</v>
      </c>
      <c r="B405" s="7" t="s">
        <v>15</v>
      </c>
      <c r="C405" s="8">
        <v>149.0</v>
      </c>
      <c r="D405" s="8">
        <v>1000.0</v>
      </c>
      <c r="E405" s="9">
        <v>0.85</v>
      </c>
      <c r="F405" s="10">
        <v>3.9</v>
      </c>
      <c r="G405" s="11">
        <v>24870.0</v>
      </c>
      <c r="K405" s="17">
        <v>3.9</v>
      </c>
    </row>
    <row r="406">
      <c r="A406" s="7" t="s">
        <v>449</v>
      </c>
      <c r="B406" s="7" t="s">
        <v>450</v>
      </c>
      <c r="C406" s="8">
        <v>99.0</v>
      </c>
      <c r="D406" s="8">
        <v>499.0</v>
      </c>
      <c r="E406" s="9">
        <v>0.8</v>
      </c>
      <c r="F406" s="10">
        <v>4.3</v>
      </c>
      <c r="G406" s="11">
        <v>42641.0</v>
      </c>
      <c r="K406" s="17">
        <v>4.3</v>
      </c>
    </row>
    <row r="407">
      <c r="A407" s="7" t="s">
        <v>451</v>
      </c>
      <c r="B407" s="7" t="s">
        <v>393</v>
      </c>
      <c r="C407" s="8">
        <v>4790.0</v>
      </c>
      <c r="D407" s="8">
        <v>15990.0</v>
      </c>
      <c r="E407" s="9">
        <v>0.7</v>
      </c>
      <c r="F407" s="10">
        <v>4.0</v>
      </c>
      <c r="G407" s="11">
        <v>4390.0</v>
      </c>
      <c r="K407" s="17">
        <v>4.0</v>
      </c>
    </row>
    <row r="408">
      <c r="A408" s="7" t="s">
        <v>452</v>
      </c>
      <c r="B408" s="7" t="s">
        <v>380</v>
      </c>
      <c r="C408" s="8">
        <v>33999.0</v>
      </c>
      <c r="D408" s="8">
        <v>33999.0</v>
      </c>
      <c r="E408" s="9">
        <v>0.0</v>
      </c>
      <c r="F408" s="10">
        <v>4.3</v>
      </c>
      <c r="G408" s="11">
        <v>17415.0</v>
      </c>
      <c r="K408" s="17">
        <v>4.3</v>
      </c>
    </row>
    <row r="409">
      <c r="A409" s="7" t="s">
        <v>453</v>
      </c>
      <c r="B409" s="7" t="s">
        <v>454</v>
      </c>
      <c r="C409" s="8">
        <v>99.0</v>
      </c>
      <c r="D409" s="8">
        <v>999.0</v>
      </c>
      <c r="E409" s="9">
        <v>0.9</v>
      </c>
      <c r="F409" s="10">
        <v>4.0</v>
      </c>
      <c r="G409" s="11">
        <v>1396.0</v>
      </c>
      <c r="K409" s="17">
        <v>4.0</v>
      </c>
    </row>
    <row r="410">
      <c r="A410" s="7" t="s">
        <v>455</v>
      </c>
      <c r="B410" s="7" t="s">
        <v>393</v>
      </c>
      <c r="C410" s="8">
        <v>299.0</v>
      </c>
      <c r="D410" s="8">
        <v>1900.0</v>
      </c>
      <c r="E410" s="9">
        <v>0.84</v>
      </c>
      <c r="F410" s="10">
        <v>3.6</v>
      </c>
      <c r="G410" s="11">
        <v>18202.0</v>
      </c>
      <c r="K410" s="17">
        <v>3.6</v>
      </c>
    </row>
    <row r="411">
      <c r="A411" s="7" t="s">
        <v>456</v>
      </c>
      <c r="B411" s="7" t="s">
        <v>380</v>
      </c>
      <c r="C411" s="8">
        <v>10999.0</v>
      </c>
      <c r="D411" s="8">
        <v>14999.0</v>
      </c>
      <c r="E411" s="9">
        <v>0.27</v>
      </c>
      <c r="F411" s="10">
        <v>4.1</v>
      </c>
      <c r="G411" s="11">
        <v>18998.0</v>
      </c>
      <c r="K411" s="17">
        <v>4.1</v>
      </c>
    </row>
    <row r="412">
      <c r="A412" s="7" t="s">
        <v>457</v>
      </c>
      <c r="B412" s="7" t="s">
        <v>380</v>
      </c>
      <c r="C412" s="8">
        <v>34999.0</v>
      </c>
      <c r="D412" s="8">
        <v>38999.0</v>
      </c>
      <c r="E412" s="9">
        <v>0.1</v>
      </c>
      <c r="F412" s="10">
        <v>4.2</v>
      </c>
      <c r="G412" s="11">
        <v>11029.0</v>
      </c>
      <c r="K412" s="17">
        <v>4.2</v>
      </c>
    </row>
    <row r="413">
      <c r="A413" s="7" t="s">
        <v>416</v>
      </c>
      <c r="B413" s="7" t="s">
        <v>380</v>
      </c>
      <c r="C413" s="8">
        <v>16999.0</v>
      </c>
      <c r="D413" s="8">
        <v>24999.0</v>
      </c>
      <c r="E413" s="9">
        <v>0.32</v>
      </c>
      <c r="F413" s="10">
        <v>4.1</v>
      </c>
      <c r="G413" s="11">
        <v>22318.0</v>
      </c>
      <c r="K413" s="17">
        <v>4.1</v>
      </c>
    </row>
    <row r="414">
      <c r="A414" s="7" t="s">
        <v>458</v>
      </c>
      <c r="B414" s="7" t="s">
        <v>450</v>
      </c>
      <c r="C414" s="8">
        <v>199.0</v>
      </c>
      <c r="D414" s="8">
        <v>499.0</v>
      </c>
      <c r="E414" s="9">
        <v>0.6</v>
      </c>
      <c r="F414" s="10">
        <v>4.1</v>
      </c>
      <c r="G414" s="11">
        <v>1786.0</v>
      </c>
      <c r="K414" s="17">
        <v>4.1</v>
      </c>
    </row>
    <row r="415">
      <c r="A415" s="7" t="s">
        <v>459</v>
      </c>
      <c r="B415" s="7" t="s">
        <v>377</v>
      </c>
      <c r="C415" s="8">
        <v>999.0</v>
      </c>
      <c r="D415" s="8">
        <v>1599.0</v>
      </c>
      <c r="E415" s="9">
        <v>0.38</v>
      </c>
      <c r="F415" s="10">
        <v>4.0</v>
      </c>
      <c r="G415" s="11">
        <v>7222.0</v>
      </c>
      <c r="K415" s="17">
        <v>4.0</v>
      </c>
    </row>
    <row r="416">
      <c r="A416" s="7" t="s">
        <v>460</v>
      </c>
      <c r="B416" s="7" t="s">
        <v>389</v>
      </c>
      <c r="C416" s="8">
        <v>1299.0</v>
      </c>
      <c r="D416" s="8">
        <v>1599.0</v>
      </c>
      <c r="E416" s="9">
        <v>0.19</v>
      </c>
      <c r="F416" s="10">
        <v>4.0</v>
      </c>
      <c r="G416" s="7" t="s">
        <v>390</v>
      </c>
      <c r="K416" s="17">
        <v>4.0</v>
      </c>
    </row>
    <row r="417">
      <c r="A417" s="7" t="s">
        <v>461</v>
      </c>
      <c r="B417" s="7" t="s">
        <v>393</v>
      </c>
      <c r="C417" s="8">
        <v>599.0</v>
      </c>
      <c r="D417" s="8">
        <v>1800.0</v>
      </c>
      <c r="E417" s="9">
        <v>0.67</v>
      </c>
      <c r="F417" s="10">
        <v>3.5</v>
      </c>
      <c r="G417" s="11">
        <v>83996.0</v>
      </c>
      <c r="K417" s="17">
        <v>3.5</v>
      </c>
    </row>
    <row r="418">
      <c r="A418" s="7" t="s">
        <v>462</v>
      </c>
      <c r="B418" s="7" t="s">
        <v>386</v>
      </c>
      <c r="C418" s="8">
        <v>599.0</v>
      </c>
      <c r="D418" s="8">
        <v>1899.0</v>
      </c>
      <c r="E418" s="9">
        <v>0.68</v>
      </c>
      <c r="F418" s="10">
        <v>4.3</v>
      </c>
      <c r="G418" s="7" t="s">
        <v>443</v>
      </c>
      <c r="K418" s="17">
        <v>4.3</v>
      </c>
    </row>
    <row r="419">
      <c r="A419" s="7" t="s">
        <v>463</v>
      </c>
      <c r="B419" s="7" t="s">
        <v>377</v>
      </c>
      <c r="C419" s="8">
        <v>1799.0</v>
      </c>
      <c r="D419" s="8">
        <v>2499.0</v>
      </c>
      <c r="E419" s="9">
        <v>0.28</v>
      </c>
      <c r="F419" s="10">
        <v>4.1</v>
      </c>
      <c r="G419" s="11">
        <v>18678.0</v>
      </c>
      <c r="K419" s="17">
        <v>4.1</v>
      </c>
    </row>
    <row r="420">
      <c r="A420" s="7" t="s">
        <v>22</v>
      </c>
      <c r="B420" s="7" t="s">
        <v>15</v>
      </c>
      <c r="C420" s="8">
        <v>176.63</v>
      </c>
      <c r="D420" s="8">
        <v>499.0</v>
      </c>
      <c r="E420" s="9">
        <v>0.65</v>
      </c>
      <c r="F420" s="10">
        <v>4.1</v>
      </c>
      <c r="G420" s="11">
        <v>15189.0</v>
      </c>
      <c r="K420" s="17">
        <v>4.1</v>
      </c>
    </row>
    <row r="421">
      <c r="A421" s="7" t="s">
        <v>464</v>
      </c>
      <c r="B421" s="7" t="s">
        <v>380</v>
      </c>
      <c r="C421" s="8">
        <v>10999.0</v>
      </c>
      <c r="D421" s="8">
        <v>14999.0</v>
      </c>
      <c r="E421" s="9">
        <v>0.27</v>
      </c>
      <c r="F421" s="10">
        <v>4.1</v>
      </c>
      <c r="G421" s="11">
        <v>18998.0</v>
      </c>
      <c r="K421" s="17">
        <v>4.1</v>
      </c>
    </row>
    <row r="422">
      <c r="A422" s="7" t="s">
        <v>465</v>
      </c>
      <c r="B422" s="7" t="s">
        <v>373</v>
      </c>
      <c r="C422" s="8">
        <v>2999.0</v>
      </c>
      <c r="D422" s="8">
        <v>7990.0</v>
      </c>
      <c r="E422" s="9">
        <v>0.62</v>
      </c>
      <c r="F422" s="10">
        <v>4.1</v>
      </c>
      <c r="G422" s="11">
        <v>48449.0</v>
      </c>
      <c r="K422" s="17">
        <v>4.1</v>
      </c>
    </row>
    <row r="423">
      <c r="A423" s="7" t="s">
        <v>466</v>
      </c>
      <c r="B423" s="7" t="s">
        <v>373</v>
      </c>
      <c r="C423" s="8">
        <v>1999.0</v>
      </c>
      <c r="D423" s="8">
        <v>7990.0</v>
      </c>
      <c r="E423" s="9">
        <v>0.75</v>
      </c>
      <c r="F423" s="10">
        <v>3.8</v>
      </c>
      <c r="G423" s="11">
        <v>17831.0</v>
      </c>
      <c r="K423" s="17">
        <v>3.8</v>
      </c>
    </row>
    <row r="424">
      <c r="A424" s="7" t="s">
        <v>23</v>
      </c>
      <c r="B424" s="7" t="s">
        <v>15</v>
      </c>
      <c r="C424" s="8">
        <v>229.0</v>
      </c>
      <c r="D424" s="8">
        <v>299.0</v>
      </c>
      <c r="E424" s="9">
        <v>0.23</v>
      </c>
      <c r="F424" s="10">
        <v>4.3</v>
      </c>
      <c r="G424" s="11">
        <v>30411.0</v>
      </c>
      <c r="K424" s="17">
        <v>4.3</v>
      </c>
    </row>
    <row r="425">
      <c r="A425" s="7" t="s">
        <v>27</v>
      </c>
      <c r="B425" s="7" t="s">
        <v>15</v>
      </c>
      <c r="C425" s="8">
        <v>199.0</v>
      </c>
      <c r="D425" s="8">
        <v>299.0</v>
      </c>
      <c r="E425" s="9">
        <v>0.33</v>
      </c>
      <c r="F425" s="10">
        <v>4.0</v>
      </c>
      <c r="G425" s="11">
        <v>43994.0</v>
      </c>
      <c r="K425" s="17">
        <v>4.0</v>
      </c>
    </row>
    <row r="426">
      <c r="A426" s="7" t="s">
        <v>467</v>
      </c>
      <c r="B426" s="7" t="s">
        <v>409</v>
      </c>
      <c r="C426" s="8">
        <v>649.0</v>
      </c>
      <c r="D426" s="8">
        <v>999.0</v>
      </c>
      <c r="E426" s="9">
        <v>0.35</v>
      </c>
      <c r="F426" s="10">
        <v>4.2</v>
      </c>
      <c r="G426" s="11">
        <v>1315.0</v>
      </c>
      <c r="K426" s="17">
        <v>4.2</v>
      </c>
    </row>
    <row r="427">
      <c r="A427" s="7" t="s">
        <v>445</v>
      </c>
      <c r="B427" s="7" t="s">
        <v>380</v>
      </c>
      <c r="C427" s="8">
        <v>13999.0</v>
      </c>
      <c r="D427" s="8">
        <v>19499.0</v>
      </c>
      <c r="E427" s="9">
        <v>0.28</v>
      </c>
      <c r="F427" s="10">
        <v>4.1</v>
      </c>
      <c r="G427" s="11">
        <v>18998.0</v>
      </c>
      <c r="K427" s="17">
        <v>4.1</v>
      </c>
    </row>
    <row r="428">
      <c r="A428" s="7" t="s">
        <v>468</v>
      </c>
      <c r="B428" s="7" t="s">
        <v>469</v>
      </c>
      <c r="C428" s="8">
        <v>119.0</v>
      </c>
      <c r="D428" s="8">
        <v>299.0</v>
      </c>
      <c r="E428" s="9">
        <v>0.6</v>
      </c>
      <c r="F428" s="10">
        <v>4.1</v>
      </c>
      <c r="G428" s="11">
        <v>5999.0</v>
      </c>
      <c r="K428" s="17">
        <v>4.1</v>
      </c>
    </row>
    <row r="429">
      <c r="A429" s="7" t="s">
        <v>470</v>
      </c>
      <c r="B429" s="7" t="s">
        <v>380</v>
      </c>
      <c r="C429" s="8">
        <v>12999.0</v>
      </c>
      <c r="D429" s="8">
        <v>17999.0</v>
      </c>
      <c r="E429" s="9">
        <v>0.28</v>
      </c>
      <c r="F429" s="10">
        <v>4.1</v>
      </c>
      <c r="G429" s="11">
        <v>50772.0</v>
      </c>
      <c r="K429" s="17">
        <v>4.1</v>
      </c>
    </row>
    <row r="430">
      <c r="A430" s="7" t="s">
        <v>28</v>
      </c>
      <c r="B430" s="7" t="s">
        <v>15</v>
      </c>
      <c r="C430" s="8">
        <v>154.0</v>
      </c>
      <c r="D430" s="8">
        <v>339.0</v>
      </c>
      <c r="E430" s="9">
        <v>0.55</v>
      </c>
      <c r="F430" s="10">
        <v>4.3</v>
      </c>
      <c r="G430" s="11">
        <v>13391.0</v>
      </c>
      <c r="K430" s="17">
        <v>4.3</v>
      </c>
    </row>
    <row r="431">
      <c r="A431" s="7" t="s">
        <v>471</v>
      </c>
      <c r="B431" s="7" t="s">
        <v>380</v>
      </c>
      <c r="C431" s="8">
        <v>20999.0</v>
      </c>
      <c r="D431" s="8">
        <v>26999.0</v>
      </c>
      <c r="E431" s="9">
        <v>0.22</v>
      </c>
      <c r="F431" s="10">
        <v>3.9</v>
      </c>
      <c r="G431" s="11">
        <v>25824.0</v>
      </c>
      <c r="K431" s="17">
        <v>3.9</v>
      </c>
    </row>
    <row r="432">
      <c r="A432" s="7" t="s">
        <v>472</v>
      </c>
      <c r="B432" s="7" t="s">
        <v>409</v>
      </c>
      <c r="C432" s="8">
        <v>249.0</v>
      </c>
      <c r="D432" s="8">
        <v>649.0</v>
      </c>
      <c r="E432" s="9">
        <v>0.62</v>
      </c>
      <c r="F432" s="10">
        <v>4.0</v>
      </c>
      <c r="G432" s="11">
        <v>14404.0</v>
      </c>
      <c r="K432" s="17">
        <v>4.0</v>
      </c>
    </row>
    <row r="433">
      <c r="A433" s="7" t="s">
        <v>473</v>
      </c>
      <c r="B433" s="7" t="s">
        <v>409</v>
      </c>
      <c r="C433" s="8">
        <v>99.0</v>
      </c>
      <c r="D433" s="8">
        <v>171.0</v>
      </c>
      <c r="E433" s="9">
        <v>0.42</v>
      </c>
      <c r="F433" s="10">
        <v>4.5</v>
      </c>
      <c r="G433" s="11">
        <v>11339.0</v>
      </c>
      <c r="K433" s="17">
        <v>4.5</v>
      </c>
    </row>
    <row r="434">
      <c r="A434" s="7" t="s">
        <v>474</v>
      </c>
      <c r="B434" s="7" t="s">
        <v>407</v>
      </c>
      <c r="C434" s="8">
        <v>489.0</v>
      </c>
      <c r="D434" s="8">
        <v>1999.0</v>
      </c>
      <c r="E434" s="9">
        <v>0.76</v>
      </c>
      <c r="F434" s="10">
        <v>4.0</v>
      </c>
      <c r="G434" s="11">
        <v>3626.0</v>
      </c>
      <c r="K434" s="17">
        <v>4.0</v>
      </c>
    </row>
    <row r="435">
      <c r="A435" s="7" t="s">
        <v>475</v>
      </c>
      <c r="B435" s="7" t="s">
        <v>386</v>
      </c>
      <c r="C435" s="8">
        <v>369.0</v>
      </c>
      <c r="D435" s="8">
        <v>1600.0</v>
      </c>
      <c r="E435" s="9">
        <v>0.77</v>
      </c>
      <c r="F435" s="10">
        <v>4.0</v>
      </c>
      <c r="G435" s="11">
        <v>32625.0</v>
      </c>
      <c r="K435" s="17">
        <v>4.0</v>
      </c>
    </row>
    <row r="436">
      <c r="A436" s="7" t="s">
        <v>476</v>
      </c>
      <c r="B436" s="7" t="s">
        <v>380</v>
      </c>
      <c r="C436" s="8">
        <v>15499.0</v>
      </c>
      <c r="D436" s="8">
        <v>20999.0</v>
      </c>
      <c r="E436" s="9">
        <v>0.26</v>
      </c>
      <c r="F436" s="10">
        <v>4.1</v>
      </c>
      <c r="G436" s="11">
        <v>19252.0</v>
      </c>
      <c r="K436" s="17">
        <v>4.1</v>
      </c>
    </row>
    <row r="437">
      <c r="A437" s="7" t="s">
        <v>477</v>
      </c>
      <c r="B437" s="7" t="s">
        <v>380</v>
      </c>
      <c r="C437" s="8">
        <v>15499.0</v>
      </c>
      <c r="D437" s="8">
        <v>18999.0</v>
      </c>
      <c r="E437" s="9">
        <v>0.18</v>
      </c>
      <c r="F437" s="10">
        <v>4.1</v>
      </c>
      <c r="G437" s="11">
        <v>19252.0</v>
      </c>
      <c r="K437" s="17">
        <v>4.1</v>
      </c>
    </row>
    <row r="438">
      <c r="A438" s="7" t="s">
        <v>478</v>
      </c>
      <c r="B438" s="7" t="s">
        <v>380</v>
      </c>
      <c r="C438" s="8">
        <v>22999.0</v>
      </c>
      <c r="D438" s="8">
        <v>28999.0</v>
      </c>
      <c r="E438" s="9">
        <v>0.21</v>
      </c>
      <c r="F438" s="10">
        <v>3.9</v>
      </c>
      <c r="G438" s="11">
        <v>25824.0</v>
      </c>
      <c r="K438" s="17">
        <v>3.9</v>
      </c>
    </row>
    <row r="439">
      <c r="A439" s="7" t="s">
        <v>479</v>
      </c>
      <c r="B439" s="7" t="s">
        <v>393</v>
      </c>
      <c r="C439" s="8">
        <v>599.0</v>
      </c>
      <c r="D439" s="8">
        <v>1490.0</v>
      </c>
      <c r="E439" s="9">
        <v>0.6</v>
      </c>
      <c r="F439" s="10">
        <v>4.1</v>
      </c>
      <c r="G439" s="7" t="s">
        <v>480</v>
      </c>
      <c r="K439" s="17">
        <v>4.1</v>
      </c>
    </row>
    <row r="440">
      <c r="A440" s="7" t="s">
        <v>481</v>
      </c>
      <c r="B440" s="7" t="s">
        <v>450</v>
      </c>
      <c r="C440" s="8">
        <v>134.0</v>
      </c>
      <c r="D440" s="8">
        <v>699.0</v>
      </c>
      <c r="E440" s="9">
        <v>0.81</v>
      </c>
      <c r="F440" s="10">
        <v>4.1</v>
      </c>
      <c r="G440" s="11">
        <v>16685.0</v>
      </c>
      <c r="K440" s="17">
        <v>4.1</v>
      </c>
    </row>
    <row r="441">
      <c r="A441" s="7" t="s">
        <v>482</v>
      </c>
      <c r="B441" s="7" t="s">
        <v>380</v>
      </c>
      <c r="C441" s="8">
        <v>7499.0</v>
      </c>
      <c r="D441" s="8">
        <v>7999.0</v>
      </c>
      <c r="E441" s="9">
        <v>0.06</v>
      </c>
      <c r="F441" s="10">
        <v>4.0</v>
      </c>
      <c r="G441" s="11">
        <v>30907.0</v>
      </c>
      <c r="K441" s="17">
        <v>4.0</v>
      </c>
    </row>
    <row r="442">
      <c r="A442" s="7" t="s">
        <v>483</v>
      </c>
      <c r="B442" s="7" t="s">
        <v>377</v>
      </c>
      <c r="C442" s="8">
        <v>1149.0</v>
      </c>
      <c r="D442" s="8">
        <v>2199.0</v>
      </c>
      <c r="E442" s="9">
        <v>0.48</v>
      </c>
      <c r="F442" s="10">
        <v>4.3</v>
      </c>
      <c r="G442" s="7" t="s">
        <v>378</v>
      </c>
      <c r="K442" s="17">
        <v>4.3</v>
      </c>
    </row>
    <row r="443">
      <c r="A443" s="7" t="s">
        <v>484</v>
      </c>
      <c r="B443" s="7" t="s">
        <v>389</v>
      </c>
      <c r="C443" s="8">
        <v>1324.0</v>
      </c>
      <c r="D443" s="8">
        <v>1699.0</v>
      </c>
      <c r="E443" s="9">
        <v>0.22</v>
      </c>
      <c r="F443" s="10">
        <v>4.0</v>
      </c>
      <c r="G443" s="7" t="s">
        <v>390</v>
      </c>
      <c r="K443" s="17">
        <v>4.0</v>
      </c>
    </row>
    <row r="444">
      <c r="A444" s="7" t="s">
        <v>485</v>
      </c>
      <c r="B444" s="7" t="s">
        <v>380</v>
      </c>
      <c r="C444" s="8">
        <v>13999.0</v>
      </c>
      <c r="D444" s="8">
        <v>19999.0</v>
      </c>
      <c r="E444" s="9">
        <v>0.3</v>
      </c>
      <c r="F444" s="10">
        <v>4.1</v>
      </c>
      <c r="G444" s="11">
        <v>19252.0</v>
      </c>
      <c r="K444" s="17">
        <v>4.1</v>
      </c>
    </row>
    <row r="445">
      <c r="A445" s="7" t="s">
        <v>29</v>
      </c>
      <c r="B445" s="7" t="s">
        <v>15</v>
      </c>
      <c r="C445" s="8">
        <v>299.0</v>
      </c>
      <c r="D445" s="8">
        <v>799.0</v>
      </c>
      <c r="E445" s="9">
        <v>0.63</v>
      </c>
      <c r="F445" s="10">
        <v>4.2</v>
      </c>
      <c r="G445" s="11">
        <v>94364.0</v>
      </c>
      <c r="K445" s="17">
        <v>4.2</v>
      </c>
    </row>
    <row r="446">
      <c r="A446" s="7" t="s">
        <v>486</v>
      </c>
      <c r="B446" s="7" t="s">
        <v>377</v>
      </c>
      <c r="C446" s="8">
        <v>999.0</v>
      </c>
      <c r="D446" s="8">
        <v>1599.0</v>
      </c>
      <c r="E446" s="9">
        <v>0.38</v>
      </c>
      <c r="F446" s="10">
        <v>4.0</v>
      </c>
      <c r="G446" s="11">
        <v>7222.0</v>
      </c>
      <c r="K446" s="17">
        <v>4.0</v>
      </c>
    </row>
    <row r="447">
      <c r="A447" s="7" t="s">
        <v>487</v>
      </c>
      <c r="B447" s="7" t="s">
        <v>380</v>
      </c>
      <c r="C447" s="8">
        <v>12999.0</v>
      </c>
      <c r="D447" s="8">
        <v>17999.0</v>
      </c>
      <c r="E447" s="9">
        <v>0.28</v>
      </c>
      <c r="F447" s="10">
        <v>4.1</v>
      </c>
      <c r="G447" s="11">
        <v>18998.0</v>
      </c>
      <c r="K447" s="17">
        <v>4.1</v>
      </c>
    </row>
    <row r="448">
      <c r="A448" s="7" t="s">
        <v>488</v>
      </c>
      <c r="B448" s="7" t="s">
        <v>380</v>
      </c>
      <c r="C448" s="8">
        <v>15490.0</v>
      </c>
      <c r="D448" s="8">
        <v>20990.0</v>
      </c>
      <c r="E448" s="9">
        <v>0.26</v>
      </c>
      <c r="F448" s="10">
        <v>4.2</v>
      </c>
      <c r="G448" s="11">
        <v>32916.0</v>
      </c>
      <c r="K448" s="17">
        <v>4.2</v>
      </c>
    </row>
    <row r="449">
      <c r="A449" s="7" t="s">
        <v>489</v>
      </c>
      <c r="B449" s="7" t="s">
        <v>490</v>
      </c>
      <c r="C449" s="8">
        <v>999.0</v>
      </c>
      <c r="D449" s="8">
        <v>2899.0</v>
      </c>
      <c r="E449" s="9">
        <v>0.66</v>
      </c>
      <c r="F449" s="10">
        <v>4.6</v>
      </c>
      <c r="G449" s="11">
        <v>26603.0</v>
      </c>
      <c r="K449" s="17">
        <v>4.6</v>
      </c>
    </row>
    <row r="450">
      <c r="A450" s="7" t="s">
        <v>491</v>
      </c>
      <c r="B450" s="7" t="s">
        <v>373</v>
      </c>
      <c r="C450" s="8">
        <v>1599.0</v>
      </c>
      <c r="D450" s="8">
        <v>4999.0</v>
      </c>
      <c r="E450" s="9">
        <v>0.68</v>
      </c>
      <c r="F450" s="10">
        <v>4.0</v>
      </c>
      <c r="G450" s="11">
        <v>67950.0</v>
      </c>
      <c r="K450" s="17">
        <v>4.0</v>
      </c>
    </row>
    <row r="451">
      <c r="A451" s="7" t="s">
        <v>492</v>
      </c>
      <c r="B451" s="7" t="s">
        <v>389</v>
      </c>
      <c r="C451" s="8">
        <v>1324.0</v>
      </c>
      <c r="D451" s="8">
        <v>1699.0</v>
      </c>
      <c r="E451" s="9">
        <v>0.22</v>
      </c>
      <c r="F451" s="10">
        <v>4.0</v>
      </c>
      <c r="G451" s="7" t="s">
        <v>390</v>
      </c>
      <c r="K451" s="17">
        <v>4.0</v>
      </c>
    </row>
    <row r="452">
      <c r="A452" s="7" t="s">
        <v>493</v>
      </c>
      <c r="B452" s="7" t="s">
        <v>380</v>
      </c>
      <c r="C452" s="8">
        <v>20999.0</v>
      </c>
      <c r="D452" s="8">
        <v>29990.0</v>
      </c>
      <c r="E452" s="9">
        <v>0.3</v>
      </c>
      <c r="F452" s="10">
        <v>4.3</v>
      </c>
      <c r="G452" s="11">
        <v>9499.0</v>
      </c>
      <c r="K452" s="17">
        <v>4.3</v>
      </c>
    </row>
    <row r="453">
      <c r="A453" s="7" t="s">
        <v>494</v>
      </c>
      <c r="B453" s="7" t="s">
        <v>409</v>
      </c>
      <c r="C453" s="8">
        <v>999.0</v>
      </c>
      <c r="D453" s="8">
        <v>1999.0</v>
      </c>
      <c r="E453" s="9">
        <v>0.5</v>
      </c>
      <c r="F453" s="10">
        <v>4.3</v>
      </c>
      <c r="G453" s="11">
        <v>1777.0</v>
      </c>
      <c r="K453" s="17">
        <v>4.3</v>
      </c>
    </row>
    <row r="454">
      <c r="A454" s="7" t="s">
        <v>495</v>
      </c>
      <c r="B454" s="7" t="s">
        <v>380</v>
      </c>
      <c r="C454" s="8">
        <v>12490.0</v>
      </c>
      <c r="D454" s="8">
        <v>15990.0</v>
      </c>
      <c r="E454" s="9">
        <v>0.22</v>
      </c>
      <c r="F454" s="10">
        <v>4.2</v>
      </c>
      <c r="G454" s="11">
        <v>58506.0</v>
      </c>
      <c r="K454" s="17">
        <v>4.2</v>
      </c>
    </row>
    <row r="455">
      <c r="A455" s="7" t="s">
        <v>496</v>
      </c>
      <c r="B455" s="7" t="s">
        <v>380</v>
      </c>
      <c r="C455" s="8">
        <v>17999.0</v>
      </c>
      <c r="D455" s="8">
        <v>21990.0</v>
      </c>
      <c r="E455" s="9">
        <v>0.18</v>
      </c>
      <c r="F455" s="10">
        <v>4.0</v>
      </c>
      <c r="G455" s="11">
        <v>21350.0</v>
      </c>
      <c r="K455" s="17">
        <v>4.0</v>
      </c>
    </row>
    <row r="456">
      <c r="A456" s="7" t="s">
        <v>33</v>
      </c>
      <c r="B456" s="7" t="s">
        <v>15</v>
      </c>
      <c r="C456" s="8">
        <v>350.0</v>
      </c>
      <c r="D456" s="8">
        <v>899.0</v>
      </c>
      <c r="E456" s="9">
        <v>0.61</v>
      </c>
      <c r="F456" s="10">
        <v>4.2</v>
      </c>
      <c r="G456" s="11">
        <v>2263.0</v>
      </c>
      <c r="K456" s="17">
        <v>4.2</v>
      </c>
    </row>
    <row r="457">
      <c r="A457" s="7" t="s">
        <v>497</v>
      </c>
      <c r="B457" s="7" t="s">
        <v>389</v>
      </c>
      <c r="C457" s="8">
        <v>1399.0</v>
      </c>
      <c r="D457" s="8">
        <v>1630.0</v>
      </c>
      <c r="E457" s="9">
        <v>0.14</v>
      </c>
      <c r="F457" s="10">
        <v>4.0</v>
      </c>
      <c r="G457" s="11">
        <v>9378.0</v>
      </c>
      <c r="K457" s="17">
        <v>4.0</v>
      </c>
    </row>
    <row r="458">
      <c r="A458" s="7" t="s">
        <v>34</v>
      </c>
      <c r="B458" s="7" t="s">
        <v>15</v>
      </c>
      <c r="C458" s="8">
        <v>159.0</v>
      </c>
      <c r="D458" s="8">
        <v>399.0</v>
      </c>
      <c r="E458" s="9">
        <v>0.6</v>
      </c>
      <c r="F458" s="10">
        <v>4.1</v>
      </c>
      <c r="G458" s="11">
        <v>4768.0</v>
      </c>
      <c r="K458" s="17">
        <v>4.1</v>
      </c>
    </row>
    <row r="459">
      <c r="A459" s="7" t="s">
        <v>498</v>
      </c>
      <c r="B459" s="7" t="s">
        <v>373</v>
      </c>
      <c r="C459" s="8">
        <v>1499.0</v>
      </c>
      <c r="D459" s="8">
        <v>6990.0</v>
      </c>
      <c r="E459" s="9">
        <v>0.79</v>
      </c>
      <c r="F459" s="10">
        <v>3.9</v>
      </c>
      <c r="G459" s="11">
        <v>21796.0</v>
      </c>
      <c r="K459" s="17">
        <v>3.9</v>
      </c>
    </row>
    <row r="460">
      <c r="A460" s="7" t="s">
        <v>499</v>
      </c>
      <c r="B460" s="7" t="s">
        <v>373</v>
      </c>
      <c r="C460" s="8">
        <v>1999.0</v>
      </c>
      <c r="D460" s="8">
        <v>7990.0</v>
      </c>
      <c r="E460" s="9">
        <v>0.75</v>
      </c>
      <c r="F460" s="10">
        <v>3.8</v>
      </c>
      <c r="G460" s="11">
        <v>17833.0</v>
      </c>
      <c r="K460" s="17">
        <v>3.8</v>
      </c>
    </row>
    <row r="461">
      <c r="A461" s="7" t="s">
        <v>500</v>
      </c>
      <c r="B461" s="7" t="s">
        <v>490</v>
      </c>
      <c r="C461" s="8">
        <v>999.0</v>
      </c>
      <c r="D461" s="8">
        <v>2899.0</v>
      </c>
      <c r="E461" s="9">
        <v>0.66</v>
      </c>
      <c r="F461" s="10">
        <v>4.7</v>
      </c>
      <c r="G461" s="11">
        <v>7779.0</v>
      </c>
      <c r="K461" s="17">
        <v>4.7</v>
      </c>
    </row>
    <row r="462">
      <c r="A462" s="7" t="s">
        <v>501</v>
      </c>
      <c r="B462" s="7" t="s">
        <v>502</v>
      </c>
      <c r="C462" s="8">
        <v>2099.0</v>
      </c>
      <c r="D462" s="8">
        <v>5999.0</v>
      </c>
      <c r="E462" s="9">
        <v>0.65</v>
      </c>
      <c r="F462" s="10">
        <v>4.3</v>
      </c>
      <c r="G462" s="11">
        <v>17129.0</v>
      </c>
      <c r="K462" s="17">
        <v>4.3</v>
      </c>
    </row>
    <row r="463">
      <c r="A463" s="7" t="s">
        <v>503</v>
      </c>
      <c r="B463" s="7" t="s">
        <v>399</v>
      </c>
      <c r="C463" s="8">
        <v>337.0</v>
      </c>
      <c r="D463" s="8">
        <v>699.0</v>
      </c>
      <c r="E463" s="9">
        <v>0.52</v>
      </c>
      <c r="F463" s="10">
        <v>4.2</v>
      </c>
      <c r="G463" s="11">
        <v>4969.0</v>
      </c>
      <c r="K463" s="17">
        <v>4.2</v>
      </c>
    </row>
    <row r="464">
      <c r="A464" s="7" t="s">
        <v>504</v>
      </c>
      <c r="B464" s="7" t="s">
        <v>373</v>
      </c>
      <c r="C464" s="8">
        <v>2999.0</v>
      </c>
      <c r="D464" s="8">
        <v>7990.0</v>
      </c>
      <c r="E464" s="9">
        <v>0.62</v>
      </c>
      <c r="F464" s="10">
        <v>4.1</v>
      </c>
      <c r="G464" s="10">
        <v>154.0</v>
      </c>
      <c r="K464" s="17">
        <v>4.1</v>
      </c>
    </row>
    <row r="465">
      <c r="A465" s="7" t="s">
        <v>505</v>
      </c>
      <c r="B465" s="7" t="s">
        <v>373</v>
      </c>
      <c r="C465" s="8">
        <v>1299.0</v>
      </c>
      <c r="D465" s="8">
        <v>5999.0</v>
      </c>
      <c r="E465" s="9">
        <v>0.78</v>
      </c>
      <c r="F465" s="10">
        <v>3.3</v>
      </c>
      <c r="G465" s="11">
        <v>4415.0</v>
      </c>
      <c r="K465" s="17">
        <v>3.3</v>
      </c>
    </row>
    <row r="466">
      <c r="A466" s="7" t="s">
        <v>35</v>
      </c>
      <c r="B466" s="7" t="s">
        <v>15</v>
      </c>
      <c r="C466" s="8">
        <v>349.0</v>
      </c>
      <c r="D466" s="8">
        <v>399.0</v>
      </c>
      <c r="E466" s="9">
        <v>0.13</v>
      </c>
      <c r="F466" s="10">
        <v>4.4</v>
      </c>
      <c r="G466" s="11">
        <v>18757.0</v>
      </c>
      <c r="K466" s="17">
        <v>4.4</v>
      </c>
    </row>
    <row r="467">
      <c r="A467" s="7" t="s">
        <v>506</v>
      </c>
      <c r="B467" s="7" t="s">
        <v>380</v>
      </c>
      <c r="C467" s="8">
        <v>16499.0</v>
      </c>
      <c r="D467" s="8">
        <v>20990.0</v>
      </c>
      <c r="E467" s="9">
        <v>0.21</v>
      </c>
      <c r="F467" s="10">
        <v>4.0</v>
      </c>
      <c r="G467" s="11">
        <v>21350.0</v>
      </c>
      <c r="K467" s="17">
        <v>4.0</v>
      </c>
    </row>
    <row r="468">
      <c r="A468" s="7" t="s">
        <v>507</v>
      </c>
      <c r="B468" s="7" t="s">
        <v>393</v>
      </c>
      <c r="C468" s="8">
        <v>499.0</v>
      </c>
      <c r="D468" s="8">
        <v>499.0</v>
      </c>
      <c r="E468" s="9">
        <v>0.0</v>
      </c>
      <c r="F468" s="10">
        <v>4.2</v>
      </c>
      <c r="G468" s="11">
        <v>31539.0</v>
      </c>
      <c r="K468" s="17">
        <v>4.2</v>
      </c>
    </row>
    <row r="469">
      <c r="A469" s="7" t="s">
        <v>41</v>
      </c>
      <c r="B469" s="7" t="s">
        <v>15</v>
      </c>
      <c r="C469" s="8">
        <v>970.0</v>
      </c>
      <c r="D469" s="8">
        <v>1799.0</v>
      </c>
      <c r="E469" s="9">
        <v>0.46</v>
      </c>
      <c r="F469" s="10">
        <v>4.5</v>
      </c>
      <c r="G469" s="10">
        <v>815.0</v>
      </c>
      <c r="K469" s="17">
        <v>4.5</v>
      </c>
    </row>
    <row r="470">
      <c r="A470" s="7" t="s">
        <v>508</v>
      </c>
      <c r="B470" s="7" t="s">
        <v>490</v>
      </c>
      <c r="C470" s="8">
        <v>999.0</v>
      </c>
      <c r="D470" s="8">
        <v>2899.0</v>
      </c>
      <c r="E470" s="9">
        <v>0.66</v>
      </c>
      <c r="F470" s="10">
        <v>4.6</v>
      </c>
      <c r="G470" s="11">
        <v>6129.0</v>
      </c>
      <c r="K470" s="17">
        <v>4.6</v>
      </c>
    </row>
    <row r="471">
      <c r="A471" s="7" t="s">
        <v>509</v>
      </c>
      <c r="B471" s="7" t="s">
        <v>380</v>
      </c>
      <c r="C471" s="8">
        <v>10499.0</v>
      </c>
      <c r="D471" s="8">
        <v>13499.0</v>
      </c>
      <c r="E471" s="9">
        <v>0.22</v>
      </c>
      <c r="F471" s="10">
        <v>4.2</v>
      </c>
      <c r="G471" s="10">
        <v>284.0</v>
      </c>
      <c r="K471" s="17">
        <v>4.2</v>
      </c>
    </row>
    <row r="472">
      <c r="A472" s="7" t="s">
        <v>38</v>
      </c>
      <c r="B472" s="7" t="s">
        <v>15</v>
      </c>
      <c r="C472" s="8">
        <v>249.0</v>
      </c>
      <c r="D472" s="8">
        <v>399.0</v>
      </c>
      <c r="E472" s="9">
        <v>0.38</v>
      </c>
      <c r="F472" s="10">
        <v>4.0</v>
      </c>
      <c r="G472" s="11">
        <v>43994.0</v>
      </c>
      <c r="K472" s="17">
        <v>4.0</v>
      </c>
    </row>
    <row r="473">
      <c r="A473" s="7" t="s">
        <v>510</v>
      </c>
      <c r="B473" s="7" t="s">
        <v>511</v>
      </c>
      <c r="C473" s="8">
        <v>251.0</v>
      </c>
      <c r="D473" s="8">
        <v>999.0</v>
      </c>
      <c r="E473" s="9">
        <v>0.75</v>
      </c>
      <c r="F473" s="10">
        <v>3.7</v>
      </c>
      <c r="G473" s="11">
        <v>3234.0</v>
      </c>
      <c r="K473" s="17">
        <v>3.7</v>
      </c>
    </row>
    <row r="474">
      <c r="A474" s="7" t="s">
        <v>39</v>
      </c>
      <c r="B474" s="7" t="s">
        <v>15</v>
      </c>
      <c r="C474" s="8">
        <v>199.0</v>
      </c>
      <c r="D474" s="8">
        <v>499.0</v>
      </c>
      <c r="E474" s="9">
        <v>0.6</v>
      </c>
      <c r="F474" s="10">
        <v>4.1</v>
      </c>
      <c r="G474" s="11">
        <v>13045.0</v>
      </c>
      <c r="K474" s="17">
        <v>4.1</v>
      </c>
    </row>
    <row r="475">
      <c r="A475" s="7" t="s">
        <v>512</v>
      </c>
      <c r="B475" s="7" t="s">
        <v>380</v>
      </c>
      <c r="C475" s="8">
        <v>6499.0</v>
      </c>
      <c r="D475" s="8">
        <v>7999.0</v>
      </c>
      <c r="E475" s="9">
        <v>0.19</v>
      </c>
      <c r="F475" s="10">
        <v>4.1</v>
      </c>
      <c r="G475" s="7" t="s">
        <v>513</v>
      </c>
      <c r="K475" s="17">
        <v>4.1</v>
      </c>
    </row>
    <row r="476">
      <c r="A476" s="7" t="s">
        <v>514</v>
      </c>
      <c r="B476" s="7" t="s">
        <v>373</v>
      </c>
      <c r="C476" s="8">
        <v>2999.0</v>
      </c>
      <c r="D476" s="8">
        <v>9999.0</v>
      </c>
      <c r="E476" s="9">
        <v>0.7</v>
      </c>
      <c r="F476" s="10">
        <v>4.2</v>
      </c>
      <c r="G476" s="11">
        <v>20879.0</v>
      </c>
      <c r="K476" s="17">
        <v>4.2</v>
      </c>
    </row>
    <row r="477">
      <c r="A477" s="7" t="s">
        <v>515</v>
      </c>
      <c r="B477" s="7" t="s">
        <v>516</v>
      </c>
      <c r="C477" s="8">
        <v>279.0</v>
      </c>
      <c r="D477" s="8">
        <v>1499.0</v>
      </c>
      <c r="E477" s="9">
        <v>0.81</v>
      </c>
      <c r="F477" s="10">
        <v>4.2</v>
      </c>
      <c r="G477" s="11">
        <v>2646.0</v>
      </c>
      <c r="K477" s="17">
        <v>4.2</v>
      </c>
    </row>
    <row r="478">
      <c r="A478" s="7" t="s">
        <v>517</v>
      </c>
      <c r="B478" s="7" t="s">
        <v>450</v>
      </c>
      <c r="C478" s="8">
        <v>269.0</v>
      </c>
      <c r="D478" s="8">
        <v>1499.0</v>
      </c>
      <c r="E478" s="9">
        <v>0.82</v>
      </c>
      <c r="F478" s="10">
        <v>4.5</v>
      </c>
      <c r="G478" s="11">
        <v>28978.0</v>
      </c>
      <c r="K478" s="17">
        <v>4.5</v>
      </c>
    </row>
    <row r="479">
      <c r="A479" s="7" t="s">
        <v>518</v>
      </c>
      <c r="B479" s="7" t="s">
        <v>380</v>
      </c>
      <c r="C479" s="8">
        <v>8999.0</v>
      </c>
      <c r="D479" s="8">
        <v>13499.0</v>
      </c>
      <c r="E479" s="9">
        <v>0.33</v>
      </c>
      <c r="F479" s="10">
        <v>3.8</v>
      </c>
      <c r="G479" s="11">
        <v>3145.0</v>
      </c>
      <c r="K479" s="17">
        <v>3.8</v>
      </c>
    </row>
    <row r="480">
      <c r="A480" s="7" t="s">
        <v>44</v>
      </c>
      <c r="B480" s="7" t="s">
        <v>15</v>
      </c>
      <c r="C480" s="8">
        <v>59.0</v>
      </c>
      <c r="D480" s="8">
        <v>199.0</v>
      </c>
      <c r="E480" s="9">
        <v>0.7</v>
      </c>
      <c r="F480" s="10">
        <v>4.0</v>
      </c>
      <c r="G480" s="11">
        <v>9377.0</v>
      </c>
      <c r="K480" s="17">
        <v>4.0</v>
      </c>
    </row>
    <row r="481">
      <c r="A481" s="7" t="s">
        <v>519</v>
      </c>
      <c r="B481" s="7" t="s">
        <v>393</v>
      </c>
      <c r="C481" s="8">
        <v>599.0</v>
      </c>
      <c r="D481" s="8">
        <v>1299.0</v>
      </c>
      <c r="E481" s="9">
        <v>0.54</v>
      </c>
      <c r="F481" s="10">
        <v>4.1</v>
      </c>
      <c r="G481" s="7" t="s">
        <v>520</v>
      </c>
      <c r="K481" s="17">
        <v>4.1</v>
      </c>
    </row>
    <row r="482">
      <c r="A482" s="7" t="s">
        <v>521</v>
      </c>
      <c r="B482" s="7" t="s">
        <v>502</v>
      </c>
      <c r="C482" s="8">
        <v>349.0</v>
      </c>
      <c r="D482" s="8">
        <v>999.0</v>
      </c>
      <c r="E482" s="9">
        <v>0.65</v>
      </c>
      <c r="F482" s="10">
        <v>3.8</v>
      </c>
      <c r="G482" s="11">
        <v>16557.0</v>
      </c>
      <c r="K482" s="17">
        <v>3.8</v>
      </c>
    </row>
    <row r="483">
      <c r="A483" s="7" t="s">
        <v>445</v>
      </c>
      <c r="B483" s="7" t="s">
        <v>380</v>
      </c>
      <c r="C483" s="8">
        <v>13999.0</v>
      </c>
      <c r="D483" s="8">
        <v>19499.0</v>
      </c>
      <c r="E483" s="9">
        <v>0.28</v>
      </c>
      <c r="F483" s="10">
        <v>4.1</v>
      </c>
      <c r="G483" s="11">
        <v>18998.0</v>
      </c>
      <c r="K483" s="17">
        <v>4.1</v>
      </c>
    </row>
    <row r="484">
      <c r="A484" s="7" t="s">
        <v>522</v>
      </c>
      <c r="B484" s="7" t="s">
        <v>502</v>
      </c>
      <c r="C484" s="8">
        <v>349.0</v>
      </c>
      <c r="D484" s="8">
        <v>999.0</v>
      </c>
      <c r="E484" s="9">
        <v>0.65</v>
      </c>
      <c r="F484" s="10">
        <v>3.8</v>
      </c>
      <c r="G484" s="11">
        <v>16557.0</v>
      </c>
      <c r="K484" s="17">
        <v>3.8</v>
      </c>
    </row>
    <row r="485">
      <c r="A485" s="7" t="s">
        <v>523</v>
      </c>
      <c r="B485" s="7" t="s">
        <v>409</v>
      </c>
      <c r="C485" s="8">
        <v>499.0</v>
      </c>
      <c r="D485" s="8">
        <v>599.0</v>
      </c>
      <c r="E485" s="9">
        <v>0.17</v>
      </c>
      <c r="F485" s="10">
        <v>4.2</v>
      </c>
      <c r="G485" s="11">
        <v>21916.0</v>
      </c>
      <c r="K485" s="17">
        <v>4.2</v>
      </c>
    </row>
    <row r="486">
      <c r="A486" s="7" t="s">
        <v>415</v>
      </c>
      <c r="B486" s="7" t="s">
        <v>373</v>
      </c>
      <c r="C486" s="8">
        <v>2199.0</v>
      </c>
      <c r="D486" s="8">
        <v>9999.0</v>
      </c>
      <c r="E486" s="9">
        <v>0.78</v>
      </c>
      <c r="F486" s="10">
        <v>4.2</v>
      </c>
      <c r="G486" s="11">
        <v>29472.0</v>
      </c>
      <c r="K486" s="17">
        <v>4.2</v>
      </c>
    </row>
    <row r="487">
      <c r="A487" s="7" t="s">
        <v>524</v>
      </c>
      <c r="B487" s="7" t="s">
        <v>469</v>
      </c>
      <c r="C487" s="8">
        <v>95.0</v>
      </c>
      <c r="D487" s="8">
        <v>499.0</v>
      </c>
      <c r="E487" s="9">
        <v>0.81</v>
      </c>
      <c r="F487" s="10">
        <v>4.2</v>
      </c>
      <c r="G487" s="11">
        <v>1949.0</v>
      </c>
      <c r="K487" s="17">
        <v>4.2</v>
      </c>
    </row>
    <row r="488">
      <c r="A488" s="7" t="s">
        <v>525</v>
      </c>
      <c r="B488" s="7" t="s">
        <v>15</v>
      </c>
      <c r="C488" s="8">
        <v>139.0</v>
      </c>
      <c r="D488" s="8">
        <v>249.0</v>
      </c>
      <c r="E488" s="9">
        <v>0.44</v>
      </c>
      <c r="F488" s="10">
        <v>4.0</v>
      </c>
      <c r="G488" s="11">
        <v>9377.0</v>
      </c>
      <c r="K488" s="17">
        <v>4.0</v>
      </c>
    </row>
    <row r="489">
      <c r="A489" s="7" t="s">
        <v>526</v>
      </c>
      <c r="B489" s="7" t="s">
        <v>373</v>
      </c>
      <c r="C489" s="8">
        <v>4499.0</v>
      </c>
      <c r="D489" s="8">
        <v>7999.0</v>
      </c>
      <c r="E489" s="9">
        <v>0.44</v>
      </c>
      <c r="F489" s="10">
        <v>3.5</v>
      </c>
      <c r="G489" s="10">
        <v>37.0</v>
      </c>
      <c r="K489" s="17">
        <v>3.5</v>
      </c>
    </row>
    <row r="490">
      <c r="A490" s="7" t="s">
        <v>527</v>
      </c>
      <c r="B490" s="7" t="s">
        <v>450</v>
      </c>
      <c r="C490" s="8">
        <v>89.0</v>
      </c>
      <c r="D490" s="8">
        <v>599.0</v>
      </c>
      <c r="E490" s="9">
        <v>0.85</v>
      </c>
      <c r="F490" s="10">
        <v>4.3</v>
      </c>
      <c r="G490" s="11">
        <v>2351.0</v>
      </c>
      <c r="K490" s="17">
        <v>4.3</v>
      </c>
    </row>
    <row r="491">
      <c r="A491" s="7" t="s">
        <v>528</v>
      </c>
      <c r="B491" s="7" t="s">
        <v>380</v>
      </c>
      <c r="C491" s="8">
        <v>15499.0</v>
      </c>
      <c r="D491" s="8">
        <v>20999.0</v>
      </c>
      <c r="E491" s="9">
        <v>0.26</v>
      </c>
      <c r="F491" s="10">
        <v>4.1</v>
      </c>
      <c r="G491" s="11">
        <v>19253.0</v>
      </c>
      <c r="K491" s="17">
        <v>4.1</v>
      </c>
    </row>
    <row r="492">
      <c r="A492" s="7" t="s">
        <v>529</v>
      </c>
      <c r="B492" s="7" t="s">
        <v>380</v>
      </c>
      <c r="C492" s="8">
        <v>13999.0</v>
      </c>
      <c r="D492" s="8">
        <v>15999.0</v>
      </c>
      <c r="E492" s="9">
        <v>0.13</v>
      </c>
      <c r="F492" s="10">
        <v>3.9</v>
      </c>
      <c r="G492" s="11">
        <v>2180.0</v>
      </c>
      <c r="K492" s="17">
        <v>3.9</v>
      </c>
    </row>
    <row r="493">
      <c r="A493" s="7" t="s">
        <v>530</v>
      </c>
      <c r="B493" s="7" t="s">
        <v>373</v>
      </c>
      <c r="C493" s="8">
        <v>1999.0</v>
      </c>
      <c r="D493" s="8">
        <v>4999.0</v>
      </c>
      <c r="E493" s="9">
        <v>0.6</v>
      </c>
      <c r="F493" s="10">
        <v>3.9</v>
      </c>
      <c r="G493" s="11">
        <v>7571.0</v>
      </c>
      <c r="K493" s="17">
        <v>3.9</v>
      </c>
    </row>
    <row r="494">
      <c r="A494" s="7" t="s">
        <v>531</v>
      </c>
      <c r="B494" s="7" t="s">
        <v>373</v>
      </c>
      <c r="C494" s="8">
        <v>1399.0</v>
      </c>
      <c r="D494" s="8">
        <v>5999.0</v>
      </c>
      <c r="E494" s="9">
        <v>0.77</v>
      </c>
      <c r="F494" s="10">
        <v>3.3</v>
      </c>
      <c r="G494" s="11">
        <v>4415.0</v>
      </c>
      <c r="K494" s="17">
        <v>3.3</v>
      </c>
    </row>
    <row r="495">
      <c r="A495" s="7" t="s">
        <v>532</v>
      </c>
      <c r="B495" s="7" t="s">
        <v>407</v>
      </c>
      <c r="C495" s="8">
        <v>599.0</v>
      </c>
      <c r="D495" s="8">
        <v>999.0</v>
      </c>
      <c r="E495" s="9">
        <v>0.4</v>
      </c>
      <c r="F495" s="10">
        <v>4.0</v>
      </c>
      <c r="G495" s="11">
        <v>18654.0</v>
      </c>
      <c r="K495" s="17">
        <v>4.0</v>
      </c>
    </row>
    <row r="496">
      <c r="A496" s="7" t="s">
        <v>533</v>
      </c>
      <c r="B496" s="7" t="s">
        <v>409</v>
      </c>
      <c r="C496" s="8">
        <v>199.0</v>
      </c>
      <c r="D496" s="8">
        <v>1099.0</v>
      </c>
      <c r="E496" s="9">
        <v>0.82</v>
      </c>
      <c r="F496" s="10">
        <v>4.0</v>
      </c>
      <c r="G496" s="11">
        <v>3197.0</v>
      </c>
      <c r="K496" s="17">
        <v>4.0</v>
      </c>
    </row>
    <row r="497">
      <c r="A497" s="7" t="s">
        <v>534</v>
      </c>
      <c r="B497" s="7" t="s">
        <v>373</v>
      </c>
      <c r="C497" s="8">
        <v>1799.0</v>
      </c>
      <c r="D497" s="8">
        <v>6990.0</v>
      </c>
      <c r="E497" s="9">
        <v>0.74</v>
      </c>
      <c r="F497" s="10">
        <v>4.0</v>
      </c>
      <c r="G497" s="11">
        <v>26880.0</v>
      </c>
      <c r="K497" s="17">
        <v>4.0</v>
      </c>
    </row>
    <row r="498">
      <c r="A498" s="7" t="s">
        <v>535</v>
      </c>
      <c r="B498" s="7" t="s">
        <v>373</v>
      </c>
      <c r="C498" s="8">
        <v>1499.0</v>
      </c>
      <c r="D498" s="8">
        <v>6990.0</v>
      </c>
      <c r="E498" s="9">
        <v>0.79</v>
      </c>
      <c r="F498" s="10">
        <v>3.9</v>
      </c>
      <c r="G498" s="11">
        <v>21796.0</v>
      </c>
      <c r="K498" s="17">
        <v>3.9</v>
      </c>
    </row>
    <row r="499">
      <c r="A499" s="7" t="s">
        <v>536</v>
      </c>
      <c r="B499" s="7" t="s">
        <v>380</v>
      </c>
      <c r="C499" s="8">
        <v>20999.0</v>
      </c>
      <c r="D499" s="8">
        <v>29990.0</v>
      </c>
      <c r="E499" s="9">
        <v>0.3</v>
      </c>
      <c r="F499" s="10">
        <v>4.3</v>
      </c>
      <c r="G499" s="11">
        <v>9499.0</v>
      </c>
      <c r="K499" s="17">
        <v>4.3</v>
      </c>
    </row>
    <row r="500">
      <c r="A500" s="7" t="s">
        <v>537</v>
      </c>
      <c r="B500" s="7" t="s">
        <v>380</v>
      </c>
      <c r="C500" s="8">
        <v>12999.0</v>
      </c>
      <c r="D500" s="8">
        <v>13499.0</v>
      </c>
      <c r="E500" s="9">
        <v>0.04</v>
      </c>
      <c r="F500" s="10">
        <v>4.1</v>
      </c>
      <c r="G500" s="11">
        <v>56098.0</v>
      </c>
      <c r="K500" s="17">
        <v>4.1</v>
      </c>
    </row>
    <row r="501">
      <c r="A501" s="7" t="s">
        <v>538</v>
      </c>
      <c r="B501" s="7" t="s">
        <v>380</v>
      </c>
      <c r="C501" s="8">
        <v>16999.0</v>
      </c>
      <c r="D501" s="8">
        <v>20999.0</v>
      </c>
      <c r="E501" s="9">
        <v>0.19</v>
      </c>
      <c r="F501" s="10">
        <v>4.1</v>
      </c>
      <c r="G501" s="11">
        <v>31822.0</v>
      </c>
      <c r="K501" s="17">
        <v>4.1</v>
      </c>
    </row>
    <row r="502">
      <c r="A502" s="7" t="s">
        <v>539</v>
      </c>
      <c r="B502" s="7" t="s">
        <v>380</v>
      </c>
      <c r="C502" s="8">
        <v>19999.0</v>
      </c>
      <c r="D502" s="8">
        <v>27990.0</v>
      </c>
      <c r="E502" s="9">
        <v>0.29</v>
      </c>
      <c r="F502" s="10">
        <v>4.3</v>
      </c>
      <c r="G502" s="11">
        <v>9499.0</v>
      </c>
      <c r="K502" s="17">
        <v>4.3</v>
      </c>
    </row>
    <row r="503">
      <c r="A503" s="7" t="s">
        <v>540</v>
      </c>
      <c r="B503" s="7" t="s">
        <v>380</v>
      </c>
      <c r="C503" s="8">
        <v>12999.0</v>
      </c>
      <c r="D503" s="8">
        <v>18999.0</v>
      </c>
      <c r="E503" s="9">
        <v>0.32</v>
      </c>
      <c r="F503" s="10">
        <v>4.1</v>
      </c>
      <c r="G503" s="11">
        <v>50772.0</v>
      </c>
      <c r="K503" s="17">
        <v>4.1</v>
      </c>
    </row>
    <row r="504">
      <c r="A504" s="7" t="s">
        <v>541</v>
      </c>
      <c r="B504" s="7" t="s">
        <v>373</v>
      </c>
      <c r="C504" s="8">
        <v>2999.0</v>
      </c>
      <c r="D504" s="8">
        <v>5999.0</v>
      </c>
      <c r="E504" s="9">
        <v>0.5</v>
      </c>
      <c r="F504" s="10">
        <v>4.1</v>
      </c>
      <c r="G504" s="11">
        <v>7148.0</v>
      </c>
      <c r="K504" s="17">
        <v>4.1</v>
      </c>
    </row>
    <row r="505">
      <c r="A505" s="7" t="s">
        <v>50</v>
      </c>
      <c r="B505" s="7" t="s">
        <v>15</v>
      </c>
      <c r="C505" s="8">
        <v>299.0</v>
      </c>
      <c r="D505" s="8">
        <v>999.0</v>
      </c>
      <c r="E505" s="9">
        <v>0.7</v>
      </c>
      <c r="F505" s="10">
        <v>4.3</v>
      </c>
      <c r="G505" s="11">
        <v>20850.0</v>
      </c>
      <c r="K505" s="17">
        <v>4.3</v>
      </c>
    </row>
    <row r="506">
      <c r="A506" s="7" t="s">
        <v>49</v>
      </c>
      <c r="B506" s="7" t="s">
        <v>15</v>
      </c>
      <c r="C506" s="8">
        <v>970.0</v>
      </c>
      <c r="D506" s="8">
        <v>1999.0</v>
      </c>
      <c r="E506" s="9">
        <v>0.51</v>
      </c>
      <c r="F506" s="10">
        <v>4.4</v>
      </c>
      <c r="G506" s="10">
        <v>184.0</v>
      </c>
      <c r="K506" s="17">
        <v>4.4</v>
      </c>
    </row>
    <row r="507">
      <c r="A507" s="7" t="s">
        <v>542</v>
      </c>
      <c r="B507" s="7" t="s">
        <v>409</v>
      </c>
      <c r="C507" s="8">
        <v>329.0</v>
      </c>
      <c r="D507" s="8">
        <v>999.0</v>
      </c>
      <c r="E507" s="9">
        <v>0.67</v>
      </c>
      <c r="F507" s="10">
        <v>4.2</v>
      </c>
      <c r="G507" s="11">
        <v>3492.0</v>
      </c>
      <c r="K507" s="17">
        <v>4.2</v>
      </c>
    </row>
    <row r="508">
      <c r="A508" s="7" t="s">
        <v>543</v>
      </c>
      <c r="B508" s="7" t="s">
        <v>373</v>
      </c>
      <c r="C508" s="8">
        <v>1299.0</v>
      </c>
      <c r="D508" s="8">
        <v>5999.0</v>
      </c>
      <c r="E508" s="9">
        <v>0.78</v>
      </c>
      <c r="F508" s="10">
        <v>3.3</v>
      </c>
      <c r="G508" s="11">
        <v>4415.0</v>
      </c>
      <c r="K508" s="17">
        <v>3.3</v>
      </c>
    </row>
    <row r="509">
      <c r="A509" s="7" t="s">
        <v>544</v>
      </c>
      <c r="B509" s="7" t="s">
        <v>386</v>
      </c>
      <c r="C509" s="8">
        <v>1989.0</v>
      </c>
      <c r="D509" s="8">
        <v>3500.0</v>
      </c>
      <c r="E509" s="9">
        <v>0.43</v>
      </c>
      <c r="F509" s="10">
        <v>4.4</v>
      </c>
      <c r="G509" s="11">
        <v>67260.0</v>
      </c>
      <c r="K509" s="17">
        <v>4.4</v>
      </c>
    </row>
    <row r="510">
      <c r="A510" s="7" t="s">
        <v>374</v>
      </c>
      <c r="B510" s="7" t="s">
        <v>373</v>
      </c>
      <c r="C510" s="8">
        <v>1999.0</v>
      </c>
      <c r="D510" s="8">
        <v>9999.0</v>
      </c>
      <c r="E510" s="9">
        <v>0.8</v>
      </c>
      <c r="F510" s="10">
        <v>4.3</v>
      </c>
      <c r="G510" s="11">
        <v>27704.0</v>
      </c>
      <c r="K510" s="17">
        <v>4.3</v>
      </c>
    </row>
    <row r="511">
      <c r="A511" s="7" t="s">
        <v>545</v>
      </c>
      <c r="B511" s="7" t="s">
        <v>380</v>
      </c>
      <c r="C511" s="8">
        <v>12999.0</v>
      </c>
      <c r="D511" s="8">
        <v>18999.0</v>
      </c>
      <c r="E511" s="9">
        <v>0.32</v>
      </c>
      <c r="F511" s="10">
        <v>4.1</v>
      </c>
      <c r="G511" s="11">
        <v>50772.0</v>
      </c>
      <c r="K511" s="17">
        <v>4.1</v>
      </c>
    </row>
    <row r="512">
      <c r="A512" s="7" t="s">
        <v>546</v>
      </c>
      <c r="B512" s="7" t="s">
        <v>373</v>
      </c>
      <c r="C512" s="8">
        <v>1499.0</v>
      </c>
      <c r="D512" s="8">
        <v>4999.0</v>
      </c>
      <c r="E512" s="9">
        <v>0.7</v>
      </c>
      <c r="F512" s="10">
        <v>4.0</v>
      </c>
      <c r="G512" s="11">
        <v>92588.0</v>
      </c>
      <c r="K512" s="17">
        <v>4.0</v>
      </c>
    </row>
    <row r="513">
      <c r="A513" s="7" t="s">
        <v>547</v>
      </c>
      <c r="B513" s="7" t="s">
        <v>380</v>
      </c>
      <c r="C513" s="8">
        <v>16999.0</v>
      </c>
      <c r="D513" s="8">
        <v>20999.0</v>
      </c>
      <c r="E513" s="9">
        <v>0.19</v>
      </c>
      <c r="F513" s="10">
        <v>4.1</v>
      </c>
      <c r="G513" s="11">
        <v>31822.0</v>
      </c>
      <c r="K513" s="17">
        <v>4.1</v>
      </c>
    </row>
    <row r="514">
      <c r="A514" s="7" t="s">
        <v>548</v>
      </c>
      <c r="B514" s="7" t="s">
        <v>373</v>
      </c>
      <c r="C514" s="8">
        <v>1999.0</v>
      </c>
      <c r="D514" s="8">
        <v>8499.0</v>
      </c>
      <c r="E514" s="9">
        <v>0.76</v>
      </c>
      <c r="F514" s="10">
        <v>4.3</v>
      </c>
      <c r="G514" s="10">
        <v>240.0</v>
      </c>
      <c r="K514" s="17">
        <v>4.3</v>
      </c>
    </row>
    <row r="515">
      <c r="A515" s="7" t="s">
        <v>549</v>
      </c>
      <c r="B515" s="7" t="s">
        <v>373</v>
      </c>
      <c r="C515" s="8">
        <v>4999.0</v>
      </c>
      <c r="D515" s="8">
        <v>6999.0</v>
      </c>
      <c r="E515" s="9">
        <v>0.29</v>
      </c>
      <c r="F515" s="10">
        <v>3.8</v>
      </c>
      <c r="G515" s="10">
        <v>758.0</v>
      </c>
      <c r="K515" s="17">
        <v>3.8</v>
      </c>
    </row>
    <row r="516">
      <c r="A516" s="7" t="s">
        <v>56</v>
      </c>
      <c r="B516" s="7" t="s">
        <v>15</v>
      </c>
      <c r="C516" s="8">
        <v>99.0</v>
      </c>
      <c r="D516" s="8">
        <v>666.66</v>
      </c>
      <c r="E516" s="9">
        <v>0.85</v>
      </c>
      <c r="F516" s="10">
        <v>3.9</v>
      </c>
      <c r="G516" s="11">
        <v>24870.0</v>
      </c>
      <c r="K516" s="17">
        <v>3.9</v>
      </c>
    </row>
    <row r="517">
      <c r="A517" s="7" t="s">
        <v>550</v>
      </c>
      <c r="B517" s="7" t="s">
        <v>373</v>
      </c>
      <c r="C517" s="8">
        <v>2499.0</v>
      </c>
      <c r="D517" s="8">
        <v>5999.0</v>
      </c>
      <c r="E517" s="9">
        <v>0.58</v>
      </c>
      <c r="F517" s="10">
        <v>3.7</v>
      </c>
      <c r="G517" s="10">
        <v>828.0</v>
      </c>
      <c r="K517" s="17">
        <v>3.7</v>
      </c>
    </row>
    <row r="518">
      <c r="A518" s="7" t="s">
        <v>551</v>
      </c>
      <c r="B518" s="7" t="s">
        <v>389</v>
      </c>
      <c r="C518" s="8">
        <v>1399.0</v>
      </c>
      <c r="D518" s="8">
        <v>1630.0</v>
      </c>
      <c r="E518" s="9">
        <v>0.14</v>
      </c>
      <c r="F518" s="10">
        <v>4.0</v>
      </c>
      <c r="G518" s="11">
        <v>9378.0</v>
      </c>
      <c r="K518" s="17">
        <v>4.0</v>
      </c>
    </row>
    <row r="519">
      <c r="A519" s="7" t="s">
        <v>552</v>
      </c>
      <c r="B519" s="7" t="s">
        <v>373</v>
      </c>
      <c r="C519" s="8">
        <v>1499.0</v>
      </c>
      <c r="D519" s="8">
        <v>9999.0</v>
      </c>
      <c r="E519" s="9">
        <v>0.85</v>
      </c>
      <c r="F519" s="10">
        <v>4.2</v>
      </c>
      <c r="G519" s="11">
        <v>22638.0</v>
      </c>
      <c r="K519" s="17">
        <v>4.2</v>
      </c>
    </row>
    <row r="520">
      <c r="A520" s="7" t="s">
        <v>57</v>
      </c>
      <c r="B520" s="7" t="s">
        <v>15</v>
      </c>
      <c r="C520" s="8">
        <v>899.0</v>
      </c>
      <c r="D520" s="8">
        <v>1900.0</v>
      </c>
      <c r="E520" s="9">
        <v>0.53</v>
      </c>
      <c r="F520" s="10">
        <v>4.4</v>
      </c>
      <c r="G520" s="11">
        <v>13552.0</v>
      </c>
      <c r="K520" s="17">
        <v>4.4</v>
      </c>
    </row>
    <row r="521">
      <c r="A521" s="7" t="s">
        <v>553</v>
      </c>
      <c r="B521" s="7" t="s">
        <v>409</v>
      </c>
      <c r="C521" s="8">
        <v>249.0</v>
      </c>
      <c r="D521" s="8">
        <v>599.0</v>
      </c>
      <c r="E521" s="9">
        <v>0.58</v>
      </c>
      <c r="F521" s="10">
        <v>3.9</v>
      </c>
      <c r="G521" s="11">
        <v>2147.0</v>
      </c>
      <c r="K521" s="17">
        <v>3.9</v>
      </c>
    </row>
    <row r="522">
      <c r="A522" s="7" t="s">
        <v>554</v>
      </c>
      <c r="B522" s="7" t="s">
        <v>490</v>
      </c>
      <c r="C522" s="8">
        <v>299.0</v>
      </c>
      <c r="D522" s="8">
        <v>1199.0</v>
      </c>
      <c r="E522" s="9">
        <v>0.75</v>
      </c>
      <c r="F522" s="10">
        <v>4.5</v>
      </c>
      <c r="G522" s="10">
        <v>596.0</v>
      </c>
      <c r="K522" s="17">
        <v>4.5</v>
      </c>
    </row>
    <row r="523">
      <c r="A523" s="7" t="s">
        <v>555</v>
      </c>
      <c r="B523" s="7" t="s">
        <v>469</v>
      </c>
      <c r="C523" s="8">
        <v>79.0</v>
      </c>
      <c r="D523" s="8">
        <v>499.0</v>
      </c>
      <c r="E523" s="9">
        <v>0.84</v>
      </c>
      <c r="F523" s="10">
        <v>4.2</v>
      </c>
      <c r="G523" s="11">
        <v>1949.0</v>
      </c>
      <c r="K523" s="17">
        <v>4.2</v>
      </c>
    </row>
    <row r="524">
      <c r="A524" s="7" t="s">
        <v>556</v>
      </c>
      <c r="B524" s="7" t="s">
        <v>380</v>
      </c>
      <c r="C524" s="8">
        <v>13999.0</v>
      </c>
      <c r="D524" s="8">
        <v>15999.0</v>
      </c>
      <c r="E524" s="9">
        <v>0.13</v>
      </c>
      <c r="F524" s="10">
        <v>3.9</v>
      </c>
      <c r="G524" s="11">
        <v>2180.0</v>
      </c>
      <c r="K524" s="17">
        <v>3.9</v>
      </c>
    </row>
    <row r="525">
      <c r="A525" s="7" t="s">
        <v>557</v>
      </c>
      <c r="B525" s="7" t="s">
        <v>393</v>
      </c>
      <c r="C525" s="8">
        <v>949.0</v>
      </c>
      <c r="D525" s="8">
        <v>999.0</v>
      </c>
      <c r="E525" s="9">
        <v>0.05</v>
      </c>
      <c r="F525" s="10">
        <v>4.2</v>
      </c>
      <c r="G525" s="11">
        <v>31539.0</v>
      </c>
      <c r="K525" s="17">
        <v>4.2</v>
      </c>
    </row>
    <row r="526">
      <c r="A526" s="7" t="s">
        <v>558</v>
      </c>
      <c r="B526" s="7" t="s">
        <v>450</v>
      </c>
      <c r="C526" s="8">
        <v>99.0</v>
      </c>
      <c r="D526" s="8">
        <v>499.0</v>
      </c>
      <c r="E526" s="9">
        <v>0.8</v>
      </c>
      <c r="F526" s="10">
        <v>4.1</v>
      </c>
      <c r="G526" s="11">
        <v>2451.0</v>
      </c>
      <c r="K526" s="17">
        <v>4.1</v>
      </c>
    </row>
    <row r="527">
      <c r="A527" s="7" t="s">
        <v>559</v>
      </c>
      <c r="B527" s="7" t="s">
        <v>373</v>
      </c>
      <c r="C527" s="8">
        <v>2499.0</v>
      </c>
      <c r="D527" s="8">
        <v>7990.0</v>
      </c>
      <c r="E527" s="9">
        <v>0.69</v>
      </c>
      <c r="F527" s="10">
        <v>4.1</v>
      </c>
      <c r="G527" s="10">
        <v>154.0</v>
      </c>
      <c r="K527" s="17">
        <v>4.1</v>
      </c>
    </row>
    <row r="528">
      <c r="A528" s="7" t="s">
        <v>560</v>
      </c>
      <c r="B528" s="7" t="s">
        <v>561</v>
      </c>
      <c r="C528" s="8">
        <v>689.0</v>
      </c>
      <c r="D528" s="8">
        <v>1999.0</v>
      </c>
      <c r="E528" s="9">
        <v>0.66</v>
      </c>
      <c r="F528" s="10">
        <v>4.3</v>
      </c>
      <c r="G528" s="11">
        <v>1193.0</v>
      </c>
      <c r="K528" s="17">
        <v>4.3</v>
      </c>
    </row>
    <row r="529">
      <c r="A529" s="7" t="s">
        <v>562</v>
      </c>
      <c r="B529" s="7" t="s">
        <v>511</v>
      </c>
      <c r="C529" s="8">
        <v>499.0</v>
      </c>
      <c r="D529" s="8">
        <v>1899.0</v>
      </c>
      <c r="E529" s="9">
        <v>0.74</v>
      </c>
      <c r="F529" s="10">
        <v>4.1</v>
      </c>
      <c r="G529" s="11">
        <v>1475.0</v>
      </c>
      <c r="K529" s="17">
        <v>4.1</v>
      </c>
    </row>
    <row r="530">
      <c r="A530" s="7" t="s">
        <v>563</v>
      </c>
      <c r="B530" s="7" t="s">
        <v>490</v>
      </c>
      <c r="C530" s="8">
        <v>299.0</v>
      </c>
      <c r="D530" s="8">
        <v>999.0</v>
      </c>
      <c r="E530" s="9">
        <v>0.7</v>
      </c>
      <c r="F530" s="10">
        <v>4.3</v>
      </c>
      <c r="G530" s="11">
        <v>8891.0</v>
      </c>
      <c r="K530" s="17">
        <v>4.3</v>
      </c>
    </row>
    <row r="531">
      <c r="A531" s="7" t="s">
        <v>564</v>
      </c>
      <c r="B531" s="7" t="s">
        <v>450</v>
      </c>
      <c r="C531" s="8">
        <v>209.0</v>
      </c>
      <c r="D531" s="8">
        <v>499.0</v>
      </c>
      <c r="E531" s="9">
        <v>0.58</v>
      </c>
      <c r="F531" s="10">
        <v>3.6</v>
      </c>
      <c r="G531" s="10">
        <v>104.0</v>
      </c>
      <c r="K531" s="17">
        <v>3.6</v>
      </c>
    </row>
    <row r="532">
      <c r="A532" s="7" t="s">
        <v>565</v>
      </c>
      <c r="B532" s="7" t="s">
        <v>380</v>
      </c>
      <c r="C532" s="8">
        <v>8499.0</v>
      </c>
      <c r="D532" s="8">
        <v>12999.0</v>
      </c>
      <c r="E532" s="9">
        <v>0.35</v>
      </c>
      <c r="F532" s="10">
        <v>4.1</v>
      </c>
      <c r="G532" s="11">
        <v>6662.0</v>
      </c>
      <c r="K532" s="17">
        <v>4.1</v>
      </c>
    </row>
    <row r="533">
      <c r="A533" s="7" t="s">
        <v>566</v>
      </c>
      <c r="B533" s="7" t="s">
        <v>377</v>
      </c>
      <c r="C533" s="8">
        <v>2179.0</v>
      </c>
      <c r="D533" s="8">
        <v>3999.0</v>
      </c>
      <c r="E533" s="9">
        <v>0.46</v>
      </c>
      <c r="F533" s="10">
        <v>4.0</v>
      </c>
      <c r="G533" s="11">
        <v>8380.0</v>
      </c>
      <c r="K533" s="17">
        <v>4.0</v>
      </c>
    </row>
    <row r="534">
      <c r="A534" s="7" t="s">
        <v>567</v>
      </c>
      <c r="B534" s="7" t="s">
        <v>380</v>
      </c>
      <c r="C534" s="8">
        <v>16999.0</v>
      </c>
      <c r="D534" s="8">
        <v>20999.0</v>
      </c>
      <c r="E534" s="9">
        <v>0.19</v>
      </c>
      <c r="F534" s="10">
        <v>4.1</v>
      </c>
      <c r="G534" s="11">
        <v>31822.0</v>
      </c>
      <c r="K534" s="17">
        <v>4.1</v>
      </c>
    </row>
    <row r="535">
      <c r="A535" s="7" t="s">
        <v>568</v>
      </c>
      <c r="B535" s="7" t="s">
        <v>380</v>
      </c>
      <c r="C535" s="8">
        <v>44999.0</v>
      </c>
      <c r="D535" s="8">
        <v>49999.0</v>
      </c>
      <c r="E535" s="9">
        <v>0.1</v>
      </c>
      <c r="F535" s="10">
        <v>4.3</v>
      </c>
      <c r="G535" s="11">
        <v>3075.0</v>
      </c>
      <c r="K535" s="17">
        <v>4.3</v>
      </c>
    </row>
    <row r="536">
      <c r="A536" s="7" t="s">
        <v>569</v>
      </c>
      <c r="B536" s="7" t="s">
        <v>389</v>
      </c>
      <c r="C536" s="8">
        <v>2599.0</v>
      </c>
      <c r="D536" s="8">
        <v>2999.0</v>
      </c>
      <c r="E536" s="9">
        <v>0.13</v>
      </c>
      <c r="F536" s="10">
        <v>3.9</v>
      </c>
      <c r="G536" s="11">
        <v>14266.0</v>
      </c>
      <c r="K536" s="17">
        <v>3.9</v>
      </c>
    </row>
    <row r="537">
      <c r="A537" s="7" t="s">
        <v>570</v>
      </c>
      <c r="B537" s="7" t="s">
        <v>373</v>
      </c>
      <c r="C537" s="8">
        <v>2799.0</v>
      </c>
      <c r="D537" s="8">
        <v>6499.0</v>
      </c>
      <c r="E537" s="9">
        <v>0.57</v>
      </c>
      <c r="F537" s="10">
        <v>4.1</v>
      </c>
      <c r="G537" s="11">
        <v>38879.0</v>
      </c>
      <c r="K537" s="17">
        <v>4.1</v>
      </c>
    </row>
    <row r="538">
      <c r="A538" s="7" t="s">
        <v>571</v>
      </c>
      <c r="B538" s="7" t="s">
        <v>572</v>
      </c>
      <c r="C538" s="8">
        <v>1399.0</v>
      </c>
      <c r="D538" s="8">
        <v>2990.0</v>
      </c>
      <c r="E538" s="9">
        <v>0.53</v>
      </c>
      <c r="F538" s="10">
        <v>4.1</v>
      </c>
      <c r="G538" s="11">
        <v>97175.0</v>
      </c>
      <c r="K538" s="17">
        <v>4.1</v>
      </c>
    </row>
    <row r="539">
      <c r="A539" s="7" t="s">
        <v>573</v>
      </c>
      <c r="B539" s="7" t="s">
        <v>386</v>
      </c>
      <c r="C539" s="8">
        <v>649.0</v>
      </c>
      <c r="D539" s="8">
        <v>2400.0</v>
      </c>
      <c r="E539" s="9">
        <v>0.73</v>
      </c>
      <c r="F539" s="10">
        <v>4.4</v>
      </c>
      <c r="G539" s="11">
        <v>67260.0</v>
      </c>
      <c r="K539" s="17">
        <v>4.4</v>
      </c>
    </row>
    <row r="540">
      <c r="A540" s="7" t="s">
        <v>574</v>
      </c>
      <c r="B540" s="7" t="s">
        <v>409</v>
      </c>
      <c r="C540" s="8">
        <v>799.0</v>
      </c>
      <c r="D540" s="8">
        <v>3990.0</v>
      </c>
      <c r="E540" s="9">
        <v>0.8</v>
      </c>
      <c r="F540" s="10">
        <v>3.8</v>
      </c>
      <c r="G540" s="10">
        <v>119.0</v>
      </c>
      <c r="K540" s="17">
        <v>3.8</v>
      </c>
    </row>
    <row r="541">
      <c r="A541" s="7" t="s">
        <v>575</v>
      </c>
      <c r="B541" s="7" t="s">
        <v>576</v>
      </c>
      <c r="C541" s="8">
        <v>149.0</v>
      </c>
      <c r="D541" s="8">
        <v>149.0</v>
      </c>
      <c r="E541" s="9">
        <v>0.0</v>
      </c>
      <c r="F541" s="10">
        <v>4.3</v>
      </c>
      <c r="G541" s="11">
        <v>10833.0</v>
      </c>
      <c r="K541" s="17">
        <v>4.3</v>
      </c>
    </row>
    <row r="542">
      <c r="A542" s="7" t="s">
        <v>75</v>
      </c>
      <c r="B542" s="7" t="s">
        <v>15</v>
      </c>
      <c r="C542" s="8">
        <v>799.0</v>
      </c>
      <c r="D542" s="8">
        <v>2100.0</v>
      </c>
      <c r="E542" s="9">
        <v>0.62</v>
      </c>
      <c r="F542" s="10">
        <v>4.3</v>
      </c>
      <c r="G542" s="11">
        <v>8188.0</v>
      </c>
      <c r="K542" s="17">
        <v>4.3</v>
      </c>
    </row>
    <row r="543">
      <c r="A543" s="7" t="s">
        <v>577</v>
      </c>
      <c r="B543" s="7" t="s">
        <v>389</v>
      </c>
      <c r="C543" s="8">
        <v>3799.0</v>
      </c>
      <c r="D543" s="8">
        <v>5299.0</v>
      </c>
      <c r="E543" s="9">
        <v>0.28</v>
      </c>
      <c r="F543" s="10">
        <v>3.5</v>
      </c>
      <c r="G543" s="11">
        <v>1641.0</v>
      </c>
      <c r="K543" s="17">
        <v>3.5</v>
      </c>
    </row>
    <row r="544">
      <c r="A544" s="7" t="s">
        <v>578</v>
      </c>
      <c r="B544" s="7" t="s">
        <v>516</v>
      </c>
      <c r="C544" s="8">
        <v>199.0</v>
      </c>
      <c r="D544" s="8">
        <v>1899.0</v>
      </c>
      <c r="E544" s="9">
        <v>0.9</v>
      </c>
      <c r="F544" s="10">
        <v>4.0</v>
      </c>
      <c r="G544" s="11">
        <v>4740.0</v>
      </c>
      <c r="K544" s="17">
        <v>4.0</v>
      </c>
    </row>
    <row r="545">
      <c r="A545" s="7" t="s">
        <v>579</v>
      </c>
      <c r="B545" s="7" t="s">
        <v>380</v>
      </c>
      <c r="C545" s="8">
        <v>23999.0</v>
      </c>
      <c r="D545" s="8">
        <v>32999.0</v>
      </c>
      <c r="E545" s="9">
        <v>0.27</v>
      </c>
      <c r="F545" s="10">
        <v>3.9</v>
      </c>
      <c r="G545" s="11">
        <v>8866.0</v>
      </c>
      <c r="K545" s="17">
        <v>3.9</v>
      </c>
    </row>
    <row r="546">
      <c r="A546" s="7" t="s">
        <v>580</v>
      </c>
      <c r="B546" s="7" t="s">
        <v>380</v>
      </c>
      <c r="C546" s="8">
        <v>29990.0</v>
      </c>
      <c r="D546" s="8">
        <v>39990.0</v>
      </c>
      <c r="E546" s="9">
        <v>0.25</v>
      </c>
      <c r="F546" s="10">
        <v>4.3</v>
      </c>
      <c r="G546" s="11">
        <v>8399.0</v>
      </c>
      <c r="K546" s="17">
        <v>4.3</v>
      </c>
    </row>
    <row r="547">
      <c r="A547" s="7" t="s">
        <v>581</v>
      </c>
      <c r="B547" s="7" t="s">
        <v>373</v>
      </c>
      <c r="C547" s="8">
        <v>281.0</v>
      </c>
      <c r="D547" s="8">
        <v>1999.0</v>
      </c>
      <c r="E547" s="9">
        <v>0.86</v>
      </c>
      <c r="F547" s="10">
        <v>2.8</v>
      </c>
      <c r="G547" s="10">
        <v>87.0</v>
      </c>
      <c r="K547" s="17">
        <v>2.8</v>
      </c>
    </row>
    <row r="548">
      <c r="A548" s="7" t="s">
        <v>582</v>
      </c>
      <c r="B548" s="7" t="s">
        <v>380</v>
      </c>
      <c r="C548" s="8">
        <v>7998.0</v>
      </c>
      <c r="D548" s="8">
        <v>11999.0</v>
      </c>
      <c r="E548" s="9">
        <v>0.33</v>
      </c>
      <c r="F548" s="10">
        <v>3.8</v>
      </c>
      <c r="G548" s="10">
        <v>125.0</v>
      </c>
      <c r="K548" s="17">
        <v>3.8</v>
      </c>
    </row>
    <row r="549">
      <c r="A549" s="7" t="s">
        <v>583</v>
      </c>
      <c r="B549" s="7" t="s">
        <v>373</v>
      </c>
      <c r="C549" s="8">
        <v>249.0</v>
      </c>
      <c r="D549" s="8">
        <v>999.0</v>
      </c>
      <c r="E549" s="9">
        <v>0.75</v>
      </c>
      <c r="F549" s="10">
        <v>4.5</v>
      </c>
      <c r="G549" s="10">
        <v>38.0</v>
      </c>
      <c r="K549" s="17">
        <v>4.5</v>
      </c>
    </row>
    <row r="550">
      <c r="A550" s="7" t="s">
        <v>584</v>
      </c>
      <c r="B550" s="7" t="s">
        <v>490</v>
      </c>
      <c r="C550" s="8">
        <v>299.0</v>
      </c>
      <c r="D550" s="8">
        <v>599.0</v>
      </c>
      <c r="E550" s="9">
        <v>0.5</v>
      </c>
      <c r="F550" s="10">
        <v>4.3</v>
      </c>
      <c r="G550" s="11">
        <v>4674.0</v>
      </c>
      <c r="K550" s="17">
        <v>4.3</v>
      </c>
    </row>
    <row r="551">
      <c r="A551" s="7" t="s">
        <v>585</v>
      </c>
      <c r="B551" s="7" t="s">
        <v>373</v>
      </c>
      <c r="C551" s="8">
        <v>499.0</v>
      </c>
      <c r="D551" s="8">
        <v>1899.0</v>
      </c>
      <c r="E551" s="9">
        <v>0.74</v>
      </c>
      <c r="F551" s="10">
        <v>4.1</v>
      </c>
      <c r="G551" s="10">
        <v>412.0</v>
      </c>
      <c r="K551" s="17">
        <v>4.1</v>
      </c>
    </row>
    <row r="552">
      <c r="A552" s="7" t="s">
        <v>586</v>
      </c>
      <c r="B552" s="7" t="s">
        <v>373</v>
      </c>
      <c r="C552" s="8">
        <v>899.0</v>
      </c>
      <c r="D552" s="8">
        <v>3499.0</v>
      </c>
      <c r="E552" s="9">
        <v>0.74</v>
      </c>
      <c r="F552" s="10">
        <v>3.0</v>
      </c>
      <c r="G552" s="10">
        <v>681.0</v>
      </c>
      <c r="K552" s="17">
        <v>3.0</v>
      </c>
    </row>
    <row r="553">
      <c r="A553" s="7" t="s">
        <v>587</v>
      </c>
      <c r="B553" s="7" t="s">
        <v>377</v>
      </c>
      <c r="C553" s="8">
        <v>1599.0</v>
      </c>
      <c r="D553" s="8">
        <v>3499.0</v>
      </c>
      <c r="E553" s="9">
        <v>0.54</v>
      </c>
      <c r="F553" s="10">
        <v>4.0</v>
      </c>
      <c r="G553" s="11">
        <v>36384.0</v>
      </c>
      <c r="K553" s="17">
        <v>4.0</v>
      </c>
    </row>
    <row r="554">
      <c r="A554" s="7" t="s">
        <v>588</v>
      </c>
      <c r="B554" s="7" t="s">
        <v>589</v>
      </c>
      <c r="C554" s="8">
        <v>120.0</v>
      </c>
      <c r="D554" s="8">
        <v>999.0</v>
      </c>
      <c r="E554" s="9">
        <v>0.88</v>
      </c>
      <c r="F554" s="10">
        <v>3.9</v>
      </c>
      <c r="G554" s="11">
        <v>6491.0</v>
      </c>
      <c r="K554" s="17">
        <v>3.9</v>
      </c>
    </row>
    <row r="555">
      <c r="A555" s="7" t="s">
        <v>590</v>
      </c>
      <c r="B555" s="7" t="s">
        <v>373</v>
      </c>
      <c r="C555" s="8">
        <v>3999.0</v>
      </c>
      <c r="D555" s="8">
        <v>6999.0</v>
      </c>
      <c r="E555" s="9">
        <v>0.43</v>
      </c>
      <c r="F555" s="10">
        <v>4.1</v>
      </c>
      <c r="G555" s="11">
        <v>10229.0</v>
      </c>
      <c r="K555" s="17">
        <v>4.1</v>
      </c>
    </row>
    <row r="556">
      <c r="A556" s="7" t="s">
        <v>540</v>
      </c>
      <c r="B556" s="7" t="s">
        <v>380</v>
      </c>
      <c r="C556" s="8">
        <v>12999.0</v>
      </c>
      <c r="D556" s="8">
        <v>18999.0</v>
      </c>
      <c r="E556" s="9">
        <v>0.32</v>
      </c>
      <c r="F556" s="10">
        <v>4.1</v>
      </c>
      <c r="G556" s="11">
        <v>50772.0</v>
      </c>
      <c r="K556" s="17">
        <v>4.1</v>
      </c>
    </row>
    <row r="557">
      <c r="A557" s="7" t="s">
        <v>591</v>
      </c>
      <c r="B557" s="7" t="s">
        <v>516</v>
      </c>
      <c r="C557" s="8">
        <v>1599.0</v>
      </c>
      <c r="D557" s="8">
        <v>2599.0</v>
      </c>
      <c r="E557" s="9">
        <v>0.38</v>
      </c>
      <c r="F557" s="10">
        <v>4.3</v>
      </c>
      <c r="G557" s="11">
        <v>1801.0</v>
      </c>
      <c r="K557" s="17">
        <v>4.3</v>
      </c>
    </row>
    <row r="558">
      <c r="A558" s="7" t="s">
        <v>592</v>
      </c>
      <c r="B558" s="7" t="s">
        <v>409</v>
      </c>
      <c r="C558" s="8">
        <v>699.0</v>
      </c>
      <c r="D558" s="8">
        <v>1199.0</v>
      </c>
      <c r="E558" s="9">
        <v>0.42</v>
      </c>
      <c r="F558" s="10">
        <v>4.0</v>
      </c>
      <c r="G558" s="11">
        <v>14404.0</v>
      </c>
      <c r="K558" s="17">
        <v>4.0</v>
      </c>
    </row>
    <row r="559">
      <c r="A559" s="7" t="s">
        <v>593</v>
      </c>
      <c r="B559" s="7" t="s">
        <v>594</v>
      </c>
      <c r="C559" s="8">
        <v>99.0</v>
      </c>
      <c r="D559" s="8">
        <v>999.0</v>
      </c>
      <c r="E559" s="9">
        <v>0.9</v>
      </c>
      <c r="F559" s="10">
        <v>4.4</v>
      </c>
      <c r="G559" s="10">
        <v>305.0</v>
      </c>
      <c r="K559" s="17">
        <v>4.4</v>
      </c>
    </row>
    <row r="560">
      <c r="A560" s="7" t="s">
        <v>595</v>
      </c>
      <c r="B560" s="7" t="s">
        <v>380</v>
      </c>
      <c r="C560" s="8">
        <v>7915.0</v>
      </c>
      <c r="D560" s="8">
        <v>9999.0</v>
      </c>
      <c r="E560" s="9">
        <v>0.21</v>
      </c>
      <c r="F560" s="10">
        <v>4.3</v>
      </c>
      <c r="G560" s="11">
        <v>1376.0</v>
      </c>
      <c r="K560" s="17">
        <v>4.3</v>
      </c>
    </row>
    <row r="561">
      <c r="A561" s="7" t="s">
        <v>596</v>
      </c>
      <c r="B561" s="7" t="s">
        <v>373</v>
      </c>
      <c r="C561" s="8">
        <v>1499.0</v>
      </c>
      <c r="D561" s="8">
        <v>7999.0</v>
      </c>
      <c r="E561" s="9">
        <v>0.81</v>
      </c>
      <c r="F561" s="10">
        <v>4.2</v>
      </c>
      <c r="G561" s="11">
        <v>22638.0</v>
      </c>
      <c r="K561" s="17">
        <v>4.2</v>
      </c>
    </row>
    <row r="562">
      <c r="A562" s="7" t="s">
        <v>597</v>
      </c>
      <c r="B562" s="7" t="s">
        <v>389</v>
      </c>
      <c r="C562" s="8">
        <v>1055.0</v>
      </c>
      <c r="D562" s="8">
        <v>1249.0</v>
      </c>
      <c r="E562" s="9">
        <v>0.16</v>
      </c>
      <c r="F562" s="10">
        <v>3.8</v>
      </c>
      <c r="G562" s="11">
        <v>2352.0</v>
      </c>
      <c r="K562" s="17">
        <v>3.8</v>
      </c>
    </row>
    <row r="563">
      <c r="A563" s="7" t="s">
        <v>598</v>
      </c>
      <c r="B563" s="7" t="s">
        <v>490</v>
      </c>
      <c r="C563" s="8">
        <v>150.0</v>
      </c>
      <c r="D563" s="8">
        <v>599.0</v>
      </c>
      <c r="E563" s="9">
        <v>0.75</v>
      </c>
      <c r="F563" s="10">
        <v>4.3</v>
      </c>
      <c r="G563" s="10">
        <v>714.0</v>
      </c>
      <c r="K563" s="17">
        <v>4.3</v>
      </c>
    </row>
    <row r="564">
      <c r="A564" s="7" t="s">
        <v>94</v>
      </c>
      <c r="B564" s="7" t="s">
        <v>15</v>
      </c>
      <c r="C564" s="8">
        <v>219.0</v>
      </c>
      <c r="D564" s="8">
        <v>700.0</v>
      </c>
      <c r="E564" s="9">
        <v>0.69</v>
      </c>
      <c r="F564" s="10">
        <v>4.3</v>
      </c>
      <c r="G564" s="11">
        <v>20052.0</v>
      </c>
      <c r="K564" s="17">
        <v>4.3</v>
      </c>
    </row>
    <row r="565">
      <c r="A565" s="7" t="s">
        <v>599</v>
      </c>
      <c r="B565" s="7" t="s">
        <v>516</v>
      </c>
      <c r="C565" s="8">
        <v>474.0</v>
      </c>
      <c r="D565" s="8">
        <v>1799.0</v>
      </c>
      <c r="E565" s="9">
        <v>0.74</v>
      </c>
      <c r="F565" s="10">
        <v>4.3</v>
      </c>
      <c r="G565" s="11">
        <v>1454.0</v>
      </c>
      <c r="K565" s="17">
        <v>4.3</v>
      </c>
    </row>
    <row r="566">
      <c r="A566" s="7" t="s">
        <v>98</v>
      </c>
      <c r="B566" s="7" t="s">
        <v>15</v>
      </c>
      <c r="C566" s="8">
        <v>115.0</v>
      </c>
      <c r="D566" s="8">
        <v>499.0</v>
      </c>
      <c r="E566" s="9">
        <v>0.77</v>
      </c>
      <c r="F566" s="10">
        <v>4.0</v>
      </c>
      <c r="G566" s="11">
        <v>7732.0</v>
      </c>
      <c r="K566" s="17">
        <v>4.0</v>
      </c>
    </row>
    <row r="567">
      <c r="A567" s="7" t="s">
        <v>600</v>
      </c>
      <c r="B567" s="7" t="s">
        <v>409</v>
      </c>
      <c r="C567" s="8">
        <v>239.0</v>
      </c>
      <c r="D567" s="8">
        <v>599.0</v>
      </c>
      <c r="E567" s="9">
        <v>0.6</v>
      </c>
      <c r="F567" s="10">
        <v>3.9</v>
      </c>
      <c r="G567" s="11">
        <v>2147.0</v>
      </c>
      <c r="K567" s="17">
        <v>3.9</v>
      </c>
    </row>
    <row r="568">
      <c r="A568" s="7" t="s">
        <v>601</v>
      </c>
      <c r="B568" s="7" t="s">
        <v>380</v>
      </c>
      <c r="C568" s="8">
        <v>7499.0</v>
      </c>
      <c r="D568" s="8">
        <v>9499.0</v>
      </c>
      <c r="E568" s="9">
        <v>0.21</v>
      </c>
      <c r="F568" s="10">
        <v>4.1</v>
      </c>
      <c r="G568" s="7" t="s">
        <v>513</v>
      </c>
      <c r="K568" s="17">
        <v>4.1</v>
      </c>
    </row>
    <row r="569">
      <c r="A569" s="7" t="s">
        <v>602</v>
      </c>
      <c r="B569" s="7" t="s">
        <v>373</v>
      </c>
      <c r="C569" s="8">
        <v>265.0</v>
      </c>
      <c r="D569" s="8">
        <v>999.0</v>
      </c>
      <c r="E569" s="9">
        <v>0.73</v>
      </c>
      <c r="F569" s="10">
        <v>3.7</v>
      </c>
      <c r="G569" s="10">
        <v>465.0</v>
      </c>
      <c r="K569" s="17">
        <v>3.7</v>
      </c>
    </row>
    <row r="570">
      <c r="A570" s="7" t="s">
        <v>603</v>
      </c>
      <c r="B570" s="7" t="s">
        <v>380</v>
      </c>
      <c r="C570" s="8">
        <v>37990.0</v>
      </c>
      <c r="D570" s="8">
        <v>74999.0</v>
      </c>
      <c r="E570" s="9">
        <v>0.49</v>
      </c>
      <c r="F570" s="10">
        <v>4.2</v>
      </c>
      <c r="G570" s="11">
        <v>27790.0</v>
      </c>
      <c r="K570" s="17">
        <v>4.2</v>
      </c>
    </row>
    <row r="571">
      <c r="A571" s="7" t="s">
        <v>100</v>
      </c>
      <c r="B571" s="7" t="s">
        <v>15</v>
      </c>
      <c r="C571" s="8">
        <v>199.0</v>
      </c>
      <c r="D571" s="8">
        <v>499.0</v>
      </c>
      <c r="E571" s="9">
        <v>0.6</v>
      </c>
      <c r="F571" s="10">
        <v>4.1</v>
      </c>
      <c r="G571" s="10">
        <v>602.0</v>
      </c>
      <c r="K571" s="17">
        <v>4.1</v>
      </c>
    </row>
    <row r="572">
      <c r="A572" s="7" t="s">
        <v>101</v>
      </c>
      <c r="B572" s="7" t="s">
        <v>15</v>
      </c>
      <c r="C572" s="8">
        <v>179.0</v>
      </c>
      <c r="D572" s="8">
        <v>399.0</v>
      </c>
      <c r="E572" s="9">
        <v>0.55</v>
      </c>
      <c r="F572" s="10">
        <v>4.0</v>
      </c>
      <c r="G572" s="11">
        <v>1423.0</v>
      </c>
      <c r="K572" s="17">
        <v>4.0</v>
      </c>
    </row>
    <row r="573">
      <c r="A573" s="7" t="s">
        <v>604</v>
      </c>
      <c r="B573" s="7" t="s">
        <v>441</v>
      </c>
      <c r="C573" s="8">
        <v>1799.0</v>
      </c>
      <c r="D573" s="8">
        <v>3999.0</v>
      </c>
      <c r="E573" s="9">
        <v>0.55</v>
      </c>
      <c r="F573" s="10">
        <v>4.6</v>
      </c>
      <c r="G573" s="10">
        <v>245.0</v>
      </c>
      <c r="K573" s="17">
        <v>4.6</v>
      </c>
    </row>
    <row r="574">
      <c r="A574" s="7" t="s">
        <v>605</v>
      </c>
      <c r="B574" s="7" t="s">
        <v>380</v>
      </c>
      <c r="C574" s="8">
        <v>8499.0</v>
      </c>
      <c r="D574" s="8">
        <v>11999.0</v>
      </c>
      <c r="E574" s="9">
        <v>0.29</v>
      </c>
      <c r="F574" s="10">
        <v>3.9</v>
      </c>
      <c r="G574" s="10">
        <v>276.0</v>
      </c>
      <c r="K574" s="17">
        <v>3.9</v>
      </c>
    </row>
    <row r="575">
      <c r="A575" s="7" t="s">
        <v>606</v>
      </c>
      <c r="B575" s="7" t="s">
        <v>373</v>
      </c>
      <c r="C575" s="8">
        <v>1999.0</v>
      </c>
      <c r="D575" s="8">
        <v>3999.0</v>
      </c>
      <c r="E575" s="9">
        <v>0.5</v>
      </c>
      <c r="F575" s="10">
        <v>4.0</v>
      </c>
      <c r="G575" s="11">
        <v>30254.0</v>
      </c>
      <c r="K575" s="17">
        <v>4.0</v>
      </c>
    </row>
    <row r="576">
      <c r="A576" s="7" t="s">
        <v>424</v>
      </c>
      <c r="B576" s="7" t="s">
        <v>373</v>
      </c>
      <c r="C576" s="8">
        <v>3999.0</v>
      </c>
      <c r="D576" s="8">
        <v>17999.0</v>
      </c>
      <c r="E576" s="9">
        <v>0.78</v>
      </c>
      <c r="F576" s="10">
        <v>4.3</v>
      </c>
      <c r="G576" s="11">
        <v>17161.0</v>
      </c>
      <c r="K576" s="17">
        <v>4.3</v>
      </c>
    </row>
    <row r="577">
      <c r="A577" s="7" t="s">
        <v>607</v>
      </c>
      <c r="B577" s="7" t="s">
        <v>409</v>
      </c>
      <c r="C577" s="8">
        <v>219.0</v>
      </c>
      <c r="D577" s="8">
        <v>499.0</v>
      </c>
      <c r="E577" s="9">
        <v>0.56</v>
      </c>
      <c r="F577" s="10">
        <v>4.4</v>
      </c>
      <c r="G577" s="10">
        <v>14.0</v>
      </c>
      <c r="K577" s="17">
        <v>4.4</v>
      </c>
    </row>
    <row r="578">
      <c r="A578" s="7" t="s">
        <v>608</v>
      </c>
      <c r="B578" s="7" t="s">
        <v>441</v>
      </c>
      <c r="C578" s="8">
        <v>599.0</v>
      </c>
      <c r="D578" s="8">
        <v>1399.0</v>
      </c>
      <c r="E578" s="9">
        <v>0.57</v>
      </c>
      <c r="F578" s="10">
        <v>4.1</v>
      </c>
      <c r="G578" s="11">
        <v>14560.0</v>
      </c>
      <c r="K578" s="17">
        <v>4.1</v>
      </c>
    </row>
    <row r="579">
      <c r="A579" s="7" t="s">
        <v>609</v>
      </c>
      <c r="B579" s="7" t="s">
        <v>377</v>
      </c>
      <c r="C579" s="8">
        <v>2499.0</v>
      </c>
      <c r="D579" s="8">
        <v>2999.0</v>
      </c>
      <c r="E579" s="9">
        <v>0.17</v>
      </c>
      <c r="F579" s="10">
        <v>4.1</v>
      </c>
      <c r="G579" s="11">
        <v>3156.0</v>
      </c>
      <c r="K579" s="17">
        <v>4.1</v>
      </c>
    </row>
    <row r="580">
      <c r="A580" s="7" t="s">
        <v>610</v>
      </c>
      <c r="B580" s="7" t="s">
        <v>611</v>
      </c>
      <c r="C580" s="8">
        <v>89.0</v>
      </c>
      <c r="D580" s="8">
        <v>499.0</v>
      </c>
      <c r="E580" s="9">
        <v>0.82</v>
      </c>
      <c r="F580" s="10">
        <v>4.1</v>
      </c>
      <c r="G580" s="11">
        <v>9340.0</v>
      </c>
      <c r="K580" s="17">
        <v>4.1</v>
      </c>
    </row>
    <row r="581">
      <c r="A581" s="7" t="s">
        <v>612</v>
      </c>
      <c r="B581" s="7" t="s">
        <v>373</v>
      </c>
      <c r="C581" s="8">
        <v>2999.0</v>
      </c>
      <c r="D581" s="8">
        <v>11999.0</v>
      </c>
      <c r="E581" s="9">
        <v>0.75</v>
      </c>
      <c r="F581" s="10">
        <v>4.4</v>
      </c>
      <c r="G581" s="10">
        <v>768.0</v>
      </c>
      <c r="K581" s="17">
        <v>4.4</v>
      </c>
    </row>
    <row r="582">
      <c r="A582" s="7" t="s">
        <v>613</v>
      </c>
      <c r="B582" s="7" t="s">
        <v>450</v>
      </c>
      <c r="C582" s="8">
        <v>314.0</v>
      </c>
      <c r="D582" s="8">
        <v>1499.0</v>
      </c>
      <c r="E582" s="9">
        <v>0.79</v>
      </c>
      <c r="F582" s="10">
        <v>4.5</v>
      </c>
      <c r="G582" s="11">
        <v>28978.0</v>
      </c>
      <c r="K582" s="17">
        <v>4.5</v>
      </c>
    </row>
    <row r="583">
      <c r="A583" s="7" t="s">
        <v>614</v>
      </c>
      <c r="B583" s="7" t="s">
        <v>380</v>
      </c>
      <c r="C583" s="8">
        <v>13999.0</v>
      </c>
      <c r="D583" s="8">
        <v>19499.0</v>
      </c>
      <c r="E583" s="9">
        <v>0.28</v>
      </c>
      <c r="F583" s="10">
        <v>4.1</v>
      </c>
      <c r="G583" s="11">
        <v>18998.0</v>
      </c>
      <c r="K583" s="17">
        <v>4.1</v>
      </c>
    </row>
    <row r="584">
      <c r="A584" s="7" t="s">
        <v>615</v>
      </c>
      <c r="B584" s="7" t="s">
        <v>423</v>
      </c>
      <c r="C584" s="8">
        <v>139.0</v>
      </c>
      <c r="D584" s="8">
        <v>499.0</v>
      </c>
      <c r="E584" s="9">
        <v>0.72</v>
      </c>
      <c r="F584" s="10">
        <v>4.2</v>
      </c>
      <c r="G584" s="11">
        <v>4971.0</v>
      </c>
      <c r="K584" s="17">
        <v>4.2</v>
      </c>
    </row>
    <row r="585">
      <c r="A585" s="7" t="s">
        <v>616</v>
      </c>
      <c r="B585" s="7" t="s">
        <v>502</v>
      </c>
      <c r="C585" s="8">
        <v>2599.0</v>
      </c>
      <c r="D585" s="8">
        <v>6999.0</v>
      </c>
      <c r="E585" s="9">
        <v>0.63</v>
      </c>
      <c r="F585" s="10">
        <v>4.5</v>
      </c>
      <c r="G585" s="11">
        <v>1526.0</v>
      </c>
      <c r="K585" s="17">
        <v>4.5</v>
      </c>
    </row>
    <row r="586">
      <c r="A586" s="7" t="s">
        <v>617</v>
      </c>
      <c r="B586" s="7" t="s">
        <v>393</v>
      </c>
      <c r="C586" s="8">
        <v>365.0</v>
      </c>
      <c r="D586" s="8">
        <v>999.0</v>
      </c>
      <c r="E586" s="9">
        <v>0.63</v>
      </c>
      <c r="F586" s="10">
        <v>4.1</v>
      </c>
      <c r="G586" s="7" t="s">
        <v>618</v>
      </c>
      <c r="K586" s="17">
        <v>4.1</v>
      </c>
    </row>
    <row r="587">
      <c r="A587" s="7" t="s">
        <v>619</v>
      </c>
      <c r="B587" s="7" t="s">
        <v>393</v>
      </c>
      <c r="C587" s="8">
        <v>1499.0</v>
      </c>
      <c r="D587" s="8">
        <v>4490.0</v>
      </c>
      <c r="E587" s="9">
        <v>0.67</v>
      </c>
      <c r="F587" s="10">
        <v>3.9</v>
      </c>
      <c r="G587" s="7" t="s">
        <v>620</v>
      </c>
      <c r="K587" s="17">
        <v>3.9</v>
      </c>
    </row>
    <row r="588">
      <c r="A588" s="7" t="s">
        <v>374</v>
      </c>
      <c r="B588" s="7" t="s">
        <v>373</v>
      </c>
      <c r="C588" s="8">
        <v>1998.0</v>
      </c>
      <c r="D588" s="8">
        <v>9999.0</v>
      </c>
      <c r="E588" s="9">
        <v>0.8</v>
      </c>
      <c r="F588" s="10">
        <v>4.3</v>
      </c>
      <c r="G588" s="11">
        <v>27709.0</v>
      </c>
      <c r="K588" s="17">
        <v>4.3</v>
      </c>
    </row>
    <row r="589">
      <c r="A589" s="7" t="s">
        <v>375</v>
      </c>
      <c r="B589" s="7" t="s">
        <v>373</v>
      </c>
      <c r="C589" s="8">
        <v>1799.0</v>
      </c>
      <c r="D589" s="8">
        <v>7990.0</v>
      </c>
      <c r="E589" s="9">
        <v>0.77</v>
      </c>
      <c r="F589" s="10">
        <v>3.8</v>
      </c>
      <c r="G589" s="11">
        <v>17833.0</v>
      </c>
      <c r="K589" s="17">
        <v>3.8</v>
      </c>
    </row>
    <row r="590">
      <c r="A590" s="7" t="s">
        <v>621</v>
      </c>
      <c r="B590" s="7" t="s">
        <v>622</v>
      </c>
      <c r="C590" s="8">
        <v>289.0</v>
      </c>
      <c r="D590" s="8">
        <v>650.0</v>
      </c>
      <c r="E590" s="9">
        <v>0.56</v>
      </c>
      <c r="F590" s="10">
        <v>4.3</v>
      </c>
      <c r="G590" s="7" t="s">
        <v>623</v>
      </c>
      <c r="K590" s="17">
        <v>4.3</v>
      </c>
    </row>
    <row r="591">
      <c r="A591" s="7" t="s">
        <v>624</v>
      </c>
      <c r="B591" s="7" t="s">
        <v>625</v>
      </c>
      <c r="C591" s="8">
        <v>599.0</v>
      </c>
      <c r="D591" s="8">
        <v>895.0</v>
      </c>
      <c r="E591" s="9">
        <v>0.33</v>
      </c>
      <c r="F591" s="10">
        <v>4.4</v>
      </c>
      <c r="G591" s="11">
        <v>61314.0</v>
      </c>
      <c r="K591" s="17">
        <v>4.4</v>
      </c>
    </row>
    <row r="592">
      <c r="A592" s="7" t="s">
        <v>626</v>
      </c>
      <c r="B592" s="7" t="s">
        <v>627</v>
      </c>
      <c r="C592" s="8">
        <v>217.0</v>
      </c>
      <c r="D592" s="8">
        <v>237.0</v>
      </c>
      <c r="E592" s="9">
        <v>0.08</v>
      </c>
      <c r="F592" s="10">
        <v>3.8</v>
      </c>
      <c r="G592" s="11">
        <v>7354.0</v>
      </c>
      <c r="K592" s="17">
        <v>3.8</v>
      </c>
    </row>
    <row r="593">
      <c r="A593" s="7" t="s">
        <v>628</v>
      </c>
      <c r="B593" s="7" t="s">
        <v>393</v>
      </c>
      <c r="C593" s="8">
        <v>1299.0</v>
      </c>
      <c r="D593" s="8">
        <v>2990.0</v>
      </c>
      <c r="E593" s="9">
        <v>0.57</v>
      </c>
      <c r="F593" s="10">
        <v>3.8</v>
      </c>
      <c r="G593" s="7" t="s">
        <v>629</v>
      </c>
      <c r="K593" s="17">
        <v>3.8</v>
      </c>
    </row>
    <row r="594">
      <c r="A594" s="7" t="s">
        <v>630</v>
      </c>
      <c r="B594" s="7" t="s">
        <v>631</v>
      </c>
      <c r="C594" s="8">
        <v>263.0</v>
      </c>
      <c r="D594" s="8">
        <v>699.0</v>
      </c>
      <c r="E594" s="9">
        <v>0.62</v>
      </c>
      <c r="F594" s="10">
        <v>3.5</v>
      </c>
      <c r="G594" s="10">
        <v>690.0</v>
      </c>
      <c r="K594" s="17">
        <v>3.5</v>
      </c>
    </row>
    <row r="595">
      <c r="A595" s="7" t="s">
        <v>385</v>
      </c>
      <c r="B595" s="7" t="s">
        <v>386</v>
      </c>
      <c r="C595" s="8">
        <v>569.0</v>
      </c>
      <c r="D595" s="8">
        <v>1000.0</v>
      </c>
      <c r="E595" s="9">
        <v>0.43</v>
      </c>
      <c r="F595" s="10">
        <v>4.4</v>
      </c>
      <c r="G595" s="11">
        <v>67262.0</v>
      </c>
      <c r="K595" s="17">
        <v>4.4</v>
      </c>
    </row>
    <row r="596">
      <c r="A596" s="7" t="s">
        <v>387</v>
      </c>
      <c r="B596" s="7" t="s">
        <v>373</v>
      </c>
      <c r="C596" s="8">
        <v>1999.0</v>
      </c>
      <c r="D596" s="8">
        <v>4999.0</v>
      </c>
      <c r="E596" s="9">
        <v>0.6</v>
      </c>
      <c r="F596" s="10">
        <v>4.1</v>
      </c>
      <c r="G596" s="11">
        <v>10689.0</v>
      </c>
      <c r="K596" s="17">
        <v>4.1</v>
      </c>
    </row>
    <row r="597">
      <c r="A597" s="7" t="s">
        <v>632</v>
      </c>
      <c r="B597" s="7" t="s">
        <v>393</v>
      </c>
      <c r="C597" s="8">
        <v>1399.0</v>
      </c>
      <c r="D597" s="8">
        <v>3990.0</v>
      </c>
      <c r="E597" s="9">
        <v>0.65</v>
      </c>
      <c r="F597" s="10">
        <v>4.1</v>
      </c>
      <c r="G597" s="7" t="s">
        <v>633</v>
      </c>
      <c r="K597" s="17">
        <v>4.1</v>
      </c>
    </row>
    <row r="598">
      <c r="A598" s="7" t="s">
        <v>634</v>
      </c>
      <c r="B598" s="7" t="s">
        <v>635</v>
      </c>
      <c r="C598" s="8">
        <v>349.0</v>
      </c>
      <c r="D598" s="8">
        <v>1499.0</v>
      </c>
      <c r="E598" s="9">
        <v>0.77</v>
      </c>
      <c r="F598" s="10">
        <v>4.3</v>
      </c>
      <c r="G598" s="11">
        <v>24791.0</v>
      </c>
      <c r="K598" s="17">
        <v>4.3</v>
      </c>
    </row>
    <row r="599">
      <c r="A599" s="7" t="s">
        <v>636</v>
      </c>
      <c r="B599" s="7" t="s">
        <v>393</v>
      </c>
      <c r="C599" s="8">
        <v>149.0</v>
      </c>
      <c r="D599" s="8">
        <v>399.0</v>
      </c>
      <c r="E599" s="9">
        <v>0.63</v>
      </c>
      <c r="F599" s="10">
        <v>3.5</v>
      </c>
      <c r="G599" s="11">
        <v>21764.0</v>
      </c>
      <c r="K599" s="17">
        <v>3.5</v>
      </c>
    </row>
    <row r="600">
      <c r="A600" s="7" t="s">
        <v>392</v>
      </c>
      <c r="B600" s="7" t="s">
        <v>393</v>
      </c>
      <c r="C600" s="8">
        <v>599.0</v>
      </c>
      <c r="D600" s="8">
        <v>999.0</v>
      </c>
      <c r="E600" s="9">
        <v>0.4</v>
      </c>
      <c r="F600" s="10">
        <v>4.1</v>
      </c>
      <c r="G600" s="7" t="s">
        <v>637</v>
      </c>
      <c r="K600" s="17">
        <v>4.1</v>
      </c>
    </row>
    <row r="601">
      <c r="A601" s="7" t="s">
        <v>638</v>
      </c>
      <c r="B601" s="7" t="s">
        <v>572</v>
      </c>
      <c r="C601" s="8">
        <v>1220.0</v>
      </c>
      <c r="D601" s="8">
        <v>3990.0</v>
      </c>
      <c r="E601" s="9">
        <v>0.69</v>
      </c>
      <c r="F601" s="10">
        <v>4.1</v>
      </c>
      <c r="G601" s="7" t="s">
        <v>639</v>
      </c>
      <c r="K601" s="17">
        <v>4.1</v>
      </c>
    </row>
    <row r="602">
      <c r="A602" s="7" t="s">
        <v>391</v>
      </c>
      <c r="B602" s="7" t="s">
        <v>373</v>
      </c>
      <c r="C602" s="8">
        <v>1499.0</v>
      </c>
      <c r="D602" s="8">
        <v>6990.0</v>
      </c>
      <c r="E602" s="9">
        <v>0.79</v>
      </c>
      <c r="F602" s="10">
        <v>3.9</v>
      </c>
      <c r="G602" s="11">
        <v>21797.0</v>
      </c>
      <c r="K602" s="17">
        <v>3.9</v>
      </c>
    </row>
    <row r="603">
      <c r="A603" s="7" t="s">
        <v>640</v>
      </c>
      <c r="B603" s="7" t="s">
        <v>393</v>
      </c>
      <c r="C603" s="8">
        <v>499.0</v>
      </c>
      <c r="D603" s="8">
        <v>999.0</v>
      </c>
      <c r="E603" s="9">
        <v>0.5</v>
      </c>
      <c r="F603" s="10">
        <v>3.9</v>
      </c>
      <c r="G603" s="11">
        <v>92995.0</v>
      </c>
      <c r="K603" s="17">
        <v>3.9</v>
      </c>
    </row>
    <row r="604">
      <c r="A604" s="7" t="s">
        <v>641</v>
      </c>
      <c r="B604" s="7" t="s">
        <v>454</v>
      </c>
      <c r="C604" s="8">
        <v>99.0</v>
      </c>
      <c r="D604" s="8">
        <v>999.0</v>
      </c>
      <c r="E604" s="9">
        <v>0.9</v>
      </c>
      <c r="F604" s="10">
        <v>4.1</v>
      </c>
      <c r="G604" s="11">
        <v>8751.0</v>
      </c>
      <c r="K604" s="17">
        <v>4.1</v>
      </c>
    </row>
    <row r="605">
      <c r="A605" s="7" t="s">
        <v>398</v>
      </c>
      <c r="B605" s="7" t="s">
        <v>399</v>
      </c>
      <c r="C605" s="8">
        <v>349.0</v>
      </c>
      <c r="D605" s="8">
        <v>1299.0</v>
      </c>
      <c r="E605" s="9">
        <v>0.73</v>
      </c>
      <c r="F605" s="10">
        <v>4.0</v>
      </c>
      <c r="G605" s="11">
        <v>14283.0</v>
      </c>
      <c r="K605" s="17">
        <v>4.0</v>
      </c>
    </row>
    <row r="606">
      <c r="A606" s="7" t="s">
        <v>642</v>
      </c>
      <c r="B606" s="7" t="s">
        <v>622</v>
      </c>
      <c r="C606" s="8">
        <v>475.0</v>
      </c>
      <c r="D606" s="8">
        <v>1500.0</v>
      </c>
      <c r="E606" s="9">
        <v>0.68</v>
      </c>
      <c r="F606" s="10">
        <v>4.2</v>
      </c>
      <c r="G606" s="11">
        <v>64273.0</v>
      </c>
      <c r="K606" s="17">
        <v>4.2</v>
      </c>
    </row>
    <row r="607">
      <c r="A607" s="7" t="s">
        <v>643</v>
      </c>
      <c r="B607" s="7" t="s">
        <v>625</v>
      </c>
      <c r="C607" s="8">
        <v>269.0</v>
      </c>
      <c r="D607" s="8">
        <v>649.0</v>
      </c>
      <c r="E607" s="9">
        <v>0.59</v>
      </c>
      <c r="F607" s="10">
        <v>4.3</v>
      </c>
      <c r="G607" s="11">
        <v>54315.0</v>
      </c>
      <c r="K607" s="17">
        <v>4.3</v>
      </c>
    </row>
    <row r="608">
      <c r="A608" s="7" t="s">
        <v>644</v>
      </c>
      <c r="B608" s="7" t="s">
        <v>625</v>
      </c>
      <c r="C608" s="8">
        <v>299.0</v>
      </c>
      <c r="D608" s="8">
        <v>599.0</v>
      </c>
      <c r="E608" s="9">
        <v>0.5</v>
      </c>
      <c r="F608" s="10">
        <v>4.1</v>
      </c>
      <c r="G608" s="11">
        <v>1597.0</v>
      </c>
      <c r="K608" s="17">
        <v>4.1</v>
      </c>
    </row>
    <row r="609">
      <c r="A609" s="7" t="s">
        <v>410</v>
      </c>
      <c r="B609" s="7" t="s">
        <v>373</v>
      </c>
      <c r="C609" s="8">
        <v>1599.0</v>
      </c>
      <c r="D609" s="8">
        <v>3999.0</v>
      </c>
      <c r="E609" s="9">
        <v>0.6</v>
      </c>
      <c r="F609" s="10">
        <v>4.0</v>
      </c>
      <c r="G609" s="11">
        <v>30254.0</v>
      </c>
      <c r="K609" s="17">
        <v>4.0</v>
      </c>
    </row>
    <row r="610">
      <c r="A610" s="7" t="s">
        <v>411</v>
      </c>
      <c r="B610" s="7" t="s">
        <v>373</v>
      </c>
      <c r="C610" s="8">
        <v>1499.0</v>
      </c>
      <c r="D610" s="8">
        <v>7999.0</v>
      </c>
      <c r="E610" s="9">
        <v>0.81</v>
      </c>
      <c r="F610" s="10">
        <v>4.2</v>
      </c>
      <c r="G610" s="11">
        <v>22638.0</v>
      </c>
      <c r="K610" s="17">
        <v>4.2</v>
      </c>
    </row>
    <row r="611">
      <c r="A611" s="7" t="s">
        <v>645</v>
      </c>
      <c r="B611" s="7" t="s">
        <v>393</v>
      </c>
      <c r="C611" s="8">
        <v>329.0</v>
      </c>
      <c r="D611" s="8">
        <v>999.0</v>
      </c>
      <c r="E611" s="9">
        <v>0.67</v>
      </c>
      <c r="F611" s="10">
        <v>3.9</v>
      </c>
      <c r="G611" s="11">
        <v>77027.0</v>
      </c>
      <c r="K611" s="17">
        <v>3.9</v>
      </c>
    </row>
    <row r="612">
      <c r="A612" s="7" t="s">
        <v>646</v>
      </c>
      <c r="B612" s="7" t="s">
        <v>647</v>
      </c>
      <c r="C612" s="8">
        <v>549.0</v>
      </c>
      <c r="D612" s="8">
        <v>1799.0</v>
      </c>
      <c r="E612" s="9">
        <v>0.69</v>
      </c>
      <c r="F612" s="10">
        <v>4.3</v>
      </c>
      <c r="G612" s="11">
        <v>28829.0</v>
      </c>
      <c r="K612" s="17">
        <v>4.3</v>
      </c>
    </row>
    <row r="613">
      <c r="A613" s="7" t="s">
        <v>415</v>
      </c>
      <c r="B613" s="7" t="s">
        <v>373</v>
      </c>
      <c r="C613" s="8">
        <v>2199.0</v>
      </c>
      <c r="D613" s="8">
        <v>9999.0</v>
      </c>
      <c r="E613" s="9">
        <v>0.78</v>
      </c>
      <c r="F613" s="10">
        <v>4.2</v>
      </c>
      <c r="G613" s="11">
        <v>29478.0</v>
      </c>
      <c r="K613" s="17">
        <v>4.2</v>
      </c>
    </row>
    <row r="614">
      <c r="A614" s="7" t="s">
        <v>648</v>
      </c>
      <c r="B614" s="7" t="s">
        <v>625</v>
      </c>
      <c r="C614" s="8">
        <v>299.0</v>
      </c>
      <c r="D614" s="8">
        <v>650.0</v>
      </c>
      <c r="E614" s="9">
        <v>0.54</v>
      </c>
      <c r="F614" s="10">
        <v>4.5</v>
      </c>
      <c r="G614" s="11">
        <v>33176.0</v>
      </c>
      <c r="K614" s="17">
        <v>4.5</v>
      </c>
    </row>
    <row r="615">
      <c r="A615" s="7" t="s">
        <v>649</v>
      </c>
      <c r="B615" s="7" t="s">
        <v>650</v>
      </c>
      <c r="C615" s="8">
        <v>798.0</v>
      </c>
      <c r="D615" s="8">
        <v>1995.0</v>
      </c>
      <c r="E615" s="9">
        <v>0.6</v>
      </c>
      <c r="F615" s="10">
        <v>4.0</v>
      </c>
      <c r="G615" s="11">
        <v>68664.0</v>
      </c>
      <c r="K615" s="17">
        <v>4.0</v>
      </c>
    </row>
    <row r="616">
      <c r="A616" s="7" t="s">
        <v>14</v>
      </c>
      <c r="B616" s="7" t="s">
        <v>15</v>
      </c>
      <c r="C616" s="8">
        <v>399.0</v>
      </c>
      <c r="D616" s="8">
        <v>1099.0</v>
      </c>
      <c r="E616" s="9">
        <v>0.64</v>
      </c>
      <c r="F616" s="10">
        <v>4.2</v>
      </c>
      <c r="G616" s="11">
        <v>24269.0</v>
      </c>
      <c r="K616" s="17">
        <v>4.2</v>
      </c>
    </row>
    <row r="617">
      <c r="A617" s="7" t="s">
        <v>651</v>
      </c>
      <c r="B617" s="7" t="s">
        <v>652</v>
      </c>
      <c r="C617" s="8">
        <v>266.0</v>
      </c>
      <c r="D617" s="8">
        <v>315.0</v>
      </c>
      <c r="E617" s="9">
        <v>0.16</v>
      </c>
      <c r="F617" s="10">
        <v>4.5</v>
      </c>
      <c r="G617" s="11">
        <v>28030.0</v>
      </c>
      <c r="K617" s="17">
        <v>4.5</v>
      </c>
    </row>
    <row r="618">
      <c r="A618" s="7" t="s">
        <v>653</v>
      </c>
      <c r="B618" s="7" t="s">
        <v>654</v>
      </c>
      <c r="C618" s="8">
        <v>50.0</v>
      </c>
      <c r="D618" s="8">
        <v>50.0</v>
      </c>
      <c r="E618" s="9">
        <v>0.0</v>
      </c>
      <c r="F618" s="10">
        <v>4.3</v>
      </c>
      <c r="G618" s="11">
        <v>5792.0</v>
      </c>
      <c r="K618" s="17">
        <v>4.3</v>
      </c>
    </row>
    <row r="619">
      <c r="A619" s="7" t="s">
        <v>655</v>
      </c>
      <c r="B619" s="7" t="s">
        <v>656</v>
      </c>
      <c r="C619" s="8">
        <v>130.0</v>
      </c>
      <c r="D619" s="8">
        <v>165.0</v>
      </c>
      <c r="E619" s="9">
        <v>0.21</v>
      </c>
      <c r="F619" s="10">
        <v>3.9</v>
      </c>
      <c r="G619" s="11">
        <v>14778.0</v>
      </c>
      <c r="K619" s="17">
        <v>3.9</v>
      </c>
    </row>
    <row r="620">
      <c r="A620" s="7" t="s">
        <v>657</v>
      </c>
      <c r="B620" s="7" t="s">
        <v>393</v>
      </c>
      <c r="C620" s="8">
        <v>449.0</v>
      </c>
      <c r="D620" s="8">
        <v>1290.0</v>
      </c>
      <c r="E620" s="9">
        <v>0.65</v>
      </c>
      <c r="F620" s="10">
        <v>4.1</v>
      </c>
      <c r="G620" s="11">
        <v>91770.0</v>
      </c>
      <c r="K620" s="17">
        <v>4.1</v>
      </c>
    </row>
    <row r="621">
      <c r="A621" s="7" t="s">
        <v>424</v>
      </c>
      <c r="B621" s="7" t="s">
        <v>373</v>
      </c>
      <c r="C621" s="8">
        <v>3999.0</v>
      </c>
      <c r="D621" s="8">
        <v>16999.0</v>
      </c>
      <c r="E621" s="9">
        <v>0.76</v>
      </c>
      <c r="F621" s="10">
        <v>4.3</v>
      </c>
      <c r="G621" s="11">
        <v>17162.0</v>
      </c>
      <c r="K621" s="17">
        <v>4.3</v>
      </c>
    </row>
    <row r="622">
      <c r="A622" s="7" t="s">
        <v>658</v>
      </c>
      <c r="B622" s="7" t="s">
        <v>393</v>
      </c>
      <c r="C622" s="8">
        <v>399.0</v>
      </c>
      <c r="D622" s="8">
        <v>1290.0</v>
      </c>
      <c r="E622" s="9">
        <v>0.69</v>
      </c>
      <c r="F622" s="10">
        <v>4.2</v>
      </c>
      <c r="G622" s="10">
        <v>206.0</v>
      </c>
      <c r="K622" s="17">
        <v>4.2</v>
      </c>
    </row>
    <row r="623">
      <c r="A623" s="7" t="s">
        <v>659</v>
      </c>
      <c r="B623" s="7" t="s">
        <v>660</v>
      </c>
      <c r="C623" s="8">
        <v>1399.0</v>
      </c>
      <c r="D623" s="8">
        <v>2498.0</v>
      </c>
      <c r="E623" s="9">
        <v>0.44</v>
      </c>
      <c r="F623" s="10">
        <v>4.2</v>
      </c>
      <c r="G623" s="11">
        <v>33717.0</v>
      </c>
      <c r="K623" s="17">
        <v>4.2</v>
      </c>
    </row>
    <row r="624">
      <c r="A624" s="7" t="s">
        <v>17</v>
      </c>
      <c r="B624" s="7" t="s">
        <v>15</v>
      </c>
      <c r="C624" s="8">
        <v>199.0</v>
      </c>
      <c r="D624" s="8">
        <v>349.0</v>
      </c>
      <c r="E624" s="9">
        <v>0.43</v>
      </c>
      <c r="F624" s="10">
        <v>4.0</v>
      </c>
      <c r="G624" s="11">
        <v>43994.0</v>
      </c>
      <c r="K624" s="17">
        <v>4.0</v>
      </c>
    </row>
    <row r="625">
      <c r="A625" s="7" t="s">
        <v>18</v>
      </c>
      <c r="B625" s="7" t="s">
        <v>15</v>
      </c>
      <c r="C625" s="8">
        <v>199.0</v>
      </c>
      <c r="D625" s="8">
        <v>999.0</v>
      </c>
      <c r="E625" s="9">
        <v>0.8</v>
      </c>
      <c r="F625" s="10">
        <v>3.9</v>
      </c>
      <c r="G625" s="11">
        <v>7928.0</v>
      </c>
      <c r="K625" s="17">
        <v>3.9</v>
      </c>
    </row>
    <row r="626">
      <c r="A626" s="7" t="s">
        <v>425</v>
      </c>
      <c r="B626" s="7" t="s">
        <v>373</v>
      </c>
      <c r="C626" s="8">
        <v>2998.0</v>
      </c>
      <c r="D626" s="8">
        <v>5999.0</v>
      </c>
      <c r="E626" s="9">
        <v>0.5</v>
      </c>
      <c r="F626" s="10">
        <v>4.1</v>
      </c>
      <c r="G626" s="11">
        <v>5179.0</v>
      </c>
      <c r="K626" s="17">
        <v>4.1</v>
      </c>
    </row>
    <row r="627">
      <c r="A627" s="7" t="s">
        <v>661</v>
      </c>
      <c r="B627" s="7" t="s">
        <v>662</v>
      </c>
      <c r="C627" s="8">
        <v>4098.0</v>
      </c>
      <c r="D627" s="8">
        <v>4999.0</v>
      </c>
      <c r="E627" s="9">
        <v>0.18</v>
      </c>
      <c r="F627" s="10">
        <v>4.5</v>
      </c>
      <c r="G627" s="11">
        <v>50810.0</v>
      </c>
      <c r="K627" s="17">
        <v>4.5</v>
      </c>
    </row>
    <row r="628">
      <c r="A628" s="7" t="s">
        <v>663</v>
      </c>
      <c r="B628" s="7" t="s">
        <v>664</v>
      </c>
      <c r="C628" s="8">
        <v>499.0</v>
      </c>
      <c r="D628" s="8">
        <v>1999.0</v>
      </c>
      <c r="E628" s="9">
        <v>0.75</v>
      </c>
      <c r="F628" s="10">
        <v>3.7</v>
      </c>
      <c r="G628" s="11">
        <v>3369.0</v>
      </c>
      <c r="K628" s="17">
        <v>3.7</v>
      </c>
    </row>
    <row r="629">
      <c r="A629" s="7" t="s">
        <v>665</v>
      </c>
      <c r="B629" s="7" t="s">
        <v>625</v>
      </c>
      <c r="C629" s="8">
        <v>299.0</v>
      </c>
      <c r="D629" s="8">
        <v>449.0</v>
      </c>
      <c r="E629" s="9">
        <v>0.33</v>
      </c>
      <c r="F629" s="10">
        <v>3.5</v>
      </c>
      <c r="G629" s="11">
        <v>11827.0</v>
      </c>
      <c r="K629" s="17">
        <v>3.5</v>
      </c>
    </row>
    <row r="630">
      <c r="A630" s="7" t="s">
        <v>19</v>
      </c>
      <c r="B630" s="7" t="s">
        <v>15</v>
      </c>
      <c r="C630" s="8">
        <v>329.0</v>
      </c>
      <c r="D630" s="8">
        <v>699.0</v>
      </c>
      <c r="E630" s="9">
        <v>0.53</v>
      </c>
      <c r="F630" s="10">
        <v>4.2</v>
      </c>
      <c r="G630" s="11">
        <v>94364.0</v>
      </c>
      <c r="K630" s="17">
        <v>4.2</v>
      </c>
    </row>
    <row r="631">
      <c r="A631" s="7" t="s">
        <v>666</v>
      </c>
      <c r="B631" s="7" t="s">
        <v>660</v>
      </c>
      <c r="C631" s="8">
        <v>699.0</v>
      </c>
      <c r="D631" s="8">
        <v>999.0</v>
      </c>
      <c r="E631" s="9">
        <v>0.3</v>
      </c>
      <c r="F631" s="10">
        <v>3.5</v>
      </c>
      <c r="G631" s="11">
        <v>15295.0</v>
      </c>
      <c r="K631" s="17">
        <v>3.5</v>
      </c>
    </row>
    <row r="632">
      <c r="A632" s="7" t="s">
        <v>667</v>
      </c>
      <c r="B632" s="7" t="s">
        <v>668</v>
      </c>
      <c r="C632" s="8">
        <v>799.0</v>
      </c>
      <c r="D632" s="8">
        <v>3990.0</v>
      </c>
      <c r="E632" s="9">
        <v>0.8</v>
      </c>
      <c r="F632" s="10">
        <v>4.3</v>
      </c>
      <c r="G632" s="11">
        <v>27139.0</v>
      </c>
      <c r="K632" s="17">
        <v>4.3</v>
      </c>
    </row>
    <row r="633">
      <c r="A633" s="7" t="s">
        <v>669</v>
      </c>
      <c r="B633" s="7" t="s">
        <v>393</v>
      </c>
      <c r="C633" s="8">
        <v>1399.0</v>
      </c>
      <c r="D633" s="8">
        <v>5499.0</v>
      </c>
      <c r="E633" s="9">
        <v>0.75</v>
      </c>
      <c r="F633" s="10">
        <v>3.9</v>
      </c>
      <c r="G633" s="11">
        <v>9504.0</v>
      </c>
      <c r="K633" s="17">
        <v>3.9</v>
      </c>
    </row>
    <row r="634">
      <c r="A634" s="7" t="s">
        <v>20</v>
      </c>
      <c r="B634" s="7" t="s">
        <v>15</v>
      </c>
      <c r="C634" s="8">
        <v>154.0</v>
      </c>
      <c r="D634" s="8">
        <v>399.0</v>
      </c>
      <c r="E634" s="9">
        <v>0.61</v>
      </c>
      <c r="F634" s="10">
        <v>4.2</v>
      </c>
      <c r="G634" s="11">
        <v>16905.0</v>
      </c>
      <c r="K634" s="17">
        <v>4.2</v>
      </c>
    </row>
    <row r="635">
      <c r="A635" s="7" t="s">
        <v>670</v>
      </c>
      <c r="B635" s="7" t="s">
        <v>622</v>
      </c>
      <c r="C635" s="8">
        <v>519.0</v>
      </c>
      <c r="D635" s="8">
        <v>1350.0</v>
      </c>
      <c r="E635" s="9">
        <v>0.62</v>
      </c>
      <c r="F635" s="10">
        <v>4.3</v>
      </c>
      <c r="G635" s="11">
        <v>30058.0</v>
      </c>
      <c r="K635" s="17">
        <v>4.3</v>
      </c>
    </row>
    <row r="636">
      <c r="A636" s="7" t="s">
        <v>439</v>
      </c>
      <c r="B636" s="7" t="s">
        <v>373</v>
      </c>
      <c r="C636" s="8">
        <v>2299.0</v>
      </c>
      <c r="D636" s="8">
        <v>7990.0</v>
      </c>
      <c r="E636" s="9">
        <v>0.71</v>
      </c>
      <c r="F636" s="10">
        <v>4.2</v>
      </c>
      <c r="G636" s="11">
        <v>69619.0</v>
      </c>
      <c r="K636" s="17">
        <v>4.2</v>
      </c>
    </row>
    <row r="637">
      <c r="A637" s="7" t="s">
        <v>440</v>
      </c>
      <c r="B637" s="7" t="s">
        <v>441</v>
      </c>
      <c r="C637" s="8">
        <v>399.0</v>
      </c>
      <c r="D637" s="8">
        <v>1999.0</v>
      </c>
      <c r="E637" s="9">
        <v>0.8</v>
      </c>
      <c r="F637" s="10">
        <v>4.0</v>
      </c>
      <c r="G637" s="11">
        <v>3382.0</v>
      </c>
      <c r="K637" s="17">
        <v>4.0</v>
      </c>
    </row>
    <row r="638">
      <c r="A638" s="7" t="s">
        <v>671</v>
      </c>
      <c r="B638" s="7" t="s">
        <v>393</v>
      </c>
      <c r="C638" s="8">
        <v>1499.0</v>
      </c>
      <c r="D638" s="8">
        <v>3990.0</v>
      </c>
      <c r="E638" s="9">
        <v>0.62</v>
      </c>
      <c r="F638" s="10">
        <v>4.1</v>
      </c>
      <c r="G638" s="7" t="s">
        <v>672</v>
      </c>
      <c r="K638" s="17">
        <v>4.1</v>
      </c>
    </row>
    <row r="639">
      <c r="A639" s="7" t="s">
        <v>673</v>
      </c>
      <c r="B639" s="7" t="s">
        <v>674</v>
      </c>
      <c r="C639" s="8">
        <v>1295.0</v>
      </c>
      <c r="D639" s="8">
        <v>1295.0</v>
      </c>
      <c r="E639" s="9">
        <v>0.0</v>
      </c>
      <c r="F639" s="10">
        <v>4.5</v>
      </c>
      <c r="G639" s="11">
        <v>5760.0</v>
      </c>
      <c r="K639" s="17">
        <v>4.5</v>
      </c>
    </row>
    <row r="640">
      <c r="A640" s="7" t="s">
        <v>675</v>
      </c>
      <c r="B640" s="7" t="s">
        <v>676</v>
      </c>
      <c r="C640" s="8">
        <v>1889.0</v>
      </c>
      <c r="D640" s="8">
        <v>5499.0</v>
      </c>
      <c r="E640" s="9">
        <v>0.66</v>
      </c>
      <c r="F640" s="10">
        <v>4.2</v>
      </c>
      <c r="G640" s="11">
        <v>49551.0</v>
      </c>
      <c r="K640" s="17">
        <v>4.2</v>
      </c>
    </row>
    <row r="641">
      <c r="A641" s="7" t="s">
        <v>677</v>
      </c>
      <c r="B641" s="7" t="s">
        <v>393</v>
      </c>
      <c r="C641" s="8">
        <v>455.0</v>
      </c>
      <c r="D641" s="8">
        <v>1490.0</v>
      </c>
      <c r="E641" s="9">
        <v>0.69</v>
      </c>
      <c r="F641" s="10">
        <v>4.1</v>
      </c>
      <c r="G641" s="7" t="s">
        <v>678</v>
      </c>
      <c r="K641" s="17">
        <v>4.1</v>
      </c>
    </row>
    <row r="642">
      <c r="A642" s="7" t="s">
        <v>679</v>
      </c>
      <c r="B642" s="7" t="s">
        <v>680</v>
      </c>
      <c r="C642" s="8">
        <v>399.0</v>
      </c>
      <c r="D642" s="8">
        <v>995.0</v>
      </c>
      <c r="E642" s="9">
        <v>0.6</v>
      </c>
      <c r="F642" s="10">
        <v>3.9</v>
      </c>
      <c r="G642" s="11">
        <v>21372.0</v>
      </c>
      <c r="K642" s="17">
        <v>3.9</v>
      </c>
    </row>
    <row r="643">
      <c r="A643" s="7" t="s">
        <v>442</v>
      </c>
      <c r="B643" s="7" t="s">
        <v>386</v>
      </c>
      <c r="C643" s="8">
        <v>1059.0</v>
      </c>
      <c r="D643" s="8">
        <v>3999.0</v>
      </c>
      <c r="E643" s="9">
        <v>0.74</v>
      </c>
      <c r="F643" s="10">
        <v>4.3</v>
      </c>
      <c r="G643" s="7" t="s">
        <v>681</v>
      </c>
      <c r="K643" s="17">
        <v>4.3</v>
      </c>
    </row>
    <row r="644">
      <c r="A644" s="7" t="s">
        <v>21</v>
      </c>
      <c r="B644" s="7" t="s">
        <v>15</v>
      </c>
      <c r="C644" s="8">
        <v>149.0</v>
      </c>
      <c r="D644" s="8">
        <v>1000.0</v>
      </c>
      <c r="E644" s="9">
        <v>0.85</v>
      </c>
      <c r="F644" s="10">
        <v>3.9</v>
      </c>
      <c r="G644" s="11">
        <v>24870.0</v>
      </c>
      <c r="K644" s="17">
        <v>3.9</v>
      </c>
    </row>
    <row r="645">
      <c r="A645" s="7" t="s">
        <v>682</v>
      </c>
      <c r="B645" s="7" t="s">
        <v>683</v>
      </c>
      <c r="C645" s="8">
        <v>717.0</v>
      </c>
      <c r="D645" s="8">
        <v>761.0</v>
      </c>
      <c r="E645" s="9">
        <v>0.06</v>
      </c>
      <c r="F645" s="10">
        <v>4.0</v>
      </c>
      <c r="G645" s="11">
        <v>7199.0</v>
      </c>
      <c r="K645" s="17">
        <v>4.0</v>
      </c>
    </row>
    <row r="646">
      <c r="A646" s="7" t="s">
        <v>453</v>
      </c>
      <c r="B646" s="7" t="s">
        <v>454</v>
      </c>
      <c r="C646" s="8">
        <v>99.0</v>
      </c>
      <c r="D646" s="8">
        <v>999.0</v>
      </c>
      <c r="E646" s="9">
        <v>0.9</v>
      </c>
      <c r="F646" s="10">
        <v>4.0</v>
      </c>
      <c r="G646" s="11">
        <v>1396.0</v>
      </c>
      <c r="K646" s="17">
        <v>4.0</v>
      </c>
    </row>
    <row r="647">
      <c r="A647" s="7" t="s">
        <v>684</v>
      </c>
      <c r="B647" s="7" t="s">
        <v>685</v>
      </c>
      <c r="C647" s="8">
        <v>39.0</v>
      </c>
      <c r="D647" s="8">
        <v>299.0</v>
      </c>
      <c r="E647" s="9">
        <v>0.87</v>
      </c>
      <c r="F647" s="10">
        <v>3.5</v>
      </c>
      <c r="G647" s="11">
        <v>15233.0</v>
      </c>
      <c r="K647" s="17">
        <v>3.5</v>
      </c>
    </row>
    <row r="648">
      <c r="A648" s="7" t="s">
        <v>686</v>
      </c>
      <c r="B648" s="7" t="s">
        <v>622</v>
      </c>
      <c r="C648" s="8">
        <v>889.0</v>
      </c>
      <c r="D648" s="8">
        <v>2500.0</v>
      </c>
      <c r="E648" s="9">
        <v>0.64</v>
      </c>
      <c r="F648" s="10">
        <v>4.3</v>
      </c>
      <c r="G648" s="11">
        <v>55747.0</v>
      </c>
      <c r="K648" s="17">
        <v>4.3</v>
      </c>
    </row>
    <row r="649">
      <c r="A649" s="7" t="s">
        <v>687</v>
      </c>
      <c r="B649" s="7" t="s">
        <v>393</v>
      </c>
      <c r="C649" s="8">
        <v>1199.0</v>
      </c>
      <c r="D649" s="8">
        <v>4999.0</v>
      </c>
      <c r="E649" s="9">
        <v>0.76</v>
      </c>
      <c r="F649" s="10">
        <v>3.8</v>
      </c>
      <c r="G649" s="11">
        <v>14961.0</v>
      </c>
      <c r="K649" s="17">
        <v>3.8</v>
      </c>
    </row>
    <row r="650">
      <c r="A650" s="7" t="s">
        <v>688</v>
      </c>
      <c r="B650" s="7" t="s">
        <v>625</v>
      </c>
      <c r="C650" s="8">
        <v>569.0</v>
      </c>
      <c r="D650" s="8">
        <v>1299.0</v>
      </c>
      <c r="E650" s="9">
        <v>0.56</v>
      </c>
      <c r="F650" s="10">
        <v>4.4</v>
      </c>
      <c r="G650" s="11">
        <v>9275.0</v>
      </c>
      <c r="K650" s="17">
        <v>4.4</v>
      </c>
    </row>
    <row r="651">
      <c r="A651" s="7" t="s">
        <v>689</v>
      </c>
      <c r="B651" s="7" t="s">
        <v>393</v>
      </c>
      <c r="C651" s="8">
        <v>1499.0</v>
      </c>
      <c r="D651" s="8">
        <v>8999.0</v>
      </c>
      <c r="E651" s="9">
        <v>0.83</v>
      </c>
      <c r="F651" s="10">
        <v>3.7</v>
      </c>
      <c r="G651" s="11">
        <v>28324.0</v>
      </c>
      <c r="K651" s="17">
        <v>3.7</v>
      </c>
    </row>
    <row r="652">
      <c r="A652" s="7" t="s">
        <v>690</v>
      </c>
      <c r="B652" s="7" t="s">
        <v>652</v>
      </c>
      <c r="C652" s="8">
        <v>149.0</v>
      </c>
      <c r="D652" s="8">
        <v>180.0</v>
      </c>
      <c r="E652" s="9">
        <v>0.17</v>
      </c>
      <c r="F652" s="10">
        <v>4.4</v>
      </c>
      <c r="G652" s="10">
        <v>644.0</v>
      </c>
      <c r="K652" s="17">
        <v>4.4</v>
      </c>
    </row>
    <row r="653">
      <c r="A653" s="7" t="s">
        <v>691</v>
      </c>
      <c r="B653" s="7" t="s">
        <v>692</v>
      </c>
      <c r="C653" s="8">
        <v>399.0</v>
      </c>
      <c r="D653" s="8">
        <v>549.0</v>
      </c>
      <c r="E653" s="9">
        <v>0.27</v>
      </c>
      <c r="F653" s="10">
        <v>4.4</v>
      </c>
      <c r="G653" s="11">
        <v>18139.0</v>
      </c>
      <c r="K653" s="17">
        <v>4.4</v>
      </c>
    </row>
    <row r="654">
      <c r="A654" s="7" t="s">
        <v>693</v>
      </c>
      <c r="B654" s="7" t="s">
        <v>694</v>
      </c>
      <c r="C654" s="8">
        <v>191.0</v>
      </c>
      <c r="D654" s="8">
        <v>225.0</v>
      </c>
      <c r="E654" s="9">
        <v>0.15</v>
      </c>
      <c r="F654" s="10">
        <v>4.4</v>
      </c>
      <c r="G654" s="11">
        <v>7203.0</v>
      </c>
      <c r="K654" s="17">
        <v>4.4</v>
      </c>
    </row>
    <row r="655">
      <c r="A655" s="7" t="s">
        <v>695</v>
      </c>
      <c r="B655" s="7" t="s">
        <v>696</v>
      </c>
      <c r="C655" s="8">
        <v>129.0</v>
      </c>
      <c r="D655" s="8">
        <v>999.0</v>
      </c>
      <c r="E655" s="9">
        <v>0.87</v>
      </c>
      <c r="F655" s="10">
        <v>4.2</v>
      </c>
      <c r="G655" s="10">
        <v>491.0</v>
      </c>
      <c r="K655" s="17">
        <v>4.2</v>
      </c>
    </row>
    <row r="656">
      <c r="A656" s="7" t="s">
        <v>697</v>
      </c>
      <c r="B656" s="7" t="s">
        <v>698</v>
      </c>
      <c r="C656" s="8">
        <v>199.0</v>
      </c>
      <c r="D656" s="8">
        <v>599.0</v>
      </c>
      <c r="E656" s="9">
        <v>0.67</v>
      </c>
      <c r="F656" s="10">
        <v>4.5</v>
      </c>
      <c r="G656" s="11">
        <v>13568.0</v>
      </c>
      <c r="K656" s="17">
        <v>4.5</v>
      </c>
    </row>
    <row r="657">
      <c r="A657" s="7" t="s">
        <v>699</v>
      </c>
      <c r="B657" s="7" t="s">
        <v>393</v>
      </c>
      <c r="C657" s="8">
        <v>999.0</v>
      </c>
      <c r="D657" s="8">
        <v>4499.0</v>
      </c>
      <c r="E657" s="9">
        <v>0.78</v>
      </c>
      <c r="F657" s="10">
        <v>3.8</v>
      </c>
      <c r="G657" s="11">
        <v>3390.0</v>
      </c>
      <c r="K657" s="17">
        <v>3.8</v>
      </c>
    </row>
    <row r="658">
      <c r="A658" s="7" t="s">
        <v>700</v>
      </c>
      <c r="B658" s="7" t="s">
        <v>393</v>
      </c>
      <c r="C658" s="8">
        <v>899.0</v>
      </c>
      <c r="D658" s="8">
        <v>4499.0</v>
      </c>
      <c r="E658" s="9">
        <v>0.8</v>
      </c>
      <c r="F658" s="10">
        <v>3.8</v>
      </c>
      <c r="G658" s="7" t="s">
        <v>701</v>
      </c>
      <c r="K658" s="17">
        <v>3.8</v>
      </c>
    </row>
    <row r="659">
      <c r="A659" s="7" t="s">
        <v>463</v>
      </c>
      <c r="B659" s="7" t="s">
        <v>377</v>
      </c>
      <c r="C659" s="8">
        <v>1799.0</v>
      </c>
      <c r="D659" s="8">
        <v>2499.0</v>
      </c>
      <c r="E659" s="9">
        <v>0.28</v>
      </c>
      <c r="F659" s="10">
        <v>4.1</v>
      </c>
      <c r="G659" s="11">
        <v>18678.0</v>
      </c>
      <c r="K659" s="17">
        <v>4.1</v>
      </c>
    </row>
    <row r="660">
      <c r="A660" s="7" t="s">
        <v>22</v>
      </c>
      <c r="B660" s="7" t="s">
        <v>15</v>
      </c>
      <c r="C660" s="8">
        <v>176.63</v>
      </c>
      <c r="D660" s="8">
        <v>499.0</v>
      </c>
      <c r="E660" s="9">
        <v>0.65</v>
      </c>
      <c r="F660" s="10">
        <v>4.1</v>
      </c>
      <c r="G660" s="11">
        <v>15189.0</v>
      </c>
      <c r="K660" s="17">
        <v>4.1</v>
      </c>
    </row>
    <row r="661">
      <c r="A661" s="7" t="s">
        <v>702</v>
      </c>
      <c r="B661" s="7" t="s">
        <v>674</v>
      </c>
      <c r="C661" s="8">
        <v>522.0</v>
      </c>
      <c r="D661" s="8">
        <v>550.0</v>
      </c>
      <c r="E661" s="9">
        <v>0.05</v>
      </c>
      <c r="F661" s="10">
        <v>4.4</v>
      </c>
      <c r="G661" s="11">
        <v>12179.0</v>
      </c>
      <c r="K661" s="17">
        <v>4.4</v>
      </c>
    </row>
    <row r="662">
      <c r="A662" s="7" t="s">
        <v>703</v>
      </c>
      <c r="B662" s="7" t="s">
        <v>704</v>
      </c>
      <c r="C662" s="8">
        <v>799.0</v>
      </c>
      <c r="D662" s="8">
        <v>1999.0</v>
      </c>
      <c r="E662" s="9">
        <v>0.6</v>
      </c>
      <c r="F662" s="10">
        <v>3.8</v>
      </c>
      <c r="G662" s="11">
        <v>12958.0</v>
      </c>
      <c r="K662" s="17">
        <v>3.8</v>
      </c>
    </row>
    <row r="663">
      <c r="A663" s="7" t="s">
        <v>705</v>
      </c>
      <c r="B663" s="7" t="s">
        <v>625</v>
      </c>
      <c r="C663" s="8">
        <v>681.0</v>
      </c>
      <c r="D663" s="8">
        <v>1199.0</v>
      </c>
      <c r="E663" s="9">
        <v>0.43</v>
      </c>
      <c r="F663" s="10">
        <v>4.2</v>
      </c>
      <c r="G663" s="11">
        <v>8258.0</v>
      </c>
      <c r="K663" s="17">
        <v>4.2</v>
      </c>
    </row>
    <row r="664">
      <c r="A664" s="7" t="s">
        <v>706</v>
      </c>
      <c r="B664" s="7" t="s">
        <v>707</v>
      </c>
      <c r="C664" s="8">
        <v>1199.0</v>
      </c>
      <c r="D664" s="8">
        <v>3490.0</v>
      </c>
      <c r="E664" s="9">
        <v>0.66</v>
      </c>
      <c r="F664" s="10">
        <v>4.1</v>
      </c>
      <c r="G664" s="11">
        <v>11716.0</v>
      </c>
      <c r="K664" s="17">
        <v>4.1</v>
      </c>
    </row>
    <row r="665">
      <c r="A665" s="7" t="s">
        <v>708</v>
      </c>
      <c r="B665" s="7" t="s">
        <v>709</v>
      </c>
      <c r="C665" s="8">
        <v>2499.0</v>
      </c>
      <c r="D665" s="8">
        <v>4999.0</v>
      </c>
      <c r="E665" s="9">
        <v>0.5</v>
      </c>
      <c r="F665" s="10">
        <v>4.4</v>
      </c>
      <c r="G665" s="11">
        <v>35024.0</v>
      </c>
      <c r="K665" s="17">
        <v>4.4</v>
      </c>
    </row>
    <row r="666">
      <c r="A666" s="7" t="s">
        <v>710</v>
      </c>
      <c r="B666" s="7" t="s">
        <v>711</v>
      </c>
      <c r="C666" s="8">
        <v>1799.0</v>
      </c>
      <c r="D666" s="8">
        <v>4999.0</v>
      </c>
      <c r="E666" s="9">
        <v>0.64</v>
      </c>
      <c r="F666" s="10">
        <v>4.1</v>
      </c>
      <c r="G666" s="11">
        <v>55192.0</v>
      </c>
      <c r="K666" s="17">
        <v>4.1</v>
      </c>
    </row>
    <row r="667">
      <c r="A667" s="7" t="s">
        <v>712</v>
      </c>
      <c r="B667" s="7" t="s">
        <v>393</v>
      </c>
      <c r="C667" s="8">
        <v>429.0</v>
      </c>
      <c r="D667" s="8">
        <v>599.0</v>
      </c>
      <c r="E667" s="9">
        <v>0.28</v>
      </c>
      <c r="F667" s="10">
        <v>4.1</v>
      </c>
      <c r="G667" s="7" t="s">
        <v>713</v>
      </c>
      <c r="K667" s="17">
        <v>4.1</v>
      </c>
    </row>
    <row r="668">
      <c r="A668" s="7" t="s">
        <v>714</v>
      </c>
      <c r="B668" s="7" t="s">
        <v>627</v>
      </c>
      <c r="C668" s="8">
        <v>100.0</v>
      </c>
      <c r="D668" s="8">
        <v>499.0</v>
      </c>
      <c r="E668" s="9">
        <v>0.8</v>
      </c>
      <c r="F668" s="10">
        <v>3.5</v>
      </c>
      <c r="G668" s="11">
        <v>9638.0</v>
      </c>
      <c r="K668" s="17">
        <v>3.5</v>
      </c>
    </row>
    <row r="669">
      <c r="A669" s="7" t="s">
        <v>715</v>
      </c>
      <c r="B669" s="7" t="s">
        <v>647</v>
      </c>
      <c r="C669" s="8">
        <v>329.0</v>
      </c>
      <c r="D669" s="8">
        <v>399.0</v>
      </c>
      <c r="E669" s="9">
        <v>0.18</v>
      </c>
      <c r="F669" s="10">
        <v>3.6</v>
      </c>
      <c r="G669" s="11">
        <v>33735.0</v>
      </c>
      <c r="K669" s="17">
        <v>3.6</v>
      </c>
    </row>
    <row r="670">
      <c r="A670" s="7" t="s">
        <v>23</v>
      </c>
      <c r="B670" s="7" t="s">
        <v>15</v>
      </c>
      <c r="C670" s="8">
        <v>229.0</v>
      </c>
      <c r="D670" s="8">
        <v>299.0</v>
      </c>
      <c r="E670" s="9">
        <v>0.23</v>
      </c>
      <c r="F670" s="10">
        <v>4.3</v>
      </c>
      <c r="G670" s="11">
        <v>30411.0</v>
      </c>
      <c r="K670" s="17">
        <v>4.3</v>
      </c>
    </row>
    <row r="671">
      <c r="A671" s="7" t="s">
        <v>716</v>
      </c>
      <c r="B671" s="7" t="s">
        <v>625</v>
      </c>
      <c r="C671" s="8">
        <v>139.0</v>
      </c>
      <c r="D671" s="8">
        <v>299.0</v>
      </c>
      <c r="E671" s="9">
        <v>0.54</v>
      </c>
      <c r="F671" s="10">
        <v>3.8</v>
      </c>
      <c r="G671" s="11">
        <v>3044.0</v>
      </c>
      <c r="K671" s="17">
        <v>3.8</v>
      </c>
    </row>
    <row r="672">
      <c r="A672" s="7" t="s">
        <v>717</v>
      </c>
      <c r="B672" s="7" t="s">
        <v>572</v>
      </c>
      <c r="C672" s="8">
        <v>1199.0</v>
      </c>
      <c r="D672" s="8">
        <v>2499.0</v>
      </c>
      <c r="E672" s="9">
        <v>0.52</v>
      </c>
      <c r="F672" s="10">
        <v>4.0</v>
      </c>
      <c r="G672" s="11">
        <v>33584.0</v>
      </c>
      <c r="K672" s="17">
        <v>4.0</v>
      </c>
    </row>
    <row r="673">
      <c r="A673" s="7" t="s">
        <v>718</v>
      </c>
      <c r="B673" s="7" t="s">
        <v>719</v>
      </c>
      <c r="C673" s="8">
        <v>1049.0</v>
      </c>
      <c r="D673" s="8">
        <v>2299.0</v>
      </c>
      <c r="E673" s="9">
        <v>0.54</v>
      </c>
      <c r="F673" s="10">
        <v>3.9</v>
      </c>
      <c r="G673" s="11">
        <v>1779.0</v>
      </c>
      <c r="K673" s="17">
        <v>3.9</v>
      </c>
    </row>
    <row r="674">
      <c r="A674" s="7" t="s">
        <v>468</v>
      </c>
      <c r="B674" s="7" t="s">
        <v>469</v>
      </c>
      <c r="C674" s="8">
        <v>119.0</v>
      </c>
      <c r="D674" s="8">
        <v>299.0</v>
      </c>
      <c r="E674" s="9">
        <v>0.6</v>
      </c>
      <c r="F674" s="10">
        <v>4.1</v>
      </c>
      <c r="G674" s="11">
        <v>5999.0</v>
      </c>
      <c r="K674" s="17">
        <v>4.1</v>
      </c>
    </row>
    <row r="675">
      <c r="A675" s="7" t="s">
        <v>28</v>
      </c>
      <c r="B675" s="7" t="s">
        <v>15</v>
      </c>
      <c r="C675" s="8">
        <v>154.0</v>
      </c>
      <c r="D675" s="8">
        <v>339.0</v>
      </c>
      <c r="E675" s="9">
        <v>0.55</v>
      </c>
      <c r="F675" s="10">
        <v>4.3</v>
      </c>
      <c r="G675" s="11">
        <v>13391.0</v>
      </c>
      <c r="K675" s="17">
        <v>4.3</v>
      </c>
    </row>
    <row r="676">
      <c r="A676" s="7" t="s">
        <v>720</v>
      </c>
      <c r="B676" s="7" t="s">
        <v>721</v>
      </c>
      <c r="C676" s="8">
        <v>225.0</v>
      </c>
      <c r="D676" s="8">
        <v>250.0</v>
      </c>
      <c r="E676" s="9">
        <v>0.1</v>
      </c>
      <c r="F676" s="10">
        <v>4.4</v>
      </c>
      <c r="G676" s="11">
        <v>26556.0</v>
      </c>
      <c r="K676" s="17">
        <v>4.4</v>
      </c>
    </row>
    <row r="677">
      <c r="A677" s="7" t="s">
        <v>722</v>
      </c>
      <c r="B677" s="7" t="s">
        <v>631</v>
      </c>
      <c r="C677" s="8">
        <v>656.0</v>
      </c>
      <c r="D677" s="8">
        <v>1499.0</v>
      </c>
      <c r="E677" s="9">
        <v>0.56</v>
      </c>
      <c r="F677" s="10">
        <v>4.3</v>
      </c>
      <c r="G677" s="11">
        <v>25903.0</v>
      </c>
      <c r="K677" s="17">
        <v>4.3</v>
      </c>
    </row>
    <row r="678">
      <c r="A678" s="7" t="s">
        <v>723</v>
      </c>
      <c r="B678" s="7" t="s">
        <v>622</v>
      </c>
      <c r="C678" s="8">
        <v>1109.0</v>
      </c>
      <c r="D678" s="8">
        <v>2800.0</v>
      </c>
      <c r="E678" s="9">
        <v>0.6</v>
      </c>
      <c r="F678" s="10">
        <v>4.3</v>
      </c>
      <c r="G678" s="11">
        <v>53464.0</v>
      </c>
      <c r="K678" s="17">
        <v>4.3</v>
      </c>
    </row>
    <row r="679">
      <c r="A679" s="7" t="s">
        <v>465</v>
      </c>
      <c r="B679" s="7" t="s">
        <v>373</v>
      </c>
      <c r="C679" s="8">
        <v>2999.0</v>
      </c>
      <c r="D679" s="8">
        <v>7990.0</v>
      </c>
      <c r="E679" s="9">
        <v>0.62</v>
      </c>
      <c r="F679" s="10">
        <v>4.1</v>
      </c>
      <c r="G679" s="11">
        <v>48448.0</v>
      </c>
      <c r="K679" s="17">
        <v>4.1</v>
      </c>
    </row>
    <row r="680">
      <c r="A680" s="7" t="s">
        <v>724</v>
      </c>
      <c r="B680" s="7" t="s">
        <v>696</v>
      </c>
      <c r="C680" s="8">
        <v>169.0</v>
      </c>
      <c r="D680" s="8">
        <v>299.0</v>
      </c>
      <c r="E680" s="9">
        <v>0.43</v>
      </c>
      <c r="F680" s="10">
        <v>4.4</v>
      </c>
      <c r="G680" s="11">
        <v>5176.0</v>
      </c>
      <c r="K680" s="17">
        <v>4.4</v>
      </c>
    </row>
    <row r="681">
      <c r="A681" s="7" t="s">
        <v>725</v>
      </c>
      <c r="B681" s="7" t="s">
        <v>683</v>
      </c>
      <c r="C681" s="8">
        <v>309.0</v>
      </c>
      <c r="D681" s="8">
        <v>404.0</v>
      </c>
      <c r="E681" s="9">
        <v>0.24</v>
      </c>
      <c r="F681" s="10">
        <v>4.4</v>
      </c>
      <c r="G681" s="11">
        <v>8614.0</v>
      </c>
      <c r="K681" s="17">
        <v>4.4</v>
      </c>
    </row>
    <row r="682">
      <c r="A682" s="7" t="s">
        <v>726</v>
      </c>
      <c r="B682" s="7" t="s">
        <v>572</v>
      </c>
      <c r="C682" s="8">
        <v>599.0</v>
      </c>
      <c r="D682" s="8">
        <v>1399.0</v>
      </c>
      <c r="E682" s="9">
        <v>0.57</v>
      </c>
      <c r="F682" s="10">
        <v>3.8</v>
      </c>
      <c r="G682" s="11">
        <v>60026.0</v>
      </c>
      <c r="K682" s="17">
        <v>3.8</v>
      </c>
    </row>
    <row r="683">
      <c r="A683" s="15" t="s">
        <v>727</v>
      </c>
      <c r="B683" s="7" t="s">
        <v>647</v>
      </c>
      <c r="C683" s="8">
        <v>299.0</v>
      </c>
      <c r="D683" s="8">
        <v>599.0</v>
      </c>
      <c r="E683" s="9">
        <v>0.5</v>
      </c>
      <c r="F683" s="10">
        <v>3.8</v>
      </c>
      <c r="G683" s="11">
        <v>3066.0</v>
      </c>
      <c r="K683" s="17">
        <v>3.8</v>
      </c>
    </row>
    <row r="684">
      <c r="A684" s="7" t="s">
        <v>728</v>
      </c>
      <c r="B684" s="7" t="s">
        <v>631</v>
      </c>
      <c r="C684" s="8">
        <v>449.0</v>
      </c>
      <c r="D684" s="8">
        <v>999.0</v>
      </c>
      <c r="E684" s="9">
        <v>0.55</v>
      </c>
      <c r="F684" s="10">
        <v>4.0</v>
      </c>
      <c r="G684" s="11">
        <v>2102.0</v>
      </c>
      <c r="K684" s="17">
        <v>4.0</v>
      </c>
    </row>
    <row r="685">
      <c r="A685" s="7" t="s">
        <v>729</v>
      </c>
      <c r="B685" s="7" t="s">
        <v>625</v>
      </c>
      <c r="C685" s="8">
        <v>799.0</v>
      </c>
      <c r="D685" s="8">
        <v>1295.0</v>
      </c>
      <c r="E685" s="9">
        <v>0.38</v>
      </c>
      <c r="F685" s="10">
        <v>4.4</v>
      </c>
      <c r="G685" s="11">
        <v>34852.0</v>
      </c>
      <c r="K685" s="17">
        <v>4.4</v>
      </c>
    </row>
    <row r="686">
      <c r="A686" s="7" t="s">
        <v>30</v>
      </c>
      <c r="B686" s="7" t="s">
        <v>31</v>
      </c>
      <c r="C686" s="8">
        <v>219.0</v>
      </c>
      <c r="D686" s="8">
        <v>700.0</v>
      </c>
      <c r="E686" s="9">
        <v>0.69</v>
      </c>
      <c r="F686" s="10">
        <v>4.4</v>
      </c>
      <c r="G686" s="7" t="s">
        <v>730</v>
      </c>
      <c r="K686" s="17">
        <v>4.4</v>
      </c>
    </row>
    <row r="687">
      <c r="A687" s="7" t="s">
        <v>731</v>
      </c>
      <c r="B687" s="7" t="s">
        <v>732</v>
      </c>
      <c r="C687" s="8">
        <v>157.0</v>
      </c>
      <c r="D687" s="8">
        <v>160.0</v>
      </c>
      <c r="E687" s="9">
        <v>0.02</v>
      </c>
      <c r="F687" s="10">
        <v>4.5</v>
      </c>
      <c r="G687" s="11">
        <v>8618.0</v>
      </c>
      <c r="K687" s="17">
        <v>4.5</v>
      </c>
    </row>
    <row r="688">
      <c r="A688" s="7" t="s">
        <v>475</v>
      </c>
      <c r="B688" s="7" t="s">
        <v>386</v>
      </c>
      <c r="C688" s="8">
        <v>369.0</v>
      </c>
      <c r="D688" s="8">
        <v>1600.0</v>
      </c>
      <c r="E688" s="9">
        <v>0.77</v>
      </c>
      <c r="F688" s="10">
        <v>4.0</v>
      </c>
      <c r="G688" s="11">
        <v>32625.0</v>
      </c>
      <c r="K688" s="17">
        <v>4.0</v>
      </c>
    </row>
    <row r="689">
      <c r="A689" s="7" t="s">
        <v>733</v>
      </c>
      <c r="B689" s="7" t="s">
        <v>625</v>
      </c>
      <c r="C689" s="8">
        <v>599.0</v>
      </c>
      <c r="D689" s="8">
        <v>899.0</v>
      </c>
      <c r="E689" s="9">
        <v>0.33</v>
      </c>
      <c r="F689" s="10">
        <v>4.0</v>
      </c>
      <c r="G689" s="11">
        <v>4018.0</v>
      </c>
      <c r="K689" s="17">
        <v>4.0</v>
      </c>
    </row>
    <row r="690">
      <c r="A690" s="7" t="s">
        <v>734</v>
      </c>
      <c r="B690" s="7" t="s">
        <v>735</v>
      </c>
      <c r="C690" s="8">
        <v>479.0</v>
      </c>
      <c r="D690" s="8">
        <v>599.0</v>
      </c>
      <c r="E690" s="9">
        <v>0.2</v>
      </c>
      <c r="F690" s="10">
        <v>4.3</v>
      </c>
      <c r="G690" s="11">
        <v>11687.0</v>
      </c>
      <c r="K690" s="17">
        <v>4.3</v>
      </c>
    </row>
    <row r="691">
      <c r="A691" s="7" t="s">
        <v>33</v>
      </c>
      <c r="B691" s="7" t="s">
        <v>15</v>
      </c>
      <c r="C691" s="8">
        <v>350.0</v>
      </c>
      <c r="D691" s="8">
        <v>899.0</v>
      </c>
      <c r="E691" s="9">
        <v>0.61</v>
      </c>
      <c r="F691" s="10">
        <v>4.2</v>
      </c>
      <c r="G691" s="11">
        <v>2262.0</v>
      </c>
      <c r="K691" s="17">
        <v>4.2</v>
      </c>
    </row>
    <row r="692">
      <c r="A692" s="7" t="s">
        <v>736</v>
      </c>
      <c r="B692" s="7" t="s">
        <v>393</v>
      </c>
      <c r="C692" s="8">
        <v>1598.0</v>
      </c>
      <c r="D692" s="8">
        <v>2990.0</v>
      </c>
      <c r="E692" s="9">
        <v>0.47</v>
      </c>
      <c r="F692" s="10">
        <v>3.8</v>
      </c>
      <c r="G692" s="11">
        <v>11015.0</v>
      </c>
      <c r="K692" s="17">
        <v>3.8</v>
      </c>
    </row>
    <row r="693">
      <c r="A693" s="7" t="s">
        <v>737</v>
      </c>
      <c r="B693" s="7" t="s">
        <v>738</v>
      </c>
      <c r="C693" s="8">
        <v>599.0</v>
      </c>
      <c r="D693" s="8">
        <v>899.0</v>
      </c>
      <c r="E693" s="9">
        <v>0.33</v>
      </c>
      <c r="F693" s="10">
        <v>4.3</v>
      </c>
      <c r="G693" s="11">
        <v>95116.0</v>
      </c>
      <c r="K693" s="17">
        <v>4.3</v>
      </c>
    </row>
    <row r="694">
      <c r="A694" s="7" t="s">
        <v>34</v>
      </c>
      <c r="B694" s="7" t="s">
        <v>15</v>
      </c>
      <c r="C694" s="8">
        <v>159.0</v>
      </c>
      <c r="D694" s="8">
        <v>399.0</v>
      </c>
      <c r="E694" s="9">
        <v>0.6</v>
      </c>
      <c r="F694" s="10">
        <v>4.1</v>
      </c>
      <c r="G694" s="11">
        <v>4768.0</v>
      </c>
      <c r="K694" s="17">
        <v>4.1</v>
      </c>
    </row>
    <row r="695">
      <c r="A695" s="7" t="s">
        <v>739</v>
      </c>
      <c r="B695" s="7" t="s">
        <v>622</v>
      </c>
      <c r="C695" s="8">
        <v>1299.0</v>
      </c>
      <c r="D695" s="8">
        <v>3000.0</v>
      </c>
      <c r="E695" s="9">
        <v>0.57</v>
      </c>
      <c r="F695" s="10">
        <v>4.3</v>
      </c>
      <c r="G695" s="11">
        <v>23022.0</v>
      </c>
      <c r="K695" s="17">
        <v>4.3</v>
      </c>
    </row>
    <row r="696">
      <c r="A696" s="7" t="s">
        <v>491</v>
      </c>
      <c r="B696" s="7" t="s">
        <v>373</v>
      </c>
      <c r="C696" s="8">
        <v>1599.0</v>
      </c>
      <c r="D696" s="8">
        <v>4999.0</v>
      </c>
      <c r="E696" s="9">
        <v>0.68</v>
      </c>
      <c r="F696" s="10">
        <v>4.0</v>
      </c>
      <c r="G696" s="11">
        <v>67951.0</v>
      </c>
      <c r="K696" s="17">
        <v>4.0</v>
      </c>
    </row>
    <row r="697">
      <c r="A697" s="7" t="s">
        <v>740</v>
      </c>
      <c r="B697" s="7" t="s">
        <v>741</v>
      </c>
      <c r="C697" s="8">
        <v>294.0</v>
      </c>
      <c r="D697" s="8">
        <v>4999.0</v>
      </c>
      <c r="E697" s="9">
        <v>0.94</v>
      </c>
      <c r="F697" s="10">
        <v>4.3</v>
      </c>
      <c r="G697" s="11">
        <v>4426.0</v>
      </c>
      <c r="K697" s="17">
        <v>4.3</v>
      </c>
    </row>
    <row r="698">
      <c r="A698" s="7" t="s">
        <v>742</v>
      </c>
      <c r="B698" s="7" t="s">
        <v>683</v>
      </c>
      <c r="C698" s="8">
        <v>828.0</v>
      </c>
      <c r="D698" s="8">
        <v>861.0</v>
      </c>
      <c r="E698" s="9">
        <v>0.04</v>
      </c>
      <c r="F698" s="10">
        <v>4.2</v>
      </c>
      <c r="G698" s="11">
        <v>4567.0</v>
      </c>
      <c r="K698" s="17">
        <v>4.2</v>
      </c>
    </row>
    <row r="699">
      <c r="A699" s="7" t="s">
        <v>743</v>
      </c>
      <c r="B699" s="7" t="s">
        <v>572</v>
      </c>
      <c r="C699" s="8">
        <v>745.0</v>
      </c>
      <c r="D699" s="8">
        <v>795.0</v>
      </c>
      <c r="E699" s="9">
        <v>0.06</v>
      </c>
      <c r="F699" s="10">
        <v>4.0</v>
      </c>
      <c r="G699" s="11">
        <v>13797.0</v>
      </c>
      <c r="K699" s="17">
        <v>4.0</v>
      </c>
    </row>
    <row r="700">
      <c r="A700" s="7" t="s">
        <v>744</v>
      </c>
      <c r="B700" s="7" t="s">
        <v>745</v>
      </c>
      <c r="C700" s="8">
        <v>1549.0</v>
      </c>
      <c r="D700" s="8">
        <v>2495.0</v>
      </c>
      <c r="E700" s="9">
        <v>0.38</v>
      </c>
      <c r="F700" s="10">
        <v>4.4</v>
      </c>
      <c r="G700" s="11">
        <v>15137.0</v>
      </c>
      <c r="K700" s="17">
        <v>4.4</v>
      </c>
    </row>
    <row r="701">
      <c r="A701" s="7" t="s">
        <v>35</v>
      </c>
      <c r="B701" s="7" t="s">
        <v>15</v>
      </c>
      <c r="C701" s="8">
        <v>349.0</v>
      </c>
      <c r="D701" s="8">
        <v>399.0</v>
      </c>
      <c r="E701" s="9">
        <v>0.13</v>
      </c>
      <c r="F701" s="10">
        <v>4.4</v>
      </c>
      <c r="G701" s="11">
        <v>18757.0</v>
      </c>
      <c r="K701" s="17">
        <v>4.4</v>
      </c>
    </row>
    <row r="702">
      <c r="A702" s="7" t="s">
        <v>41</v>
      </c>
      <c r="B702" s="7" t="s">
        <v>15</v>
      </c>
      <c r="C702" s="8">
        <v>970.0</v>
      </c>
      <c r="D702" s="8">
        <v>1799.0</v>
      </c>
      <c r="E702" s="9">
        <v>0.46</v>
      </c>
      <c r="F702" s="10">
        <v>4.5</v>
      </c>
      <c r="G702" s="10">
        <v>815.0</v>
      </c>
      <c r="K702" s="17">
        <v>4.5</v>
      </c>
    </row>
    <row r="703">
      <c r="A703" s="7" t="s">
        <v>746</v>
      </c>
      <c r="B703" s="7" t="s">
        <v>676</v>
      </c>
      <c r="C703" s="8">
        <v>1469.0</v>
      </c>
      <c r="D703" s="8">
        <v>2499.0</v>
      </c>
      <c r="E703" s="9">
        <v>0.41</v>
      </c>
      <c r="F703" s="10">
        <v>4.2</v>
      </c>
      <c r="G703" s="7" t="s">
        <v>747</v>
      </c>
      <c r="K703" s="17">
        <v>4.2</v>
      </c>
    </row>
    <row r="704">
      <c r="A704" s="7" t="s">
        <v>748</v>
      </c>
      <c r="B704" s="7" t="s">
        <v>749</v>
      </c>
      <c r="C704" s="8">
        <v>198.0</v>
      </c>
      <c r="D704" s="8">
        <v>800.0</v>
      </c>
      <c r="E704" s="9">
        <v>0.75</v>
      </c>
      <c r="F704" s="10">
        <v>4.1</v>
      </c>
      <c r="G704" s="11">
        <v>9344.0</v>
      </c>
      <c r="K704" s="17">
        <v>4.1</v>
      </c>
    </row>
    <row r="705">
      <c r="A705" s="7" t="s">
        <v>750</v>
      </c>
      <c r="B705" s="7" t="s">
        <v>751</v>
      </c>
      <c r="C705" s="8">
        <v>549.0</v>
      </c>
      <c r="D705" s="8">
        <v>549.0</v>
      </c>
      <c r="E705" s="9">
        <v>0.0</v>
      </c>
      <c r="F705" s="10">
        <v>4.5</v>
      </c>
      <c r="G705" s="11">
        <v>4875.0</v>
      </c>
      <c r="K705" s="17">
        <v>4.5</v>
      </c>
    </row>
    <row r="706">
      <c r="A706" s="7" t="s">
        <v>514</v>
      </c>
      <c r="B706" s="7" t="s">
        <v>373</v>
      </c>
      <c r="C706" s="8">
        <v>2999.0</v>
      </c>
      <c r="D706" s="8">
        <v>9999.0</v>
      </c>
      <c r="E706" s="9">
        <v>0.7</v>
      </c>
      <c r="F706" s="10">
        <v>4.2</v>
      </c>
      <c r="G706" s="11">
        <v>20881.0</v>
      </c>
      <c r="K706" s="17">
        <v>4.2</v>
      </c>
    </row>
    <row r="707">
      <c r="A707" s="7" t="s">
        <v>752</v>
      </c>
      <c r="B707" s="7" t="s">
        <v>373</v>
      </c>
      <c r="C707" s="8">
        <v>12000.0</v>
      </c>
      <c r="D707" s="8">
        <v>29999.0</v>
      </c>
      <c r="E707" s="9">
        <v>0.6</v>
      </c>
      <c r="F707" s="10">
        <v>4.3</v>
      </c>
      <c r="G707" s="11">
        <v>4744.0</v>
      </c>
      <c r="K707" s="17">
        <v>4.3</v>
      </c>
    </row>
    <row r="708">
      <c r="A708" s="7" t="s">
        <v>753</v>
      </c>
      <c r="B708" s="7" t="s">
        <v>393</v>
      </c>
      <c r="C708" s="8">
        <v>1299.0</v>
      </c>
      <c r="D708" s="8">
        <v>3499.0</v>
      </c>
      <c r="E708" s="9">
        <v>0.63</v>
      </c>
      <c r="F708" s="10">
        <v>3.9</v>
      </c>
      <c r="G708" s="11">
        <v>12452.0</v>
      </c>
      <c r="K708" s="17">
        <v>3.9</v>
      </c>
    </row>
    <row r="709">
      <c r="A709" s="7" t="s">
        <v>754</v>
      </c>
      <c r="B709" s="7" t="s">
        <v>652</v>
      </c>
      <c r="C709" s="8">
        <v>269.0</v>
      </c>
      <c r="D709" s="8">
        <v>315.0</v>
      </c>
      <c r="E709" s="9">
        <v>0.15</v>
      </c>
      <c r="F709" s="10">
        <v>4.5</v>
      </c>
      <c r="G709" s="11">
        <v>17810.0</v>
      </c>
      <c r="K709" s="17">
        <v>4.5</v>
      </c>
    </row>
    <row r="710">
      <c r="A710" s="7" t="s">
        <v>755</v>
      </c>
      <c r="B710" s="7" t="s">
        <v>393</v>
      </c>
      <c r="C710" s="8">
        <v>799.0</v>
      </c>
      <c r="D710" s="8">
        <v>1499.0</v>
      </c>
      <c r="E710" s="9">
        <v>0.47</v>
      </c>
      <c r="F710" s="10">
        <v>4.1</v>
      </c>
      <c r="G710" s="11">
        <v>53648.0</v>
      </c>
      <c r="K710" s="17">
        <v>4.1</v>
      </c>
    </row>
    <row r="711">
      <c r="A711" s="7" t="s">
        <v>756</v>
      </c>
      <c r="B711" s="7" t="s">
        <v>757</v>
      </c>
      <c r="C711" s="8">
        <v>6299.0</v>
      </c>
      <c r="D711" s="8">
        <v>13750.0</v>
      </c>
      <c r="E711" s="9">
        <v>0.54</v>
      </c>
      <c r="F711" s="10">
        <v>4.2</v>
      </c>
      <c r="G711" s="11">
        <v>2014.0</v>
      </c>
      <c r="K711" s="17">
        <v>4.2</v>
      </c>
    </row>
    <row r="712">
      <c r="A712" s="7" t="s">
        <v>758</v>
      </c>
      <c r="B712" s="7" t="s">
        <v>759</v>
      </c>
      <c r="C712" s="8">
        <v>59.0</v>
      </c>
      <c r="D712" s="8">
        <v>59.0</v>
      </c>
      <c r="E712" s="9">
        <v>0.0</v>
      </c>
      <c r="F712" s="10">
        <v>3.8</v>
      </c>
      <c r="G712" s="11">
        <v>5958.0</v>
      </c>
      <c r="K712" s="17">
        <v>3.8</v>
      </c>
    </row>
    <row r="713">
      <c r="A713" s="7" t="s">
        <v>760</v>
      </c>
      <c r="B713" s="7" t="s">
        <v>399</v>
      </c>
      <c r="C713" s="8">
        <v>571.0</v>
      </c>
      <c r="D713" s="8">
        <v>999.0</v>
      </c>
      <c r="E713" s="9">
        <v>0.43</v>
      </c>
      <c r="F713" s="10">
        <v>4.3</v>
      </c>
      <c r="G713" s="11">
        <v>38221.0</v>
      </c>
      <c r="K713" s="17">
        <v>4.3</v>
      </c>
    </row>
    <row r="714">
      <c r="A714" s="7" t="s">
        <v>761</v>
      </c>
      <c r="B714" s="7" t="s">
        <v>719</v>
      </c>
      <c r="C714" s="8">
        <v>549.0</v>
      </c>
      <c r="D714" s="8">
        <v>999.0</v>
      </c>
      <c r="E714" s="9">
        <v>0.45</v>
      </c>
      <c r="F714" s="10">
        <v>3.9</v>
      </c>
      <c r="G714" s="11">
        <v>64705.0</v>
      </c>
      <c r="K714" s="17">
        <v>3.9</v>
      </c>
    </row>
    <row r="715">
      <c r="A715" s="7" t="s">
        <v>501</v>
      </c>
      <c r="B715" s="7" t="s">
        <v>502</v>
      </c>
      <c r="C715" s="8">
        <v>2099.0</v>
      </c>
      <c r="D715" s="8">
        <v>5999.0</v>
      </c>
      <c r="E715" s="9">
        <v>0.65</v>
      </c>
      <c r="F715" s="10">
        <v>4.3</v>
      </c>
      <c r="G715" s="11">
        <v>17129.0</v>
      </c>
      <c r="K715" s="17">
        <v>4.3</v>
      </c>
    </row>
    <row r="716">
      <c r="A716" s="7" t="s">
        <v>40</v>
      </c>
      <c r="B716" s="7" t="s">
        <v>37</v>
      </c>
      <c r="C716" s="8">
        <v>13490.0</v>
      </c>
      <c r="D716" s="8">
        <v>21990.0</v>
      </c>
      <c r="E716" s="9">
        <v>0.39</v>
      </c>
      <c r="F716" s="10">
        <v>4.3</v>
      </c>
      <c r="G716" s="11">
        <v>11976.0</v>
      </c>
      <c r="K716" s="17">
        <v>4.3</v>
      </c>
    </row>
    <row r="717">
      <c r="A717" s="7" t="s">
        <v>762</v>
      </c>
      <c r="B717" s="7" t="s">
        <v>660</v>
      </c>
      <c r="C717" s="8">
        <v>448.0</v>
      </c>
      <c r="D717" s="8">
        <v>699.0</v>
      </c>
      <c r="E717" s="9">
        <v>0.36</v>
      </c>
      <c r="F717" s="10">
        <v>3.9</v>
      </c>
      <c r="G717" s="11">
        <v>17348.0</v>
      </c>
      <c r="K717" s="17">
        <v>3.9</v>
      </c>
    </row>
    <row r="718">
      <c r="A718" s="7" t="s">
        <v>763</v>
      </c>
      <c r="B718" s="7" t="s">
        <v>393</v>
      </c>
      <c r="C718" s="8">
        <v>1499.0</v>
      </c>
      <c r="D718" s="8">
        <v>2999.0</v>
      </c>
      <c r="E718" s="9">
        <v>0.5</v>
      </c>
      <c r="F718" s="10">
        <v>3.7</v>
      </c>
      <c r="G718" s="11">
        <v>87798.0</v>
      </c>
      <c r="K718" s="17">
        <v>3.7</v>
      </c>
    </row>
    <row r="719">
      <c r="A719" s="7" t="s">
        <v>764</v>
      </c>
      <c r="B719" s="7" t="s">
        <v>765</v>
      </c>
      <c r="C719" s="8">
        <v>299.0</v>
      </c>
      <c r="D719" s="8">
        <v>499.0</v>
      </c>
      <c r="E719" s="9">
        <v>0.4</v>
      </c>
      <c r="F719" s="10">
        <v>4.2</v>
      </c>
      <c r="G719" s="11">
        <v>24432.0</v>
      </c>
      <c r="K719" s="17">
        <v>4.2</v>
      </c>
    </row>
    <row r="720">
      <c r="A720" s="7" t="s">
        <v>766</v>
      </c>
      <c r="B720" s="7" t="s">
        <v>622</v>
      </c>
      <c r="C720" s="8">
        <v>579.0</v>
      </c>
      <c r="D720" s="8">
        <v>1400.0</v>
      </c>
      <c r="E720" s="9">
        <v>0.59</v>
      </c>
      <c r="F720" s="10">
        <v>4.3</v>
      </c>
      <c r="G720" s="7" t="s">
        <v>767</v>
      </c>
      <c r="K720" s="17">
        <v>4.3</v>
      </c>
    </row>
    <row r="721">
      <c r="A721" s="7" t="s">
        <v>768</v>
      </c>
      <c r="B721" s="7" t="s">
        <v>769</v>
      </c>
      <c r="C721" s="8">
        <v>2499.0</v>
      </c>
      <c r="D721" s="8">
        <v>3299.0</v>
      </c>
      <c r="E721" s="9">
        <v>0.24</v>
      </c>
      <c r="F721" s="10">
        <v>4.2</v>
      </c>
      <c r="G721" s="11">
        <v>93112.0</v>
      </c>
      <c r="K721" s="17">
        <v>4.2</v>
      </c>
    </row>
    <row r="722">
      <c r="A722" s="7" t="s">
        <v>770</v>
      </c>
      <c r="B722" s="7" t="s">
        <v>393</v>
      </c>
      <c r="C722" s="8">
        <v>1199.0</v>
      </c>
      <c r="D722" s="8">
        <v>5999.0</v>
      </c>
      <c r="E722" s="9">
        <v>0.8</v>
      </c>
      <c r="F722" s="10">
        <v>3.9</v>
      </c>
      <c r="G722" s="11">
        <v>47521.0</v>
      </c>
      <c r="K722" s="17">
        <v>3.9</v>
      </c>
    </row>
    <row r="723">
      <c r="A723" s="7" t="s">
        <v>771</v>
      </c>
      <c r="B723" s="7" t="s">
        <v>735</v>
      </c>
      <c r="C723" s="8">
        <v>399.0</v>
      </c>
      <c r="D723" s="8">
        <v>499.0</v>
      </c>
      <c r="E723" s="9">
        <v>0.2</v>
      </c>
      <c r="F723" s="10">
        <v>4.3</v>
      </c>
      <c r="G723" s="11">
        <v>27201.0</v>
      </c>
      <c r="K723" s="17">
        <v>4.3</v>
      </c>
    </row>
    <row r="724">
      <c r="A724" s="7" t="s">
        <v>42</v>
      </c>
      <c r="B724" s="7" t="s">
        <v>31</v>
      </c>
      <c r="C724" s="8">
        <v>279.0</v>
      </c>
      <c r="D724" s="8">
        <v>499.0</v>
      </c>
      <c r="E724" s="9">
        <v>0.44</v>
      </c>
      <c r="F724" s="10">
        <v>3.7</v>
      </c>
      <c r="G724" s="11">
        <v>10962.0</v>
      </c>
      <c r="K724" s="17">
        <v>3.7</v>
      </c>
    </row>
    <row r="725">
      <c r="A725" s="7" t="s">
        <v>43</v>
      </c>
      <c r="B725" s="7" t="s">
        <v>37</v>
      </c>
      <c r="C725" s="8">
        <v>13490.0</v>
      </c>
      <c r="D725" s="8">
        <v>22900.0</v>
      </c>
      <c r="E725" s="9">
        <v>0.41</v>
      </c>
      <c r="F725" s="10">
        <v>4.3</v>
      </c>
      <c r="G725" s="11">
        <v>16299.0</v>
      </c>
      <c r="K725" s="17">
        <v>4.3</v>
      </c>
    </row>
    <row r="726">
      <c r="A726" s="7" t="s">
        <v>772</v>
      </c>
      <c r="B726" s="7" t="s">
        <v>625</v>
      </c>
      <c r="C726" s="8">
        <v>279.0</v>
      </c>
      <c r="D726" s="8">
        <v>375.0</v>
      </c>
      <c r="E726" s="9">
        <v>0.26</v>
      </c>
      <c r="F726" s="10">
        <v>4.3</v>
      </c>
      <c r="G726" s="11">
        <v>31534.0</v>
      </c>
      <c r="K726" s="17">
        <v>4.3</v>
      </c>
    </row>
    <row r="727">
      <c r="A727" s="7" t="s">
        <v>773</v>
      </c>
      <c r="B727" s="7" t="s">
        <v>373</v>
      </c>
      <c r="C727" s="8">
        <v>2499.0</v>
      </c>
      <c r="D727" s="8">
        <v>4999.0</v>
      </c>
      <c r="E727" s="9">
        <v>0.5</v>
      </c>
      <c r="F727" s="10">
        <v>3.9</v>
      </c>
      <c r="G727" s="11">
        <v>7571.0</v>
      </c>
      <c r="K727" s="17">
        <v>3.9</v>
      </c>
    </row>
    <row r="728">
      <c r="A728" s="7" t="s">
        <v>774</v>
      </c>
      <c r="B728" s="7" t="s">
        <v>732</v>
      </c>
      <c r="C728" s="8">
        <v>137.0</v>
      </c>
      <c r="D728" s="8">
        <v>160.0</v>
      </c>
      <c r="E728" s="9">
        <v>0.14</v>
      </c>
      <c r="F728" s="10">
        <v>4.4</v>
      </c>
      <c r="G728" s="11">
        <v>6537.0</v>
      </c>
      <c r="K728" s="17">
        <v>4.4</v>
      </c>
    </row>
    <row r="729">
      <c r="A729" s="7" t="s">
        <v>44</v>
      </c>
      <c r="B729" s="7" t="s">
        <v>15</v>
      </c>
      <c r="C729" s="8">
        <v>59.0</v>
      </c>
      <c r="D729" s="8">
        <v>199.0</v>
      </c>
      <c r="E729" s="9">
        <v>0.7</v>
      </c>
      <c r="F729" s="10">
        <v>4.0</v>
      </c>
      <c r="G729" s="11">
        <v>9377.0</v>
      </c>
      <c r="K729" s="17">
        <v>4.0</v>
      </c>
    </row>
    <row r="730">
      <c r="A730" s="7" t="s">
        <v>775</v>
      </c>
      <c r="B730" s="7" t="s">
        <v>698</v>
      </c>
      <c r="C730" s="8">
        <v>299.0</v>
      </c>
      <c r="D730" s="8">
        <v>499.0</v>
      </c>
      <c r="E730" s="9">
        <v>0.4</v>
      </c>
      <c r="F730" s="10">
        <v>4.5</v>
      </c>
      <c r="G730" s="11">
        <v>21010.0</v>
      </c>
      <c r="K730" s="17">
        <v>4.5</v>
      </c>
    </row>
    <row r="731">
      <c r="A731" s="7" t="s">
        <v>776</v>
      </c>
      <c r="B731" s="7" t="s">
        <v>393</v>
      </c>
      <c r="C731" s="8">
        <v>1799.0</v>
      </c>
      <c r="D731" s="8">
        <v>3999.0</v>
      </c>
      <c r="E731" s="9">
        <v>0.55</v>
      </c>
      <c r="F731" s="10">
        <v>3.9</v>
      </c>
      <c r="G731" s="11">
        <v>3517.0</v>
      </c>
      <c r="K731" s="17">
        <v>3.9</v>
      </c>
    </row>
    <row r="732">
      <c r="A732" s="7" t="s">
        <v>777</v>
      </c>
      <c r="B732" s="7" t="s">
        <v>719</v>
      </c>
      <c r="C732" s="8">
        <v>1999.0</v>
      </c>
      <c r="D732" s="8">
        <v>2999.0</v>
      </c>
      <c r="E732" s="9">
        <v>0.33</v>
      </c>
      <c r="F732" s="10">
        <v>4.3</v>
      </c>
      <c r="G732" s="11">
        <v>63899.0</v>
      </c>
      <c r="K732" s="17">
        <v>4.3</v>
      </c>
    </row>
    <row r="733">
      <c r="A733" s="7" t="s">
        <v>46</v>
      </c>
      <c r="B733" s="7" t="s">
        <v>31</v>
      </c>
      <c r="C733" s="8">
        <v>199.0</v>
      </c>
      <c r="D733" s="8">
        <v>699.0</v>
      </c>
      <c r="E733" s="9">
        <v>0.72</v>
      </c>
      <c r="F733" s="10">
        <v>4.2</v>
      </c>
      <c r="G733" s="11">
        <v>12153.0</v>
      </c>
      <c r="K733" s="17">
        <v>4.2</v>
      </c>
    </row>
    <row r="734">
      <c r="A734" s="7" t="s">
        <v>778</v>
      </c>
      <c r="B734" s="7" t="s">
        <v>779</v>
      </c>
      <c r="C734" s="8">
        <v>399.0</v>
      </c>
      <c r="D734" s="8">
        <v>1499.0</v>
      </c>
      <c r="E734" s="9">
        <v>0.73</v>
      </c>
      <c r="F734" s="10">
        <v>4.1</v>
      </c>
      <c r="G734" s="11">
        <v>5730.0</v>
      </c>
      <c r="K734" s="17">
        <v>4.1</v>
      </c>
    </row>
    <row r="735">
      <c r="A735" s="7" t="s">
        <v>780</v>
      </c>
      <c r="B735" s="7" t="s">
        <v>781</v>
      </c>
      <c r="C735" s="8">
        <v>1699.0</v>
      </c>
      <c r="D735" s="8">
        <v>3999.0</v>
      </c>
      <c r="E735" s="9">
        <v>0.58</v>
      </c>
      <c r="F735" s="10">
        <v>4.2</v>
      </c>
      <c r="G735" s="11">
        <v>25488.0</v>
      </c>
      <c r="K735" s="17">
        <v>4.2</v>
      </c>
    </row>
    <row r="736">
      <c r="A736" s="7" t="s">
        <v>782</v>
      </c>
      <c r="B736" s="7" t="s">
        <v>625</v>
      </c>
      <c r="C736" s="8">
        <v>699.0</v>
      </c>
      <c r="D736" s="8">
        <v>995.0</v>
      </c>
      <c r="E736" s="9">
        <v>0.3</v>
      </c>
      <c r="F736" s="10">
        <v>4.5</v>
      </c>
      <c r="G736" s="11">
        <v>54405.0</v>
      </c>
      <c r="K736" s="17">
        <v>4.5</v>
      </c>
    </row>
    <row r="737">
      <c r="A737" s="7" t="s">
        <v>524</v>
      </c>
      <c r="B737" s="7" t="s">
        <v>469</v>
      </c>
      <c r="C737" s="8">
        <v>95.0</v>
      </c>
      <c r="D737" s="8">
        <v>499.0</v>
      </c>
      <c r="E737" s="9">
        <v>0.81</v>
      </c>
      <c r="F737" s="10">
        <v>4.2</v>
      </c>
      <c r="G737" s="11">
        <v>1949.0</v>
      </c>
      <c r="K737" s="17">
        <v>4.2</v>
      </c>
    </row>
    <row r="738">
      <c r="A738" s="7" t="s">
        <v>783</v>
      </c>
      <c r="B738" s="7" t="s">
        <v>709</v>
      </c>
      <c r="C738" s="8">
        <v>1149.0</v>
      </c>
      <c r="D738" s="8">
        <v>1699.0</v>
      </c>
      <c r="E738" s="9">
        <v>0.32</v>
      </c>
      <c r="F738" s="10">
        <v>4.2</v>
      </c>
      <c r="G738" s="7" t="s">
        <v>784</v>
      </c>
      <c r="K738" s="17">
        <v>4.2</v>
      </c>
    </row>
    <row r="739">
      <c r="A739" s="7" t="s">
        <v>785</v>
      </c>
      <c r="B739" s="7" t="s">
        <v>660</v>
      </c>
      <c r="C739" s="8">
        <v>1495.0</v>
      </c>
      <c r="D739" s="8">
        <v>1995.0</v>
      </c>
      <c r="E739" s="9">
        <v>0.25</v>
      </c>
      <c r="F739" s="10">
        <v>4.3</v>
      </c>
      <c r="G739" s="11">
        <v>7241.0</v>
      </c>
      <c r="K739" s="17">
        <v>4.3</v>
      </c>
    </row>
    <row r="740">
      <c r="A740" s="7" t="s">
        <v>786</v>
      </c>
      <c r="B740" s="7" t="s">
        <v>631</v>
      </c>
      <c r="C740" s="8">
        <v>849.0</v>
      </c>
      <c r="D740" s="8">
        <v>4999.0</v>
      </c>
      <c r="E740" s="9">
        <v>0.83</v>
      </c>
      <c r="F740" s="10">
        <v>4.0</v>
      </c>
      <c r="G740" s="11">
        <v>20457.0</v>
      </c>
      <c r="K740" s="17">
        <v>4.0</v>
      </c>
    </row>
    <row r="741">
      <c r="A741" s="7" t="s">
        <v>787</v>
      </c>
      <c r="B741" s="7" t="s">
        <v>788</v>
      </c>
      <c r="C741" s="8">
        <v>440.0</v>
      </c>
      <c r="D741" s="8">
        <v>440.0</v>
      </c>
      <c r="E741" s="9">
        <v>0.0</v>
      </c>
      <c r="F741" s="10">
        <v>4.5</v>
      </c>
      <c r="G741" s="11">
        <v>8610.0</v>
      </c>
      <c r="K741" s="17">
        <v>4.5</v>
      </c>
    </row>
    <row r="742">
      <c r="A742" s="7" t="s">
        <v>521</v>
      </c>
      <c r="B742" s="7" t="s">
        <v>502</v>
      </c>
      <c r="C742" s="8">
        <v>349.0</v>
      </c>
      <c r="D742" s="8">
        <v>999.0</v>
      </c>
      <c r="E742" s="9">
        <v>0.65</v>
      </c>
      <c r="F742" s="10">
        <v>3.8</v>
      </c>
      <c r="G742" s="11">
        <v>16557.0</v>
      </c>
      <c r="K742" s="17">
        <v>3.8</v>
      </c>
    </row>
    <row r="743">
      <c r="A743" s="7" t="s">
        <v>789</v>
      </c>
      <c r="B743" s="7" t="s">
        <v>631</v>
      </c>
      <c r="C743" s="8">
        <v>599.0</v>
      </c>
      <c r="D743" s="8">
        <v>3999.0</v>
      </c>
      <c r="E743" s="9">
        <v>0.85</v>
      </c>
      <c r="F743" s="10">
        <v>3.9</v>
      </c>
      <c r="G743" s="11">
        <v>1087.0</v>
      </c>
      <c r="K743" s="17">
        <v>3.9</v>
      </c>
    </row>
    <row r="744">
      <c r="A744" s="7" t="s">
        <v>790</v>
      </c>
      <c r="B744" s="7" t="s">
        <v>741</v>
      </c>
      <c r="C744" s="8">
        <v>149.0</v>
      </c>
      <c r="D744" s="8">
        <v>399.0</v>
      </c>
      <c r="E744" s="9">
        <v>0.63</v>
      </c>
      <c r="F744" s="10">
        <v>4.0</v>
      </c>
      <c r="G744" s="11">
        <v>1540.0</v>
      </c>
      <c r="K744" s="17">
        <v>4.0</v>
      </c>
    </row>
    <row r="745">
      <c r="A745" s="7" t="s">
        <v>791</v>
      </c>
      <c r="B745" s="7" t="s">
        <v>627</v>
      </c>
      <c r="C745" s="8">
        <v>289.0</v>
      </c>
      <c r="D745" s="8">
        <v>999.0</v>
      </c>
      <c r="E745" s="9">
        <v>0.71</v>
      </c>
      <c r="F745" s="10">
        <v>4.1</v>
      </c>
      <c r="G745" s="10">
        <v>401.0</v>
      </c>
      <c r="K745" s="17">
        <v>4.1</v>
      </c>
    </row>
    <row r="746">
      <c r="A746" s="7" t="s">
        <v>792</v>
      </c>
      <c r="B746" s="7" t="s">
        <v>793</v>
      </c>
      <c r="C746" s="8">
        <v>179.0</v>
      </c>
      <c r="D746" s="8">
        <v>499.0</v>
      </c>
      <c r="E746" s="9">
        <v>0.64</v>
      </c>
      <c r="F746" s="10">
        <v>3.4</v>
      </c>
      <c r="G746" s="11">
        <v>9385.0</v>
      </c>
      <c r="K746" s="17">
        <v>3.4</v>
      </c>
    </row>
    <row r="747">
      <c r="A747" s="7" t="s">
        <v>794</v>
      </c>
      <c r="B747" s="7" t="s">
        <v>373</v>
      </c>
      <c r="C747" s="8">
        <v>1499.0</v>
      </c>
      <c r="D747" s="8">
        <v>4999.0</v>
      </c>
      <c r="E747" s="9">
        <v>0.7</v>
      </c>
      <c r="F747" s="10">
        <v>4.0</v>
      </c>
      <c r="G747" s="11">
        <v>92588.0</v>
      </c>
      <c r="K747" s="17">
        <v>4.0</v>
      </c>
    </row>
    <row r="748">
      <c r="A748" s="7" t="s">
        <v>795</v>
      </c>
      <c r="B748" s="7" t="s">
        <v>393</v>
      </c>
      <c r="C748" s="8">
        <v>399.0</v>
      </c>
      <c r="D748" s="8">
        <v>699.0</v>
      </c>
      <c r="E748" s="9">
        <v>0.43</v>
      </c>
      <c r="F748" s="10">
        <v>3.4</v>
      </c>
      <c r="G748" s="11">
        <v>3454.0</v>
      </c>
      <c r="K748" s="17">
        <v>3.4</v>
      </c>
    </row>
    <row r="749">
      <c r="A749" s="7" t="s">
        <v>796</v>
      </c>
      <c r="B749" s="7" t="s">
        <v>692</v>
      </c>
      <c r="C749" s="8">
        <v>599.0</v>
      </c>
      <c r="D749" s="8">
        <v>799.0</v>
      </c>
      <c r="E749" s="9">
        <v>0.25</v>
      </c>
      <c r="F749" s="10">
        <v>4.3</v>
      </c>
      <c r="G749" s="11">
        <v>15790.0</v>
      </c>
      <c r="K749" s="17">
        <v>4.3</v>
      </c>
    </row>
    <row r="750">
      <c r="A750" s="7" t="s">
        <v>797</v>
      </c>
      <c r="B750" s="7" t="s">
        <v>798</v>
      </c>
      <c r="C750" s="8">
        <v>949.0</v>
      </c>
      <c r="D750" s="8">
        <v>2000.0</v>
      </c>
      <c r="E750" s="9">
        <v>0.53</v>
      </c>
      <c r="F750" s="10">
        <v>3.9</v>
      </c>
      <c r="G750" s="11">
        <v>14969.0</v>
      </c>
      <c r="K750" s="17">
        <v>3.9</v>
      </c>
    </row>
    <row r="751">
      <c r="A751" s="7" t="s">
        <v>799</v>
      </c>
      <c r="B751" s="7" t="s">
        <v>373</v>
      </c>
      <c r="C751" s="8">
        <v>2499.0</v>
      </c>
      <c r="D751" s="8">
        <v>9999.0</v>
      </c>
      <c r="E751" s="9">
        <v>0.75</v>
      </c>
      <c r="F751" s="10">
        <v>4.1</v>
      </c>
      <c r="G751" s="11">
        <v>42139.0</v>
      </c>
      <c r="K751" s="17">
        <v>4.1</v>
      </c>
    </row>
    <row r="752">
      <c r="A752" s="7" t="s">
        <v>800</v>
      </c>
      <c r="B752" s="7" t="s">
        <v>652</v>
      </c>
      <c r="C752" s="8">
        <v>159.0</v>
      </c>
      <c r="D752" s="8">
        <v>180.0</v>
      </c>
      <c r="E752" s="9">
        <v>0.12</v>
      </c>
      <c r="F752" s="10">
        <v>4.3</v>
      </c>
      <c r="G752" s="10">
        <v>989.0</v>
      </c>
      <c r="K752" s="17">
        <v>4.3</v>
      </c>
    </row>
    <row r="753">
      <c r="A753" s="7" t="s">
        <v>801</v>
      </c>
      <c r="B753" s="7" t="s">
        <v>386</v>
      </c>
      <c r="C753" s="8">
        <v>1329.0</v>
      </c>
      <c r="D753" s="8">
        <v>2900.0</v>
      </c>
      <c r="E753" s="9">
        <v>0.54</v>
      </c>
      <c r="F753" s="10">
        <v>4.5</v>
      </c>
      <c r="G753" s="11">
        <v>19624.0</v>
      </c>
      <c r="K753" s="17">
        <v>4.5</v>
      </c>
    </row>
    <row r="754">
      <c r="A754" s="7" t="s">
        <v>802</v>
      </c>
      <c r="B754" s="7" t="s">
        <v>793</v>
      </c>
      <c r="C754" s="8">
        <v>570.0</v>
      </c>
      <c r="D754" s="8">
        <v>999.0</v>
      </c>
      <c r="E754" s="9">
        <v>0.43</v>
      </c>
      <c r="F754" s="10">
        <v>4.2</v>
      </c>
      <c r="G754" s="11">
        <v>3201.0</v>
      </c>
      <c r="K754" s="17">
        <v>4.2</v>
      </c>
    </row>
    <row r="755">
      <c r="A755" s="7" t="s">
        <v>803</v>
      </c>
      <c r="B755" s="7" t="s">
        <v>804</v>
      </c>
      <c r="C755" s="8">
        <v>899.0</v>
      </c>
      <c r="D755" s="8">
        <v>1999.0</v>
      </c>
      <c r="E755" s="9">
        <v>0.55</v>
      </c>
      <c r="F755" s="10">
        <v>4.1</v>
      </c>
      <c r="G755" s="11">
        <v>30469.0</v>
      </c>
      <c r="K755" s="17">
        <v>4.1</v>
      </c>
    </row>
    <row r="756">
      <c r="A756" s="7" t="s">
        <v>805</v>
      </c>
      <c r="B756" s="7" t="s">
        <v>806</v>
      </c>
      <c r="C756" s="8">
        <v>449.0</v>
      </c>
      <c r="D756" s="8">
        <v>999.0</v>
      </c>
      <c r="E756" s="9">
        <v>0.55</v>
      </c>
      <c r="F756" s="10">
        <v>4.4</v>
      </c>
      <c r="G756" s="11">
        <v>9940.0</v>
      </c>
      <c r="K756" s="17">
        <v>4.4</v>
      </c>
    </row>
    <row r="757">
      <c r="A757" s="7" t="s">
        <v>807</v>
      </c>
      <c r="B757" s="7" t="s">
        <v>808</v>
      </c>
      <c r="C757" s="8">
        <v>549.0</v>
      </c>
      <c r="D757" s="8">
        <v>999.0</v>
      </c>
      <c r="E757" s="9">
        <v>0.45</v>
      </c>
      <c r="F757" s="10">
        <v>4.3</v>
      </c>
      <c r="G757" s="11">
        <v>7758.0</v>
      </c>
      <c r="K757" s="17">
        <v>4.3</v>
      </c>
    </row>
    <row r="758">
      <c r="A758" s="7" t="s">
        <v>809</v>
      </c>
      <c r="B758" s="7" t="s">
        <v>709</v>
      </c>
      <c r="C758" s="8">
        <v>1529.0</v>
      </c>
      <c r="D758" s="8">
        <v>2399.0</v>
      </c>
      <c r="E758" s="9">
        <v>0.36</v>
      </c>
      <c r="F758" s="10">
        <v>4.3</v>
      </c>
      <c r="G758" s="11">
        <v>68409.0</v>
      </c>
      <c r="K758" s="17">
        <v>4.3</v>
      </c>
    </row>
    <row r="759">
      <c r="A759" s="7" t="s">
        <v>810</v>
      </c>
      <c r="B759" s="7" t="s">
        <v>811</v>
      </c>
      <c r="C759" s="8">
        <v>100.0</v>
      </c>
      <c r="D759" s="8">
        <v>100.0</v>
      </c>
      <c r="E759" s="9">
        <v>0.0</v>
      </c>
      <c r="F759" s="10">
        <v>4.3</v>
      </c>
      <c r="G759" s="11">
        <v>3095.0</v>
      </c>
      <c r="K759" s="17">
        <v>4.3</v>
      </c>
    </row>
    <row r="760">
      <c r="A760" s="7" t="s">
        <v>812</v>
      </c>
      <c r="B760" s="7" t="s">
        <v>635</v>
      </c>
      <c r="C760" s="8">
        <v>299.0</v>
      </c>
      <c r="D760" s="8">
        <v>1499.0</v>
      </c>
      <c r="E760" s="9">
        <v>0.8</v>
      </c>
      <c r="F760" s="10">
        <v>4.2</v>
      </c>
      <c r="G760" s="10">
        <v>903.0</v>
      </c>
      <c r="K760" s="17">
        <v>4.2</v>
      </c>
    </row>
    <row r="761">
      <c r="A761" s="7" t="s">
        <v>813</v>
      </c>
      <c r="B761" s="7" t="s">
        <v>660</v>
      </c>
      <c r="C761" s="8">
        <v>1295.0</v>
      </c>
      <c r="D761" s="8">
        <v>1795.0</v>
      </c>
      <c r="E761" s="9">
        <v>0.28</v>
      </c>
      <c r="F761" s="10">
        <v>4.1</v>
      </c>
      <c r="G761" s="11">
        <v>25771.0</v>
      </c>
      <c r="K761" s="17">
        <v>4.1</v>
      </c>
    </row>
    <row r="762">
      <c r="A762" s="7" t="s">
        <v>814</v>
      </c>
      <c r="B762" s="7" t="s">
        <v>393</v>
      </c>
      <c r="C762" s="8">
        <v>699.0</v>
      </c>
      <c r="D762" s="8">
        <v>999.0</v>
      </c>
      <c r="E762" s="9">
        <v>0.3</v>
      </c>
      <c r="F762" s="10">
        <v>4.1</v>
      </c>
      <c r="G762" s="7" t="s">
        <v>815</v>
      </c>
      <c r="K762" s="17">
        <v>4.1</v>
      </c>
    </row>
    <row r="763">
      <c r="A763" s="7" t="s">
        <v>816</v>
      </c>
      <c r="B763" s="7" t="s">
        <v>817</v>
      </c>
      <c r="C763" s="8">
        <v>252.0</v>
      </c>
      <c r="D763" s="8">
        <v>315.0</v>
      </c>
      <c r="E763" s="9">
        <v>0.2</v>
      </c>
      <c r="F763" s="10">
        <v>4.5</v>
      </c>
      <c r="G763" s="11">
        <v>3785.0</v>
      </c>
      <c r="K763" s="17">
        <v>4.5</v>
      </c>
    </row>
    <row r="764">
      <c r="A764" s="7" t="s">
        <v>818</v>
      </c>
      <c r="B764" s="7" t="s">
        <v>652</v>
      </c>
      <c r="C764" s="8">
        <v>190.0</v>
      </c>
      <c r="D764" s="8">
        <v>220.0</v>
      </c>
      <c r="E764" s="9">
        <v>0.14</v>
      </c>
      <c r="F764" s="10">
        <v>4.4</v>
      </c>
      <c r="G764" s="11">
        <v>2866.0</v>
      </c>
      <c r="K764" s="17">
        <v>4.4</v>
      </c>
    </row>
    <row r="765">
      <c r="A765" s="7" t="s">
        <v>819</v>
      </c>
      <c r="B765" s="7" t="s">
        <v>660</v>
      </c>
      <c r="C765" s="8">
        <v>1299.0</v>
      </c>
      <c r="D765" s="8">
        <v>1599.0</v>
      </c>
      <c r="E765" s="9">
        <v>0.19</v>
      </c>
      <c r="F765" s="10">
        <v>4.3</v>
      </c>
      <c r="G765" s="11">
        <v>27223.0</v>
      </c>
      <c r="K765" s="17">
        <v>4.3</v>
      </c>
    </row>
    <row r="766">
      <c r="A766" s="7" t="s">
        <v>820</v>
      </c>
      <c r="B766" s="7" t="s">
        <v>622</v>
      </c>
      <c r="C766" s="8">
        <v>729.0</v>
      </c>
      <c r="D766" s="8">
        <v>1650.0</v>
      </c>
      <c r="E766" s="9">
        <v>0.56</v>
      </c>
      <c r="F766" s="10">
        <v>4.3</v>
      </c>
      <c r="G766" s="11">
        <v>82356.0</v>
      </c>
      <c r="K766" s="17">
        <v>4.3</v>
      </c>
    </row>
    <row r="767">
      <c r="A767" s="7" t="s">
        <v>821</v>
      </c>
      <c r="B767" s="7" t="s">
        <v>822</v>
      </c>
      <c r="C767" s="8">
        <v>480.0</v>
      </c>
      <c r="D767" s="8">
        <v>600.0</v>
      </c>
      <c r="E767" s="9">
        <v>0.2</v>
      </c>
      <c r="F767" s="10">
        <v>4.3</v>
      </c>
      <c r="G767" s="11">
        <v>5719.0</v>
      </c>
      <c r="K767" s="17">
        <v>4.3</v>
      </c>
    </row>
    <row r="768">
      <c r="A768" s="7" t="s">
        <v>534</v>
      </c>
      <c r="B768" s="7" t="s">
        <v>373</v>
      </c>
      <c r="C768" s="8">
        <v>1799.0</v>
      </c>
      <c r="D768" s="8">
        <v>6990.0</v>
      </c>
      <c r="E768" s="9">
        <v>0.74</v>
      </c>
      <c r="F768" s="10">
        <v>4.0</v>
      </c>
      <c r="G768" s="11">
        <v>26880.0</v>
      </c>
      <c r="K768" s="17">
        <v>4.0</v>
      </c>
    </row>
    <row r="769">
      <c r="A769" s="7" t="s">
        <v>823</v>
      </c>
      <c r="B769" s="7" t="s">
        <v>631</v>
      </c>
      <c r="C769" s="8">
        <v>999.0</v>
      </c>
      <c r="D769" s="8">
        <v>2499.0</v>
      </c>
      <c r="E769" s="9">
        <v>0.6</v>
      </c>
      <c r="F769" s="10">
        <v>4.3</v>
      </c>
      <c r="G769" s="11">
        <v>1690.0</v>
      </c>
      <c r="K769" s="17">
        <v>4.3</v>
      </c>
    </row>
    <row r="770">
      <c r="A770" s="7" t="s">
        <v>48</v>
      </c>
      <c r="B770" s="7" t="s">
        <v>15</v>
      </c>
      <c r="C770" s="8">
        <v>299.0</v>
      </c>
      <c r="D770" s="8">
        <v>399.0</v>
      </c>
      <c r="E770" s="9">
        <v>0.25</v>
      </c>
      <c r="F770" s="10">
        <v>4.0</v>
      </c>
      <c r="G770" s="11">
        <v>2766.0</v>
      </c>
      <c r="K770" s="17">
        <v>4.0</v>
      </c>
    </row>
    <row r="771">
      <c r="A771" s="7" t="s">
        <v>824</v>
      </c>
      <c r="B771" s="7" t="s">
        <v>825</v>
      </c>
      <c r="C771" s="8">
        <v>238.0</v>
      </c>
      <c r="D771" s="8">
        <v>699.0</v>
      </c>
      <c r="E771" s="9">
        <v>0.66</v>
      </c>
      <c r="F771" s="10">
        <v>4.4</v>
      </c>
      <c r="G771" s="11">
        <v>8372.0</v>
      </c>
      <c r="K771" s="17">
        <v>4.4</v>
      </c>
    </row>
    <row r="772">
      <c r="A772" s="7" t="s">
        <v>826</v>
      </c>
      <c r="B772" s="7" t="s">
        <v>660</v>
      </c>
      <c r="C772" s="8">
        <v>1349.0</v>
      </c>
      <c r="D772" s="8">
        <v>2198.0</v>
      </c>
      <c r="E772" s="9">
        <v>0.39</v>
      </c>
      <c r="F772" s="10">
        <v>4.0</v>
      </c>
      <c r="G772" s="11">
        <v>7113.0</v>
      </c>
      <c r="K772" s="17">
        <v>4.0</v>
      </c>
    </row>
    <row r="773">
      <c r="A773" s="7" t="s">
        <v>50</v>
      </c>
      <c r="B773" s="7" t="s">
        <v>15</v>
      </c>
      <c r="C773" s="8">
        <v>299.0</v>
      </c>
      <c r="D773" s="8">
        <v>999.0</v>
      </c>
      <c r="E773" s="9">
        <v>0.7</v>
      </c>
      <c r="F773" s="10">
        <v>4.3</v>
      </c>
      <c r="G773" s="11">
        <v>20850.0</v>
      </c>
      <c r="K773" s="17">
        <v>4.3</v>
      </c>
    </row>
    <row r="774">
      <c r="A774" s="7" t="s">
        <v>827</v>
      </c>
      <c r="B774" s="7" t="s">
        <v>798</v>
      </c>
      <c r="C774" s="8">
        <v>199.0</v>
      </c>
      <c r="D774" s="8">
        <v>499.0</v>
      </c>
      <c r="E774" s="9">
        <v>0.6</v>
      </c>
      <c r="F774" s="10">
        <v>3.3</v>
      </c>
      <c r="G774" s="11">
        <v>2804.0</v>
      </c>
      <c r="K774" s="17">
        <v>3.3</v>
      </c>
    </row>
    <row r="775">
      <c r="A775" s="7" t="s">
        <v>828</v>
      </c>
      <c r="B775" s="7" t="s">
        <v>393</v>
      </c>
      <c r="C775" s="8">
        <v>1999.0</v>
      </c>
      <c r="D775" s="8">
        <v>9999.0</v>
      </c>
      <c r="E775" s="9">
        <v>0.8</v>
      </c>
      <c r="F775" s="10">
        <v>3.7</v>
      </c>
      <c r="G775" s="11">
        <v>1986.0</v>
      </c>
      <c r="K775" s="17">
        <v>3.7</v>
      </c>
    </row>
    <row r="776">
      <c r="A776" s="7" t="s">
        <v>829</v>
      </c>
      <c r="B776" s="7" t="s">
        <v>450</v>
      </c>
      <c r="C776" s="8">
        <v>99.0</v>
      </c>
      <c r="D776" s="8">
        <v>499.0</v>
      </c>
      <c r="E776" s="9">
        <v>0.8</v>
      </c>
      <c r="F776" s="10">
        <v>4.1</v>
      </c>
      <c r="G776" s="11">
        <v>2451.0</v>
      </c>
      <c r="K776" s="17">
        <v>4.1</v>
      </c>
    </row>
    <row r="777">
      <c r="A777" s="7" t="s">
        <v>830</v>
      </c>
      <c r="B777" s="7" t="s">
        <v>625</v>
      </c>
      <c r="C777" s="8">
        <v>499.0</v>
      </c>
      <c r="D777" s="8">
        <v>1000.0</v>
      </c>
      <c r="E777" s="9">
        <v>0.5</v>
      </c>
      <c r="F777" s="10">
        <v>5.0</v>
      </c>
      <c r="G777" s="10">
        <v>23.0</v>
      </c>
      <c r="K777" s="17">
        <v>5.0</v>
      </c>
    </row>
    <row r="778">
      <c r="A778" s="7" t="s">
        <v>831</v>
      </c>
      <c r="B778" s="7" t="s">
        <v>832</v>
      </c>
      <c r="C778" s="8">
        <v>1792.0</v>
      </c>
      <c r="D778" s="8">
        <v>3500.0</v>
      </c>
      <c r="E778" s="9">
        <v>0.49</v>
      </c>
      <c r="F778" s="10">
        <v>4.5</v>
      </c>
      <c r="G778" s="11">
        <v>26194.0</v>
      </c>
      <c r="K778" s="17">
        <v>4.5</v>
      </c>
    </row>
    <row r="779">
      <c r="A779" s="7" t="s">
        <v>833</v>
      </c>
      <c r="B779" s="7" t="s">
        <v>834</v>
      </c>
      <c r="C779" s="8">
        <v>3299.0</v>
      </c>
      <c r="D779" s="8">
        <v>4100.0</v>
      </c>
      <c r="E779" s="9">
        <v>0.2</v>
      </c>
      <c r="F779" s="10">
        <v>3.9</v>
      </c>
      <c r="G779" s="11">
        <v>15783.0</v>
      </c>
      <c r="K779" s="17">
        <v>3.9</v>
      </c>
    </row>
    <row r="780">
      <c r="A780" s="7" t="s">
        <v>835</v>
      </c>
      <c r="B780" s="7" t="s">
        <v>817</v>
      </c>
      <c r="C780" s="8">
        <v>125.0</v>
      </c>
      <c r="D780" s="8">
        <v>180.0</v>
      </c>
      <c r="E780" s="9">
        <v>0.31</v>
      </c>
      <c r="F780" s="10">
        <v>4.4</v>
      </c>
      <c r="G780" s="11">
        <v>8053.0</v>
      </c>
      <c r="K780" s="17">
        <v>4.4</v>
      </c>
    </row>
    <row r="781">
      <c r="A781" s="7" t="s">
        <v>836</v>
      </c>
      <c r="B781" s="7" t="s">
        <v>625</v>
      </c>
      <c r="C781" s="8">
        <v>399.0</v>
      </c>
      <c r="D781" s="8">
        <v>1190.0</v>
      </c>
      <c r="E781" s="9">
        <v>0.66</v>
      </c>
      <c r="F781" s="10">
        <v>4.1</v>
      </c>
      <c r="G781" s="11">
        <v>2809.0</v>
      </c>
      <c r="K781" s="17">
        <v>4.1</v>
      </c>
    </row>
    <row r="782">
      <c r="A782" s="7" t="s">
        <v>837</v>
      </c>
      <c r="B782" s="7" t="s">
        <v>393</v>
      </c>
      <c r="C782" s="8">
        <v>1199.0</v>
      </c>
      <c r="D782" s="8">
        <v>7999.0</v>
      </c>
      <c r="E782" s="9">
        <v>0.85</v>
      </c>
      <c r="F782" s="10">
        <v>3.6</v>
      </c>
      <c r="G782" s="11">
        <v>25910.0</v>
      </c>
      <c r="K782" s="17">
        <v>3.6</v>
      </c>
    </row>
    <row r="783">
      <c r="A783" s="7" t="s">
        <v>838</v>
      </c>
      <c r="B783" s="7" t="s">
        <v>627</v>
      </c>
      <c r="C783" s="8">
        <v>235.0</v>
      </c>
      <c r="D783" s="8">
        <v>1599.0</v>
      </c>
      <c r="E783" s="9">
        <v>0.85</v>
      </c>
      <c r="F783" s="10">
        <v>3.8</v>
      </c>
      <c r="G783" s="11">
        <v>1173.0</v>
      </c>
      <c r="K783" s="17">
        <v>3.8</v>
      </c>
    </row>
    <row r="784">
      <c r="A784" s="7" t="s">
        <v>839</v>
      </c>
      <c r="B784" s="7" t="s">
        <v>631</v>
      </c>
      <c r="C784" s="8">
        <v>549.0</v>
      </c>
      <c r="D784" s="8">
        <v>1999.0</v>
      </c>
      <c r="E784" s="9">
        <v>0.73</v>
      </c>
      <c r="F784" s="10">
        <v>3.6</v>
      </c>
      <c r="G784" s="11">
        <v>6422.0</v>
      </c>
      <c r="K784" s="17">
        <v>3.6</v>
      </c>
    </row>
    <row r="785">
      <c r="A785" s="7" t="s">
        <v>840</v>
      </c>
      <c r="B785" s="7" t="s">
        <v>759</v>
      </c>
      <c r="C785" s="8">
        <v>89.0</v>
      </c>
      <c r="D785" s="8">
        <v>99.0</v>
      </c>
      <c r="E785" s="9">
        <v>0.1</v>
      </c>
      <c r="F785" s="10">
        <v>4.2</v>
      </c>
      <c r="G785" s="10">
        <v>241.0</v>
      </c>
      <c r="K785" s="17">
        <v>4.2</v>
      </c>
    </row>
    <row r="786">
      <c r="A786" s="7" t="s">
        <v>49</v>
      </c>
      <c r="B786" s="7" t="s">
        <v>15</v>
      </c>
      <c r="C786" s="8">
        <v>970.0</v>
      </c>
      <c r="D786" s="8">
        <v>1999.0</v>
      </c>
      <c r="E786" s="9">
        <v>0.51</v>
      </c>
      <c r="F786" s="10">
        <v>4.4</v>
      </c>
      <c r="G786" s="10">
        <v>184.0</v>
      </c>
      <c r="K786" s="17">
        <v>4.4</v>
      </c>
    </row>
    <row r="787">
      <c r="A787" s="7" t="s">
        <v>841</v>
      </c>
      <c r="B787" s="7" t="s">
        <v>393</v>
      </c>
      <c r="C787" s="8">
        <v>1299.0</v>
      </c>
      <c r="D787" s="8">
        <v>2999.0</v>
      </c>
      <c r="E787" s="9">
        <v>0.57</v>
      </c>
      <c r="F787" s="10">
        <v>3.8</v>
      </c>
      <c r="G787" s="11">
        <v>14629.0</v>
      </c>
      <c r="K787" s="17">
        <v>3.8</v>
      </c>
    </row>
    <row r="788">
      <c r="A788" s="7" t="s">
        <v>842</v>
      </c>
      <c r="B788" s="7" t="s">
        <v>696</v>
      </c>
      <c r="C788" s="8">
        <v>230.0</v>
      </c>
      <c r="D788" s="8">
        <v>999.0</v>
      </c>
      <c r="E788" s="9">
        <v>0.77</v>
      </c>
      <c r="F788" s="10">
        <v>4.2</v>
      </c>
      <c r="G788" s="11">
        <v>1528.0</v>
      </c>
      <c r="K788" s="17">
        <v>4.2</v>
      </c>
    </row>
    <row r="789">
      <c r="A789" s="7" t="s">
        <v>843</v>
      </c>
      <c r="B789" s="7" t="s">
        <v>844</v>
      </c>
      <c r="C789" s="8">
        <v>119.0</v>
      </c>
      <c r="D789" s="8">
        <v>499.0</v>
      </c>
      <c r="E789" s="9">
        <v>0.76</v>
      </c>
      <c r="F789" s="10">
        <v>4.3</v>
      </c>
      <c r="G789" s="11">
        <v>15032.0</v>
      </c>
      <c r="K789" s="17">
        <v>4.3</v>
      </c>
    </row>
    <row r="790">
      <c r="A790" s="7" t="s">
        <v>845</v>
      </c>
      <c r="B790" s="7" t="s">
        <v>846</v>
      </c>
      <c r="C790" s="8">
        <v>449.0</v>
      </c>
      <c r="D790" s="8">
        <v>800.0</v>
      </c>
      <c r="E790" s="9">
        <v>0.44</v>
      </c>
      <c r="F790" s="10">
        <v>4.4</v>
      </c>
      <c r="G790" s="11">
        <v>69585.0</v>
      </c>
      <c r="K790" s="17">
        <v>4.4</v>
      </c>
    </row>
    <row r="791">
      <c r="A791" s="7" t="s">
        <v>847</v>
      </c>
      <c r="B791" s="7" t="s">
        <v>848</v>
      </c>
      <c r="C791" s="8">
        <v>1699.0</v>
      </c>
      <c r="D791" s="8">
        <v>3495.0</v>
      </c>
      <c r="E791" s="9">
        <v>0.51</v>
      </c>
      <c r="F791" s="10">
        <v>4.1</v>
      </c>
      <c r="G791" s="11">
        <v>14371.0</v>
      </c>
      <c r="K791" s="17">
        <v>4.1</v>
      </c>
    </row>
    <row r="792">
      <c r="A792" s="7" t="s">
        <v>849</v>
      </c>
      <c r="B792" s="7" t="s">
        <v>817</v>
      </c>
      <c r="C792" s="8">
        <v>561.0</v>
      </c>
      <c r="D792" s="8">
        <v>720.0</v>
      </c>
      <c r="E792" s="9">
        <v>0.22</v>
      </c>
      <c r="F792" s="10">
        <v>4.4</v>
      </c>
      <c r="G792" s="11">
        <v>3182.0</v>
      </c>
      <c r="K792" s="17">
        <v>4.4</v>
      </c>
    </row>
    <row r="793">
      <c r="A793" s="7" t="s">
        <v>850</v>
      </c>
      <c r="B793" s="7" t="s">
        <v>625</v>
      </c>
      <c r="C793" s="8">
        <v>289.0</v>
      </c>
      <c r="D793" s="8">
        <v>590.0</v>
      </c>
      <c r="E793" s="9">
        <v>0.51</v>
      </c>
      <c r="F793" s="10">
        <v>4.4</v>
      </c>
      <c r="G793" s="11">
        <v>25886.0</v>
      </c>
      <c r="K793" s="17">
        <v>4.4</v>
      </c>
    </row>
    <row r="794">
      <c r="A794" s="7" t="s">
        <v>851</v>
      </c>
      <c r="B794" s="7" t="s">
        <v>635</v>
      </c>
      <c r="C794" s="8">
        <v>599.0</v>
      </c>
      <c r="D794" s="8">
        <v>1999.0</v>
      </c>
      <c r="E794" s="9">
        <v>0.7</v>
      </c>
      <c r="F794" s="10">
        <v>4.4</v>
      </c>
      <c r="G794" s="11">
        <v>4736.0</v>
      </c>
      <c r="K794" s="17">
        <v>4.4</v>
      </c>
    </row>
    <row r="795">
      <c r="A795" s="7" t="s">
        <v>852</v>
      </c>
      <c r="B795" s="7" t="s">
        <v>662</v>
      </c>
      <c r="C795" s="8">
        <v>5599.0</v>
      </c>
      <c r="D795" s="8">
        <v>7350.0</v>
      </c>
      <c r="E795" s="9">
        <v>0.24</v>
      </c>
      <c r="F795" s="10">
        <v>4.4</v>
      </c>
      <c r="G795" s="11">
        <v>73005.0</v>
      </c>
      <c r="K795" s="17">
        <v>4.4</v>
      </c>
    </row>
    <row r="796">
      <c r="A796" s="7" t="s">
        <v>853</v>
      </c>
      <c r="B796" s="7" t="s">
        <v>854</v>
      </c>
      <c r="C796" s="8">
        <v>1990.0</v>
      </c>
      <c r="D796" s="8">
        <v>2595.0</v>
      </c>
      <c r="E796" s="9">
        <v>0.23</v>
      </c>
      <c r="F796" s="10">
        <v>4.3</v>
      </c>
      <c r="G796" s="11">
        <v>20398.0</v>
      </c>
      <c r="K796" s="17">
        <v>4.3</v>
      </c>
    </row>
    <row r="797">
      <c r="A797" s="7" t="s">
        <v>855</v>
      </c>
      <c r="B797" s="7" t="s">
        <v>793</v>
      </c>
      <c r="C797" s="8">
        <v>499.0</v>
      </c>
      <c r="D797" s="8">
        <v>799.0</v>
      </c>
      <c r="E797" s="9">
        <v>0.38</v>
      </c>
      <c r="F797" s="10">
        <v>4.3</v>
      </c>
      <c r="G797" s="11">
        <v>2125.0</v>
      </c>
      <c r="K797" s="17">
        <v>4.3</v>
      </c>
    </row>
    <row r="798">
      <c r="A798" s="7" t="s">
        <v>856</v>
      </c>
      <c r="B798" s="7" t="s">
        <v>806</v>
      </c>
      <c r="C798" s="8">
        <v>449.0</v>
      </c>
      <c r="D798" s="8">
        <v>999.0</v>
      </c>
      <c r="E798" s="9">
        <v>0.55</v>
      </c>
      <c r="F798" s="10">
        <v>4.3</v>
      </c>
      <c r="G798" s="11">
        <v>11330.0</v>
      </c>
      <c r="K798" s="17">
        <v>4.3</v>
      </c>
    </row>
    <row r="799">
      <c r="A799" s="7" t="s">
        <v>857</v>
      </c>
      <c r="B799" s="7" t="s">
        <v>858</v>
      </c>
      <c r="C799" s="8">
        <v>999.0</v>
      </c>
      <c r="D799" s="8">
        <v>1999.0</v>
      </c>
      <c r="E799" s="9">
        <v>0.5</v>
      </c>
      <c r="F799" s="10">
        <v>4.2</v>
      </c>
      <c r="G799" s="11">
        <v>27441.0</v>
      </c>
      <c r="K799" s="17">
        <v>4.2</v>
      </c>
    </row>
    <row r="800">
      <c r="A800" s="7" t="s">
        <v>859</v>
      </c>
      <c r="B800" s="7" t="s">
        <v>576</v>
      </c>
      <c r="C800" s="8">
        <v>69.0</v>
      </c>
      <c r="D800" s="8">
        <v>299.0</v>
      </c>
      <c r="E800" s="9">
        <v>0.77</v>
      </c>
      <c r="F800" s="10">
        <v>4.3</v>
      </c>
      <c r="G800" s="10">
        <v>255.0</v>
      </c>
      <c r="K800" s="17">
        <v>4.3</v>
      </c>
    </row>
    <row r="801">
      <c r="A801" s="7" t="s">
        <v>860</v>
      </c>
      <c r="B801" s="7" t="s">
        <v>625</v>
      </c>
      <c r="C801" s="8">
        <v>899.0</v>
      </c>
      <c r="D801" s="8">
        <v>1499.0</v>
      </c>
      <c r="E801" s="9">
        <v>0.4</v>
      </c>
      <c r="F801" s="10">
        <v>4.2</v>
      </c>
      <c r="G801" s="11">
        <v>23174.0</v>
      </c>
      <c r="K801" s="17">
        <v>4.2</v>
      </c>
    </row>
    <row r="802">
      <c r="A802" s="7" t="s">
        <v>861</v>
      </c>
      <c r="B802" s="7" t="s">
        <v>650</v>
      </c>
      <c r="C802" s="8">
        <v>478.0</v>
      </c>
      <c r="D802" s="8">
        <v>699.0</v>
      </c>
      <c r="E802" s="9">
        <v>0.32</v>
      </c>
      <c r="F802" s="10">
        <v>3.8</v>
      </c>
      <c r="G802" s="11">
        <v>20218.0</v>
      </c>
      <c r="K802" s="17">
        <v>3.8</v>
      </c>
    </row>
    <row r="803">
      <c r="A803" s="7" t="s">
        <v>862</v>
      </c>
      <c r="B803" s="7" t="s">
        <v>863</v>
      </c>
      <c r="C803" s="8">
        <v>1399.0</v>
      </c>
      <c r="D803" s="8">
        <v>2490.0</v>
      </c>
      <c r="E803" s="9">
        <v>0.44</v>
      </c>
      <c r="F803" s="10">
        <v>4.3</v>
      </c>
      <c r="G803" s="11">
        <v>11074.0</v>
      </c>
      <c r="K803" s="17">
        <v>4.3</v>
      </c>
    </row>
    <row r="804">
      <c r="A804" s="7" t="s">
        <v>51</v>
      </c>
      <c r="B804" s="7" t="s">
        <v>15</v>
      </c>
      <c r="C804" s="8">
        <v>199.0</v>
      </c>
      <c r="D804" s="8">
        <v>750.0</v>
      </c>
      <c r="E804" s="9">
        <v>0.73</v>
      </c>
      <c r="F804" s="10">
        <v>4.5</v>
      </c>
      <c r="G804" s="11">
        <v>74976.0</v>
      </c>
      <c r="K804" s="17">
        <v>4.5</v>
      </c>
    </row>
    <row r="805">
      <c r="A805" s="7" t="s">
        <v>864</v>
      </c>
      <c r="B805" s="7" t="s">
        <v>865</v>
      </c>
      <c r="C805" s="8">
        <v>149.0</v>
      </c>
      <c r="D805" s="8">
        <v>499.0</v>
      </c>
      <c r="E805" s="9">
        <v>0.7</v>
      </c>
      <c r="F805" s="10">
        <v>4.1</v>
      </c>
      <c r="G805" s="11">
        <v>25607.0</v>
      </c>
      <c r="K805" s="17">
        <v>4.1</v>
      </c>
    </row>
    <row r="806">
      <c r="A806" s="7" t="s">
        <v>866</v>
      </c>
      <c r="B806" s="7" t="s">
        <v>719</v>
      </c>
      <c r="C806" s="8">
        <v>1799.0</v>
      </c>
      <c r="D806" s="8">
        <v>4990.0</v>
      </c>
      <c r="E806" s="9">
        <v>0.64</v>
      </c>
      <c r="F806" s="10">
        <v>4.2</v>
      </c>
      <c r="G806" s="11">
        <v>41226.0</v>
      </c>
      <c r="K806" s="17">
        <v>4.2</v>
      </c>
    </row>
    <row r="807">
      <c r="A807" s="7" t="s">
        <v>867</v>
      </c>
      <c r="B807" s="7" t="s">
        <v>868</v>
      </c>
      <c r="C807" s="8">
        <v>425.0</v>
      </c>
      <c r="D807" s="8">
        <v>999.0</v>
      </c>
      <c r="E807" s="9">
        <v>0.57</v>
      </c>
      <c r="F807" s="10">
        <v>4.0</v>
      </c>
      <c r="G807" s="11">
        <v>2581.0</v>
      </c>
      <c r="K807" s="17">
        <v>4.0</v>
      </c>
    </row>
    <row r="808">
      <c r="A808" s="7" t="s">
        <v>869</v>
      </c>
      <c r="B808" s="7" t="s">
        <v>804</v>
      </c>
      <c r="C808" s="8">
        <v>999.0</v>
      </c>
      <c r="D808" s="8">
        <v>2490.0</v>
      </c>
      <c r="E808" s="9">
        <v>0.6</v>
      </c>
      <c r="F808" s="10">
        <v>4.1</v>
      </c>
      <c r="G808" s="11">
        <v>18331.0</v>
      </c>
      <c r="K808" s="17">
        <v>4.1</v>
      </c>
    </row>
    <row r="809">
      <c r="A809" s="7" t="s">
        <v>870</v>
      </c>
      <c r="B809" s="7" t="s">
        <v>627</v>
      </c>
      <c r="C809" s="8">
        <v>378.0</v>
      </c>
      <c r="D809" s="8">
        <v>999.0</v>
      </c>
      <c r="E809" s="9">
        <v>0.62</v>
      </c>
      <c r="F809" s="10">
        <v>4.1</v>
      </c>
      <c r="G809" s="11">
        <v>1779.0</v>
      </c>
      <c r="K809" s="17">
        <v>4.1</v>
      </c>
    </row>
    <row r="810">
      <c r="A810" s="7" t="s">
        <v>871</v>
      </c>
      <c r="B810" s="7" t="s">
        <v>872</v>
      </c>
      <c r="C810" s="8">
        <v>99.0</v>
      </c>
      <c r="D810" s="8">
        <v>99.0</v>
      </c>
      <c r="E810" s="9">
        <v>0.0</v>
      </c>
      <c r="F810" s="10">
        <v>4.3</v>
      </c>
      <c r="G810" s="10">
        <v>388.0</v>
      </c>
      <c r="K810" s="17">
        <v>4.3</v>
      </c>
    </row>
    <row r="811">
      <c r="A811" s="7" t="s">
        <v>873</v>
      </c>
      <c r="B811" s="7" t="s">
        <v>709</v>
      </c>
      <c r="C811" s="8">
        <v>1499.0</v>
      </c>
      <c r="D811" s="8">
        <v>2999.0</v>
      </c>
      <c r="E811" s="9">
        <v>0.5</v>
      </c>
      <c r="F811" s="10">
        <v>4.5</v>
      </c>
      <c r="G811" s="11">
        <v>8656.0</v>
      </c>
      <c r="K811" s="17">
        <v>4.5</v>
      </c>
    </row>
    <row r="812">
      <c r="A812" s="7" t="s">
        <v>874</v>
      </c>
      <c r="B812" s="7" t="s">
        <v>875</v>
      </c>
      <c r="C812" s="8">
        <v>1815.0</v>
      </c>
      <c r="D812" s="8">
        <v>3100.0</v>
      </c>
      <c r="E812" s="9">
        <v>0.41</v>
      </c>
      <c r="F812" s="10">
        <v>4.5</v>
      </c>
      <c r="G812" s="11">
        <v>92925.0</v>
      </c>
      <c r="K812" s="17">
        <v>4.5</v>
      </c>
    </row>
    <row r="813">
      <c r="A813" s="7" t="s">
        <v>876</v>
      </c>
      <c r="B813" s="7" t="s">
        <v>817</v>
      </c>
      <c r="C813" s="8">
        <v>67.0</v>
      </c>
      <c r="D813" s="8">
        <v>75.0</v>
      </c>
      <c r="E813" s="9">
        <v>0.11</v>
      </c>
      <c r="F813" s="10">
        <v>4.1</v>
      </c>
      <c r="G813" s="11">
        <v>1269.0</v>
      </c>
      <c r="K813" s="17">
        <v>4.1</v>
      </c>
    </row>
    <row r="814">
      <c r="A814" s="7" t="s">
        <v>877</v>
      </c>
      <c r="B814" s="7" t="s">
        <v>631</v>
      </c>
      <c r="C814" s="8">
        <v>1889.0</v>
      </c>
      <c r="D814" s="8">
        <v>2699.0</v>
      </c>
      <c r="E814" s="9">
        <v>0.3</v>
      </c>
      <c r="F814" s="10">
        <v>4.3</v>
      </c>
      <c r="G814" s="11">
        <v>17394.0</v>
      </c>
      <c r="K814" s="17">
        <v>4.3</v>
      </c>
    </row>
    <row r="815">
      <c r="A815" s="7" t="s">
        <v>878</v>
      </c>
      <c r="B815" s="7" t="s">
        <v>393</v>
      </c>
      <c r="C815" s="8">
        <v>499.0</v>
      </c>
      <c r="D815" s="8">
        <v>1499.0</v>
      </c>
      <c r="E815" s="9">
        <v>0.67</v>
      </c>
      <c r="F815" s="10">
        <v>3.6</v>
      </c>
      <c r="G815" s="11">
        <v>9169.0</v>
      </c>
      <c r="K815" s="17">
        <v>3.6</v>
      </c>
    </row>
    <row r="816">
      <c r="A816" s="7" t="s">
        <v>879</v>
      </c>
      <c r="B816" s="7" t="s">
        <v>696</v>
      </c>
      <c r="C816" s="8">
        <v>499.0</v>
      </c>
      <c r="D816" s="8">
        <v>999.0</v>
      </c>
      <c r="E816" s="9">
        <v>0.5</v>
      </c>
      <c r="F816" s="10">
        <v>4.4</v>
      </c>
      <c r="G816" s="11">
        <v>1030.0</v>
      </c>
      <c r="K816" s="17">
        <v>4.4</v>
      </c>
    </row>
    <row r="817">
      <c r="A817" s="7" t="s">
        <v>880</v>
      </c>
      <c r="B817" s="7" t="s">
        <v>662</v>
      </c>
      <c r="C817" s="8">
        <v>5799.0</v>
      </c>
      <c r="D817" s="8">
        <v>7999.0</v>
      </c>
      <c r="E817" s="9">
        <v>0.28</v>
      </c>
      <c r="F817" s="10">
        <v>4.5</v>
      </c>
      <c r="G817" s="11">
        <v>50273.0</v>
      </c>
      <c r="K817" s="17">
        <v>4.5</v>
      </c>
    </row>
    <row r="818">
      <c r="A818" s="7" t="s">
        <v>881</v>
      </c>
      <c r="B818" s="7" t="s">
        <v>882</v>
      </c>
      <c r="C818" s="8">
        <v>499.0</v>
      </c>
      <c r="D818" s="8">
        <v>799.0</v>
      </c>
      <c r="E818" s="9">
        <v>0.38</v>
      </c>
      <c r="F818" s="10">
        <v>3.9</v>
      </c>
      <c r="G818" s="11">
        <v>6742.0</v>
      </c>
      <c r="K818" s="17">
        <v>3.9</v>
      </c>
    </row>
    <row r="819">
      <c r="A819" s="7" t="s">
        <v>883</v>
      </c>
      <c r="B819" s="7" t="s">
        <v>627</v>
      </c>
      <c r="C819" s="8">
        <v>249.0</v>
      </c>
      <c r="D819" s="8">
        <v>600.0</v>
      </c>
      <c r="E819" s="9">
        <v>0.59</v>
      </c>
      <c r="F819" s="10">
        <v>4.0</v>
      </c>
      <c r="G819" s="11">
        <v>1208.0</v>
      </c>
      <c r="K819" s="17">
        <v>4.0</v>
      </c>
    </row>
    <row r="820">
      <c r="A820" s="7" t="s">
        <v>52</v>
      </c>
      <c r="B820" s="7" t="s">
        <v>15</v>
      </c>
      <c r="C820" s="8">
        <v>179.0</v>
      </c>
      <c r="D820" s="8">
        <v>499.0</v>
      </c>
      <c r="E820" s="9">
        <v>0.64</v>
      </c>
      <c r="F820" s="10">
        <v>4.0</v>
      </c>
      <c r="G820" s="11">
        <v>1933.0</v>
      </c>
      <c r="K820" s="17">
        <v>4.0</v>
      </c>
    </row>
    <row r="821">
      <c r="A821" s="7" t="s">
        <v>884</v>
      </c>
      <c r="B821" s="7" t="s">
        <v>662</v>
      </c>
      <c r="C821" s="8">
        <v>4449.0</v>
      </c>
      <c r="D821" s="8">
        <v>5734.0</v>
      </c>
      <c r="E821" s="9">
        <v>0.22</v>
      </c>
      <c r="F821" s="10">
        <v>4.4</v>
      </c>
      <c r="G821" s="11">
        <v>25006.0</v>
      </c>
      <c r="K821" s="17">
        <v>4.4</v>
      </c>
    </row>
    <row r="822">
      <c r="A822" s="7" t="s">
        <v>885</v>
      </c>
      <c r="B822" s="7" t="s">
        <v>781</v>
      </c>
      <c r="C822" s="8">
        <v>299.0</v>
      </c>
      <c r="D822" s="8">
        <v>550.0</v>
      </c>
      <c r="E822" s="9">
        <v>0.46</v>
      </c>
      <c r="F822" s="10">
        <v>4.6</v>
      </c>
      <c r="G822" s="11">
        <v>33434.0</v>
      </c>
      <c r="K822" s="17">
        <v>4.6</v>
      </c>
    </row>
    <row r="823">
      <c r="A823" s="7" t="s">
        <v>886</v>
      </c>
      <c r="B823" s="7" t="s">
        <v>625</v>
      </c>
      <c r="C823" s="8">
        <v>629.0</v>
      </c>
      <c r="D823" s="8">
        <v>1390.0</v>
      </c>
      <c r="E823" s="9">
        <v>0.55</v>
      </c>
      <c r="F823" s="10">
        <v>4.4</v>
      </c>
      <c r="G823" s="11">
        <v>6301.0</v>
      </c>
      <c r="K823" s="17">
        <v>4.4</v>
      </c>
    </row>
    <row r="824">
      <c r="A824" s="7" t="s">
        <v>887</v>
      </c>
      <c r="B824" s="7" t="s">
        <v>647</v>
      </c>
      <c r="C824" s="8">
        <v>2595.0</v>
      </c>
      <c r="D824" s="8">
        <v>3295.0</v>
      </c>
      <c r="E824" s="9">
        <v>0.21</v>
      </c>
      <c r="F824" s="10">
        <v>4.4</v>
      </c>
      <c r="G824" s="11">
        <v>22618.0</v>
      </c>
      <c r="K824" s="17">
        <v>4.4</v>
      </c>
    </row>
    <row r="825">
      <c r="A825" s="7" t="s">
        <v>53</v>
      </c>
      <c r="B825" s="7" t="s">
        <v>15</v>
      </c>
      <c r="C825" s="8">
        <v>389.0</v>
      </c>
      <c r="D825" s="8">
        <v>1099.0</v>
      </c>
      <c r="E825" s="9">
        <v>0.65</v>
      </c>
      <c r="F825" s="10">
        <v>4.3</v>
      </c>
      <c r="G825" s="10">
        <v>974.0</v>
      </c>
      <c r="K825" s="17">
        <v>4.3</v>
      </c>
    </row>
    <row r="826">
      <c r="A826" s="7" t="s">
        <v>888</v>
      </c>
      <c r="B826" s="7" t="s">
        <v>709</v>
      </c>
      <c r="C826" s="8">
        <v>1799.0</v>
      </c>
      <c r="D826" s="8">
        <v>2911.0</v>
      </c>
      <c r="E826" s="9">
        <v>0.38</v>
      </c>
      <c r="F826" s="10">
        <v>4.3</v>
      </c>
      <c r="G826" s="11">
        <v>20342.0</v>
      </c>
      <c r="K826" s="17">
        <v>4.3</v>
      </c>
    </row>
    <row r="827">
      <c r="A827" s="7" t="s">
        <v>889</v>
      </c>
      <c r="B827" s="7" t="s">
        <v>749</v>
      </c>
      <c r="C827" s="8">
        <v>90.0</v>
      </c>
      <c r="D827" s="8">
        <v>175.0</v>
      </c>
      <c r="E827" s="9">
        <v>0.49</v>
      </c>
      <c r="F827" s="10">
        <v>4.4</v>
      </c>
      <c r="G827" s="11">
        <v>7429.0</v>
      </c>
      <c r="K827" s="17">
        <v>4.4</v>
      </c>
    </row>
    <row r="828">
      <c r="A828" s="7" t="s">
        <v>890</v>
      </c>
      <c r="B828" s="7" t="s">
        <v>631</v>
      </c>
      <c r="C828" s="8">
        <v>599.0</v>
      </c>
      <c r="D828" s="8">
        <v>599.0</v>
      </c>
      <c r="E828" s="9">
        <v>0.0</v>
      </c>
      <c r="F828" s="10">
        <v>4.0</v>
      </c>
      <c r="G828" s="11">
        <v>26423.0</v>
      </c>
      <c r="K828" s="17">
        <v>4.0</v>
      </c>
    </row>
    <row r="829">
      <c r="A829" s="7" t="s">
        <v>891</v>
      </c>
      <c r="B829" s="7" t="s">
        <v>373</v>
      </c>
      <c r="C829" s="8">
        <v>1999.0</v>
      </c>
      <c r="D829" s="8">
        <v>7999.0</v>
      </c>
      <c r="E829" s="9">
        <v>0.75</v>
      </c>
      <c r="F829" s="10">
        <v>4.2</v>
      </c>
      <c r="G829" s="11">
        <v>31305.0</v>
      </c>
      <c r="K829" s="17">
        <v>4.2</v>
      </c>
    </row>
    <row r="830">
      <c r="A830" s="7" t="s">
        <v>892</v>
      </c>
      <c r="B830" s="7" t="s">
        <v>893</v>
      </c>
      <c r="C830" s="8">
        <v>2099.0</v>
      </c>
      <c r="D830" s="8">
        <v>3250.0</v>
      </c>
      <c r="E830" s="9">
        <v>0.35</v>
      </c>
      <c r="F830" s="10">
        <v>3.8</v>
      </c>
      <c r="G830" s="11">
        <v>11213.0</v>
      </c>
      <c r="K830" s="17">
        <v>3.8</v>
      </c>
    </row>
    <row r="831">
      <c r="A831" s="7" t="s">
        <v>894</v>
      </c>
      <c r="B831" s="7" t="s">
        <v>895</v>
      </c>
      <c r="C831" s="8">
        <v>179.0</v>
      </c>
      <c r="D831" s="8">
        <v>499.0</v>
      </c>
      <c r="E831" s="9">
        <v>0.64</v>
      </c>
      <c r="F831" s="10">
        <v>4.1</v>
      </c>
      <c r="G831" s="11">
        <v>10174.0</v>
      </c>
      <c r="K831" s="17">
        <v>4.1</v>
      </c>
    </row>
    <row r="832">
      <c r="A832" s="7" t="s">
        <v>896</v>
      </c>
      <c r="B832" s="7" t="s">
        <v>660</v>
      </c>
      <c r="C832" s="8">
        <v>1345.0</v>
      </c>
      <c r="D832" s="8">
        <v>2295.0</v>
      </c>
      <c r="E832" s="9">
        <v>0.41</v>
      </c>
      <c r="F832" s="10">
        <v>4.2</v>
      </c>
      <c r="G832" s="11">
        <v>17413.0</v>
      </c>
      <c r="K832" s="17">
        <v>4.2</v>
      </c>
    </row>
    <row r="833">
      <c r="A833" s="7" t="s">
        <v>897</v>
      </c>
      <c r="B833" s="7" t="s">
        <v>680</v>
      </c>
      <c r="C833" s="8">
        <v>349.0</v>
      </c>
      <c r="D833" s="8">
        <v>995.0</v>
      </c>
      <c r="E833" s="9">
        <v>0.65</v>
      </c>
      <c r="F833" s="10">
        <v>4.2</v>
      </c>
      <c r="G833" s="11">
        <v>6676.0</v>
      </c>
      <c r="K833" s="17">
        <v>4.2</v>
      </c>
    </row>
    <row r="834">
      <c r="A834" s="7" t="s">
        <v>898</v>
      </c>
      <c r="B834" s="7" t="s">
        <v>825</v>
      </c>
      <c r="C834" s="8">
        <v>287.0</v>
      </c>
      <c r="D834" s="8">
        <v>499.0</v>
      </c>
      <c r="E834" s="9">
        <v>0.42</v>
      </c>
      <c r="F834" s="10">
        <v>4.4</v>
      </c>
      <c r="G834" s="11">
        <v>8076.0</v>
      </c>
      <c r="K834" s="17">
        <v>4.4</v>
      </c>
    </row>
    <row r="835">
      <c r="A835" s="7" t="s">
        <v>54</v>
      </c>
      <c r="B835" s="7" t="s">
        <v>15</v>
      </c>
      <c r="C835" s="8">
        <v>599.0</v>
      </c>
      <c r="D835" s="8">
        <v>599.0</v>
      </c>
      <c r="E835" s="9">
        <v>0.0</v>
      </c>
      <c r="F835" s="10">
        <v>4.3</v>
      </c>
      <c r="G835" s="10">
        <v>355.0</v>
      </c>
      <c r="K835" s="17">
        <v>4.3</v>
      </c>
    </row>
    <row r="836">
      <c r="A836" s="7" t="s">
        <v>899</v>
      </c>
      <c r="B836" s="7" t="s">
        <v>622</v>
      </c>
      <c r="C836" s="8">
        <v>349.0</v>
      </c>
      <c r="D836" s="8">
        <v>450.0</v>
      </c>
      <c r="E836" s="9">
        <v>0.22</v>
      </c>
      <c r="F836" s="10">
        <v>4.1</v>
      </c>
      <c r="G836" s="11">
        <v>18656.0</v>
      </c>
      <c r="K836" s="17">
        <v>4.1</v>
      </c>
    </row>
    <row r="837">
      <c r="A837" s="7" t="s">
        <v>900</v>
      </c>
      <c r="B837" s="7" t="s">
        <v>652</v>
      </c>
      <c r="C837" s="8">
        <v>879.0</v>
      </c>
      <c r="D837" s="8">
        <v>1109.0</v>
      </c>
      <c r="E837" s="9">
        <v>0.21</v>
      </c>
      <c r="F837" s="10">
        <v>4.4</v>
      </c>
      <c r="G837" s="11">
        <v>31599.0</v>
      </c>
      <c r="K837" s="17">
        <v>4.4</v>
      </c>
    </row>
    <row r="838">
      <c r="A838" s="7" t="s">
        <v>55</v>
      </c>
      <c r="B838" s="7" t="s">
        <v>15</v>
      </c>
      <c r="C838" s="8">
        <v>199.0</v>
      </c>
      <c r="D838" s="8">
        <v>999.0</v>
      </c>
      <c r="E838" s="9">
        <v>0.8</v>
      </c>
      <c r="F838" s="10">
        <v>3.9</v>
      </c>
      <c r="G838" s="11">
        <v>1075.0</v>
      </c>
      <c r="K838" s="17">
        <v>3.9</v>
      </c>
    </row>
    <row r="839">
      <c r="A839" s="7" t="s">
        <v>901</v>
      </c>
      <c r="B839" s="7" t="s">
        <v>735</v>
      </c>
      <c r="C839" s="8">
        <v>250.0</v>
      </c>
      <c r="D839" s="8">
        <v>250.0</v>
      </c>
      <c r="E839" s="9">
        <v>0.0</v>
      </c>
      <c r="F839" s="10">
        <v>3.9</v>
      </c>
      <c r="G839" s="11">
        <v>13971.0</v>
      </c>
      <c r="K839" s="17">
        <v>3.9</v>
      </c>
    </row>
    <row r="840">
      <c r="A840" s="7" t="s">
        <v>902</v>
      </c>
      <c r="B840" s="7" t="s">
        <v>393</v>
      </c>
      <c r="C840" s="8">
        <v>199.0</v>
      </c>
      <c r="D840" s="8">
        <v>499.0</v>
      </c>
      <c r="E840" s="9">
        <v>0.6</v>
      </c>
      <c r="F840" s="10">
        <v>3.6</v>
      </c>
      <c r="G840" s="11">
        <v>2492.0</v>
      </c>
      <c r="K840" s="17">
        <v>3.6</v>
      </c>
    </row>
    <row r="841">
      <c r="A841" s="7" t="s">
        <v>57</v>
      </c>
      <c r="B841" s="7" t="s">
        <v>15</v>
      </c>
      <c r="C841" s="8">
        <v>899.0</v>
      </c>
      <c r="D841" s="8">
        <v>1900.0</v>
      </c>
      <c r="E841" s="9">
        <v>0.53</v>
      </c>
      <c r="F841" s="10">
        <v>4.4</v>
      </c>
      <c r="G841" s="11">
        <v>13552.0</v>
      </c>
      <c r="K841" s="17">
        <v>4.4</v>
      </c>
    </row>
    <row r="842">
      <c r="A842" s="7" t="s">
        <v>58</v>
      </c>
      <c r="B842" s="7" t="s">
        <v>15</v>
      </c>
      <c r="C842" s="8">
        <v>199.0</v>
      </c>
      <c r="D842" s="8">
        <v>999.0</v>
      </c>
      <c r="E842" s="9">
        <v>0.8</v>
      </c>
      <c r="F842" s="10">
        <v>4.0</v>
      </c>
      <c r="G842" s="10">
        <v>575.0</v>
      </c>
      <c r="K842" s="17">
        <v>4.0</v>
      </c>
    </row>
    <row r="843">
      <c r="A843" s="7" t="s">
        <v>903</v>
      </c>
      <c r="B843" s="7" t="s">
        <v>895</v>
      </c>
      <c r="C843" s="8">
        <v>149.0</v>
      </c>
      <c r="D843" s="8">
        <v>999.0</v>
      </c>
      <c r="E843" s="9">
        <v>0.85</v>
      </c>
      <c r="F843" s="10">
        <v>3.5</v>
      </c>
      <c r="G843" s="11">
        <v>2523.0</v>
      </c>
      <c r="K843" s="17">
        <v>3.5</v>
      </c>
    </row>
    <row r="844">
      <c r="A844" s="7" t="s">
        <v>904</v>
      </c>
      <c r="B844" s="7" t="s">
        <v>627</v>
      </c>
      <c r="C844" s="8">
        <v>469.0</v>
      </c>
      <c r="D844" s="8">
        <v>1499.0</v>
      </c>
      <c r="E844" s="9">
        <v>0.69</v>
      </c>
      <c r="F844" s="10">
        <v>4.1</v>
      </c>
      <c r="G844" s="10">
        <v>352.0</v>
      </c>
      <c r="K844" s="17">
        <v>4.1</v>
      </c>
    </row>
    <row r="845">
      <c r="A845" s="7" t="s">
        <v>905</v>
      </c>
      <c r="B845" s="7" t="s">
        <v>793</v>
      </c>
      <c r="C845" s="8">
        <v>1187.0</v>
      </c>
      <c r="D845" s="8">
        <v>1929.0</v>
      </c>
      <c r="E845" s="9">
        <v>0.38</v>
      </c>
      <c r="F845" s="10">
        <v>4.1</v>
      </c>
      <c r="G845" s="11">
        <v>1662.0</v>
      </c>
      <c r="K845" s="17">
        <v>4.1</v>
      </c>
    </row>
    <row r="846">
      <c r="A846" s="7" t="s">
        <v>906</v>
      </c>
      <c r="B846" s="7" t="s">
        <v>907</v>
      </c>
      <c r="C846" s="8">
        <v>849.0</v>
      </c>
      <c r="D846" s="8">
        <v>1499.0</v>
      </c>
      <c r="E846" s="9">
        <v>0.43</v>
      </c>
      <c r="F846" s="10">
        <v>4.0</v>
      </c>
      <c r="G846" s="11">
        <v>7352.0</v>
      </c>
      <c r="K846" s="17">
        <v>4.0</v>
      </c>
    </row>
    <row r="847">
      <c r="A847" s="7" t="s">
        <v>908</v>
      </c>
      <c r="B847" s="7" t="s">
        <v>625</v>
      </c>
      <c r="C847" s="8">
        <v>328.0</v>
      </c>
      <c r="D847" s="8">
        <v>399.0</v>
      </c>
      <c r="E847" s="9">
        <v>0.18</v>
      </c>
      <c r="F847" s="10">
        <v>4.1</v>
      </c>
      <c r="G847" s="11">
        <v>3441.0</v>
      </c>
      <c r="K847" s="17">
        <v>4.1</v>
      </c>
    </row>
    <row r="848">
      <c r="A848" s="7" t="s">
        <v>909</v>
      </c>
      <c r="B848" s="7" t="s">
        <v>631</v>
      </c>
      <c r="C848" s="8">
        <v>269.0</v>
      </c>
      <c r="D848" s="8">
        <v>699.0</v>
      </c>
      <c r="E848" s="9">
        <v>0.62</v>
      </c>
      <c r="F848" s="10">
        <v>4.0</v>
      </c>
      <c r="G848" s="10">
        <v>93.0</v>
      </c>
      <c r="K848" s="17">
        <v>4.0</v>
      </c>
    </row>
    <row r="849">
      <c r="A849" s="7" t="s">
        <v>910</v>
      </c>
      <c r="B849" s="7" t="s">
        <v>911</v>
      </c>
      <c r="C849" s="8">
        <v>299.0</v>
      </c>
      <c r="D849" s="8">
        <v>400.0</v>
      </c>
      <c r="E849" s="9">
        <v>0.25</v>
      </c>
      <c r="F849" s="10">
        <v>3.8</v>
      </c>
      <c r="G849" s="11">
        <v>40895.0</v>
      </c>
      <c r="K849" s="17">
        <v>3.8</v>
      </c>
    </row>
    <row r="850">
      <c r="A850" s="7" t="s">
        <v>912</v>
      </c>
      <c r="B850" s="7" t="s">
        <v>913</v>
      </c>
      <c r="C850" s="8">
        <v>549.0</v>
      </c>
      <c r="D850" s="8">
        <v>1499.0</v>
      </c>
      <c r="E850" s="9">
        <v>0.63</v>
      </c>
      <c r="F850" s="10">
        <v>4.3</v>
      </c>
      <c r="G850" s="11">
        <v>11006.0</v>
      </c>
      <c r="K850" s="17">
        <v>4.3</v>
      </c>
    </row>
    <row r="851">
      <c r="A851" s="7" t="s">
        <v>914</v>
      </c>
      <c r="B851" s="7" t="s">
        <v>732</v>
      </c>
      <c r="C851" s="8">
        <v>114.0</v>
      </c>
      <c r="D851" s="8">
        <v>120.0</v>
      </c>
      <c r="E851" s="9">
        <v>0.05</v>
      </c>
      <c r="F851" s="10">
        <v>4.2</v>
      </c>
      <c r="G851" s="11">
        <v>8938.0</v>
      </c>
      <c r="K851" s="17">
        <v>4.2</v>
      </c>
    </row>
    <row r="852">
      <c r="A852" s="7" t="s">
        <v>915</v>
      </c>
      <c r="B852" s="7" t="s">
        <v>916</v>
      </c>
      <c r="C852" s="8">
        <v>120.0</v>
      </c>
      <c r="D852" s="8">
        <v>120.0</v>
      </c>
      <c r="E852" s="9">
        <v>0.0</v>
      </c>
      <c r="F852" s="10">
        <v>4.1</v>
      </c>
      <c r="G852" s="11">
        <v>4308.0</v>
      </c>
      <c r="K852" s="17">
        <v>4.1</v>
      </c>
    </row>
    <row r="853">
      <c r="A853" s="7" t="s">
        <v>60</v>
      </c>
      <c r="B853" s="7" t="s">
        <v>15</v>
      </c>
      <c r="C853" s="8">
        <v>970.0</v>
      </c>
      <c r="D853" s="8">
        <v>1999.0</v>
      </c>
      <c r="E853" s="9">
        <v>0.51</v>
      </c>
      <c r="F853" s="10">
        <v>4.2</v>
      </c>
      <c r="G853" s="10">
        <v>462.0</v>
      </c>
      <c r="K853" s="17">
        <v>4.2</v>
      </c>
    </row>
    <row r="854">
      <c r="A854" s="7" t="s">
        <v>61</v>
      </c>
      <c r="B854" s="7" t="s">
        <v>15</v>
      </c>
      <c r="C854" s="8">
        <v>209.0</v>
      </c>
      <c r="D854" s="8">
        <v>695.0</v>
      </c>
      <c r="E854" s="9">
        <v>0.7</v>
      </c>
      <c r="F854" s="10">
        <v>4.5</v>
      </c>
      <c r="G854" s="7" t="s">
        <v>917</v>
      </c>
      <c r="K854" s="17">
        <v>4.5</v>
      </c>
    </row>
    <row r="855">
      <c r="A855" s="7" t="s">
        <v>918</v>
      </c>
      <c r="B855" s="7" t="s">
        <v>625</v>
      </c>
      <c r="C855" s="8">
        <v>1490.0</v>
      </c>
      <c r="D855" s="8">
        <v>2295.0</v>
      </c>
      <c r="E855" s="9">
        <v>0.35</v>
      </c>
      <c r="F855" s="10">
        <v>4.6</v>
      </c>
      <c r="G855" s="11">
        <v>10652.0</v>
      </c>
      <c r="K855" s="17">
        <v>4.6</v>
      </c>
    </row>
    <row r="856">
      <c r="A856" s="7" t="s">
        <v>919</v>
      </c>
      <c r="B856" s="7" t="s">
        <v>920</v>
      </c>
      <c r="C856" s="8">
        <v>99.0</v>
      </c>
      <c r="D856" s="8">
        <v>99.0</v>
      </c>
      <c r="E856" s="9">
        <v>0.0</v>
      </c>
      <c r="F856" s="10">
        <v>4.3</v>
      </c>
      <c r="G856" s="11">
        <v>5036.0</v>
      </c>
      <c r="K856" s="17">
        <v>4.3</v>
      </c>
    </row>
    <row r="857">
      <c r="A857" s="7" t="s">
        <v>921</v>
      </c>
      <c r="B857" s="7" t="s">
        <v>625</v>
      </c>
      <c r="C857" s="8">
        <v>149.0</v>
      </c>
      <c r="D857" s="8">
        <v>249.0</v>
      </c>
      <c r="E857" s="9">
        <v>0.4</v>
      </c>
      <c r="F857" s="10">
        <v>4.0</v>
      </c>
      <c r="G857" s="11">
        <v>5057.0</v>
      </c>
      <c r="K857" s="17">
        <v>4.0</v>
      </c>
    </row>
    <row r="858">
      <c r="A858" s="7" t="s">
        <v>922</v>
      </c>
      <c r="B858" s="7" t="s">
        <v>692</v>
      </c>
      <c r="C858" s="8">
        <v>575.0</v>
      </c>
      <c r="D858" s="8">
        <v>2799.0</v>
      </c>
      <c r="E858" s="9">
        <v>0.79</v>
      </c>
      <c r="F858" s="10">
        <v>4.2</v>
      </c>
      <c r="G858" s="11">
        <v>8537.0</v>
      </c>
      <c r="K858" s="17">
        <v>4.2</v>
      </c>
    </row>
    <row r="859">
      <c r="A859" s="7" t="s">
        <v>67</v>
      </c>
      <c r="B859" s="7" t="s">
        <v>15</v>
      </c>
      <c r="C859" s="8">
        <v>333.0</v>
      </c>
      <c r="D859" s="8">
        <v>999.0</v>
      </c>
      <c r="E859" s="9">
        <v>0.67</v>
      </c>
      <c r="F859" s="10">
        <v>3.3</v>
      </c>
      <c r="G859" s="11">
        <v>9792.0</v>
      </c>
      <c r="K859" s="17">
        <v>3.3</v>
      </c>
    </row>
    <row r="860">
      <c r="A860" s="7" t="s">
        <v>923</v>
      </c>
      <c r="B860" s="7" t="s">
        <v>822</v>
      </c>
      <c r="C860" s="8">
        <v>178.0</v>
      </c>
      <c r="D860" s="8">
        <v>210.0</v>
      </c>
      <c r="E860" s="9">
        <v>0.15</v>
      </c>
      <c r="F860" s="10">
        <v>4.3</v>
      </c>
      <c r="G860" s="11">
        <v>2450.0</v>
      </c>
      <c r="K860" s="17">
        <v>4.3</v>
      </c>
    </row>
    <row r="861">
      <c r="A861" s="7" t="s">
        <v>924</v>
      </c>
      <c r="B861" s="7" t="s">
        <v>393</v>
      </c>
      <c r="C861" s="8">
        <v>1599.0</v>
      </c>
      <c r="D861" s="8">
        <v>3490.0</v>
      </c>
      <c r="E861" s="9">
        <v>0.54</v>
      </c>
      <c r="F861" s="10">
        <v>3.7</v>
      </c>
      <c r="G861" s="10">
        <v>676.0</v>
      </c>
      <c r="K861" s="17">
        <v>3.7</v>
      </c>
    </row>
    <row r="862">
      <c r="A862" s="7" t="s">
        <v>925</v>
      </c>
      <c r="B862" s="7" t="s">
        <v>393</v>
      </c>
      <c r="C862" s="8">
        <v>499.0</v>
      </c>
      <c r="D862" s="8">
        <v>1299.0</v>
      </c>
      <c r="E862" s="9">
        <v>0.62</v>
      </c>
      <c r="F862" s="10">
        <v>3.9</v>
      </c>
      <c r="G862" s="11">
        <v>1173.0</v>
      </c>
      <c r="K862" s="17">
        <v>3.9</v>
      </c>
    </row>
    <row r="863">
      <c r="A863" s="7" t="s">
        <v>926</v>
      </c>
      <c r="B863" s="7" t="s">
        <v>696</v>
      </c>
      <c r="C863" s="8">
        <v>199.0</v>
      </c>
      <c r="D863" s="8">
        <v>499.0</v>
      </c>
      <c r="E863" s="9">
        <v>0.6</v>
      </c>
      <c r="F863" s="10">
        <v>4.3</v>
      </c>
      <c r="G863" s="11">
        <v>9998.0</v>
      </c>
      <c r="K863" s="17">
        <v>4.3</v>
      </c>
    </row>
    <row r="864">
      <c r="A864" s="7" t="s">
        <v>927</v>
      </c>
      <c r="B864" s="7" t="s">
        <v>373</v>
      </c>
      <c r="C864" s="8">
        <v>2499.0</v>
      </c>
      <c r="D864" s="8">
        <v>5999.0</v>
      </c>
      <c r="E864" s="9">
        <v>0.58</v>
      </c>
      <c r="F864" s="10">
        <v>4.1</v>
      </c>
      <c r="G864" s="11">
        <v>5852.0</v>
      </c>
      <c r="K864" s="17">
        <v>4.1</v>
      </c>
    </row>
    <row r="865">
      <c r="A865" s="7" t="s">
        <v>928</v>
      </c>
      <c r="B865" s="7" t="s">
        <v>929</v>
      </c>
      <c r="C865" s="8">
        <v>199.0</v>
      </c>
      <c r="D865" s="8">
        <v>999.0</v>
      </c>
      <c r="E865" s="9">
        <v>0.8</v>
      </c>
      <c r="F865" s="10">
        <v>4.2</v>
      </c>
      <c r="G865" s="10">
        <v>362.0</v>
      </c>
      <c r="K865" s="17">
        <v>4.2</v>
      </c>
    </row>
    <row r="866">
      <c r="A866" s="7" t="s">
        <v>930</v>
      </c>
      <c r="B866" s="7" t="s">
        <v>386</v>
      </c>
      <c r="C866" s="8">
        <v>939.0</v>
      </c>
      <c r="D866" s="8">
        <v>1800.0</v>
      </c>
      <c r="E866" s="9">
        <v>0.48</v>
      </c>
      <c r="F866" s="10">
        <v>4.5</v>
      </c>
      <c r="G866" s="7" t="s">
        <v>931</v>
      </c>
      <c r="K866" s="17">
        <v>4.5</v>
      </c>
    </row>
    <row r="867">
      <c r="A867" s="7" t="s">
        <v>932</v>
      </c>
      <c r="B867" s="7" t="s">
        <v>373</v>
      </c>
      <c r="C867" s="8">
        <v>2499.0</v>
      </c>
      <c r="D867" s="8">
        <v>9999.0</v>
      </c>
      <c r="E867" s="9">
        <v>0.75</v>
      </c>
      <c r="F867" s="10">
        <v>4.0</v>
      </c>
      <c r="G867" s="11">
        <v>9090.0</v>
      </c>
      <c r="K867" s="17">
        <v>4.0</v>
      </c>
    </row>
    <row r="868">
      <c r="A868" s="7" t="s">
        <v>933</v>
      </c>
      <c r="B868" s="7" t="s">
        <v>625</v>
      </c>
      <c r="C868" s="8">
        <v>1439.0</v>
      </c>
      <c r="D868" s="8">
        <v>2890.0</v>
      </c>
      <c r="E868" s="9">
        <v>0.5</v>
      </c>
      <c r="F868" s="10">
        <v>4.5</v>
      </c>
      <c r="G868" s="11">
        <v>4099.0</v>
      </c>
      <c r="K868" s="17">
        <v>4.5</v>
      </c>
    </row>
    <row r="869">
      <c r="A869" s="7" t="s">
        <v>934</v>
      </c>
      <c r="B869" s="7" t="s">
        <v>393</v>
      </c>
      <c r="C869" s="8">
        <v>1099.0</v>
      </c>
      <c r="D869" s="8">
        <v>5999.0</v>
      </c>
      <c r="E869" s="9">
        <v>0.82</v>
      </c>
      <c r="F869" s="10">
        <v>3.5</v>
      </c>
      <c r="G869" s="11">
        <v>12966.0</v>
      </c>
      <c r="K869" s="17">
        <v>3.5</v>
      </c>
    </row>
    <row r="870">
      <c r="A870" s="7" t="s">
        <v>935</v>
      </c>
      <c r="B870" s="7" t="s">
        <v>732</v>
      </c>
      <c r="C870" s="8">
        <v>157.0</v>
      </c>
      <c r="D870" s="8">
        <v>160.0</v>
      </c>
      <c r="E870" s="9">
        <v>0.02</v>
      </c>
      <c r="F870" s="10">
        <v>4.5</v>
      </c>
      <c r="G870" s="11">
        <v>4428.0</v>
      </c>
      <c r="K870" s="17">
        <v>4.5</v>
      </c>
    </row>
    <row r="871">
      <c r="A871" s="7" t="s">
        <v>65</v>
      </c>
      <c r="B871" s="7" t="s">
        <v>25</v>
      </c>
      <c r="C871" s="8">
        <v>999.0</v>
      </c>
      <c r="D871" s="8">
        <v>1599.0</v>
      </c>
      <c r="E871" s="9">
        <v>0.38</v>
      </c>
      <c r="F871" s="10">
        <v>4.3</v>
      </c>
      <c r="G871" s="11">
        <v>12093.0</v>
      </c>
      <c r="K871" s="17">
        <v>4.3</v>
      </c>
    </row>
    <row r="872">
      <c r="A872" s="7" t="s">
        <v>936</v>
      </c>
      <c r="B872" s="7" t="s">
        <v>685</v>
      </c>
      <c r="C872" s="8">
        <v>115.0</v>
      </c>
      <c r="D872" s="8">
        <v>999.0</v>
      </c>
      <c r="E872" s="9">
        <v>0.88</v>
      </c>
      <c r="F872" s="10">
        <v>3.3</v>
      </c>
      <c r="G872" s="11">
        <v>5692.0</v>
      </c>
      <c r="K872" s="17">
        <v>3.3</v>
      </c>
    </row>
    <row r="873">
      <c r="A873" s="7" t="s">
        <v>937</v>
      </c>
      <c r="B873" s="7" t="s">
        <v>627</v>
      </c>
      <c r="C873" s="8">
        <v>175.0</v>
      </c>
      <c r="D873" s="8">
        <v>499.0</v>
      </c>
      <c r="E873" s="9">
        <v>0.65</v>
      </c>
      <c r="F873" s="10">
        <v>4.1</v>
      </c>
      <c r="G873" s="10">
        <v>21.0</v>
      </c>
      <c r="K873" s="17">
        <v>4.1</v>
      </c>
    </row>
    <row r="874">
      <c r="A874" s="7" t="s">
        <v>938</v>
      </c>
      <c r="B874" s="7" t="s">
        <v>769</v>
      </c>
      <c r="C874" s="8">
        <v>1999.0</v>
      </c>
      <c r="D874" s="8">
        <v>4700.0</v>
      </c>
      <c r="E874" s="9">
        <v>0.57</v>
      </c>
      <c r="F874" s="10">
        <v>3.8</v>
      </c>
      <c r="G874" s="11">
        <v>1880.0</v>
      </c>
      <c r="K874" s="17">
        <v>3.8</v>
      </c>
    </row>
    <row r="875">
      <c r="A875" s="7" t="s">
        <v>939</v>
      </c>
      <c r="B875" s="7" t="s">
        <v>940</v>
      </c>
      <c r="C875" s="8">
        <v>3999.0</v>
      </c>
      <c r="D875" s="8">
        <v>4332.96</v>
      </c>
      <c r="E875" s="9">
        <v>0.08</v>
      </c>
      <c r="F875" s="10">
        <v>3.5</v>
      </c>
      <c r="G875" s="11">
        <v>21762.0</v>
      </c>
      <c r="K875" s="17">
        <v>3.5</v>
      </c>
    </row>
    <row r="876">
      <c r="A876" s="7" t="s">
        <v>941</v>
      </c>
      <c r="B876" s="7" t="s">
        <v>709</v>
      </c>
      <c r="C876" s="8">
        <v>899.0</v>
      </c>
      <c r="D876" s="8">
        <v>1800.0</v>
      </c>
      <c r="E876" s="9">
        <v>0.5</v>
      </c>
      <c r="F876" s="10">
        <v>4.1</v>
      </c>
      <c r="G876" s="11">
        <v>22375.0</v>
      </c>
      <c r="K876" s="17">
        <v>4.1</v>
      </c>
    </row>
    <row r="877">
      <c r="A877" s="7" t="s">
        <v>942</v>
      </c>
      <c r="B877" s="7" t="s">
        <v>696</v>
      </c>
      <c r="C877" s="8">
        <v>299.0</v>
      </c>
      <c r="D877" s="8">
        <v>990.0</v>
      </c>
      <c r="E877" s="9">
        <v>0.7</v>
      </c>
      <c r="F877" s="10">
        <v>4.5</v>
      </c>
      <c r="G877" s="11">
        <v>2453.0</v>
      </c>
      <c r="K877" s="17">
        <v>4.5</v>
      </c>
    </row>
    <row r="878">
      <c r="A878" s="7" t="s">
        <v>943</v>
      </c>
      <c r="B878" s="7" t="s">
        <v>627</v>
      </c>
      <c r="C878" s="8">
        <v>3303.0</v>
      </c>
      <c r="D878" s="8">
        <v>4699.0</v>
      </c>
      <c r="E878" s="9">
        <v>0.3</v>
      </c>
      <c r="F878" s="10">
        <v>4.4</v>
      </c>
      <c r="G878" s="11">
        <v>13544.0</v>
      </c>
      <c r="K878" s="17">
        <v>4.4</v>
      </c>
    </row>
    <row r="879">
      <c r="A879" s="7" t="s">
        <v>944</v>
      </c>
      <c r="B879" s="7" t="s">
        <v>854</v>
      </c>
      <c r="C879" s="8">
        <v>1890.0</v>
      </c>
      <c r="D879" s="8">
        <v>5490.0</v>
      </c>
      <c r="E879" s="9">
        <v>0.66</v>
      </c>
      <c r="F879" s="10">
        <v>4.1</v>
      </c>
      <c r="G879" s="11">
        <v>10976.0</v>
      </c>
      <c r="K879" s="17">
        <v>4.1</v>
      </c>
    </row>
    <row r="880">
      <c r="A880" s="7" t="s">
        <v>945</v>
      </c>
      <c r="B880" s="7" t="s">
        <v>811</v>
      </c>
      <c r="C880" s="8">
        <v>90.0</v>
      </c>
      <c r="D880" s="8">
        <v>100.0</v>
      </c>
      <c r="E880" s="9">
        <v>0.1</v>
      </c>
      <c r="F880" s="10">
        <v>4.3</v>
      </c>
      <c r="G880" s="11">
        <v>3061.0</v>
      </c>
      <c r="K880" s="17">
        <v>4.3</v>
      </c>
    </row>
    <row r="881">
      <c r="A881" s="7" t="s">
        <v>946</v>
      </c>
      <c r="B881" s="7" t="s">
        <v>393</v>
      </c>
      <c r="C881" s="8">
        <v>1599.0</v>
      </c>
      <c r="D881" s="8">
        <v>2790.0</v>
      </c>
      <c r="E881" s="9">
        <v>0.43</v>
      </c>
      <c r="F881" s="10">
        <v>3.6</v>
      </c>
      <c r="G881" s="11">
        <v>2272.0</v>
      </c>
      <c r="K881" s="17">
        <v>3.6</v>
      </c>
    </row>
    <row r="882">
      <c r="A882" s="7" t="s">
        <v>947</v>
      </c>
      <c r="B882" s="7" t="s">
        <v>858</v>
      </c>
      <c r="C882" s="8">
        <v>599.0</v>
      </c>
      <c r="D882" s="8">
        <v>999.0</v>
      </c>
      <c r="E882" s="9">
        <v>0.4</v>
      </c>
      <c r="F882" s="10">
        <v>4.0</v>
      </c>
      <c r="G882" s="11">
        <v>7601.0</v>
      </c>
      <c r="K882" s="17">
        <v>4.0</v>
      </c>
    </row>
    <row r="883">
      <c r="A883" s="7" t="s">
        <v>68</v>
      </c>
      <c r="B883" s="7" t="s">
        <v>25</v>
      </c>
      <c r="C883" s="8">
        <v>507.0</v>
      </c>
      <c r="D883" s="8">
        <v>1208.0</v>
      </c>
      <c r="E883" s="9">
        <v>0.58</v>
      </c>
      <c r="F883" s="10">
        <v>4.1</v>
      </c>
      <c r="G883" s="11">
        <v>8131.0</v>
      </c>
      <c r="K883" s="17">
        <v>4.1</v>
      </c>
    </row>
    <row r="884">
      <c r="A884" s="7" t="s">
        <v>948</v>
      </c>
      <c r="B884" s="7" t="s">
        <v>696</v>
      </c>
      <c r="C884" s="8">
        <v>425.0</v>
      </c>
      <c r="D884" s="8">
        <v>899.0</v>
      </c>
      <c r="E884" s="9">
        <v>0.53</v>
      </c>
      <c r="F884" s="10">
        <v>4.5</v>
      </c>
      <c r="G884" s="11">
        <v>4219.0</v>
      </c>
      <c r="K884" s="17">
        <v>4.5</v>
      </c>
    </row>
    <row r="885">
      <c r="A885" s="7" t="s">
        <v>949</v>
      </c>
      <c r="B885" s="7" t="s">
        <v>572</v>
      </c>
      <c r="C885" s="8">
        <v>1499.0</v>
      </c>
      <c r="D885" s="8">
        <v>3999.0</v>
      </c>
      <c r="E885" s="9">
        <v>0.63</v>
      </c>
      <c r="F885" s="10">
        <v>4.2</v>
      </c>
      <c r="G885" s="11">
        <v>42775.0</v>
      </c>
      <c r="K885" s="17">
        <v>4.2</v>
      </c>
    </row>
    <row r="886">
      <c r="A886" s="7" t="s">
        <v>950</v>
      </c>
      <c r="B886" s="7" t="s">
        <v>913</v>
      </c>
      <c r="C886" s="8">
        <v>549.0</v>
      </c>
      <c r="D886" s="8">
        <v>2499.0</v>
      </c>
      <c r="E886" s="9">
        <v>0.78</v>
      </c>
      <c r="F886" s="10">
        <v>4.3</v>
      </c>
      <c r="G886" s="11">
        <v>5556.0</v>
      </c>
      <c r="K886" s="17">
        <v>4.3</v>
      </c>
    </row>
    <row r="887">
      <c r="A887" s="7" t="s">
        <v>72</v>
      </c>
      <c r="B887" s="7" t="s">
        <v>15</v>
      </c>
      <c r="C887" s="8">
        <v>199.0</v>
      </c>
      <c r="D887" s="8">
        <v>395.0</v>
      </c>
      <c r="E887" s="9">
        <v>0.5</v>
      </c>
      <c r="F887" s="10">
        <v>4.2</v>
      </c>
      <c r="G887" s="11">
        <v>92595.0</v>
      </c>
      <c r="K887" s="17">
        <v>4.2</v>
      </c>
    </row>
    <row r="888">
      <c r="A888" s="7" t="s">
        <v>951</v>
      </c>
      <c r="B888" s="7" t="s">
        <v>625</v>
      </c>
      <c r="C888" s="8">
        <v>1295.0</v>
      </c>
      <c r="D888" s="8">
        <v>1645.0</v>
      </c>
      <c r="E888" s="9">
        <v>0.21</v>
      </c>
      <c r="F888" s="10">
        <v>4.6</v>
      </c>
      <c r="G888" s="11">
        <v>12375.0</v>
      </c>
      <c r="K888" s="17">
        <v>4.6</v>
      </c>
    </row>
    <row r="889">
      <c r="A889" s="7" t="s">
        <v>952</v>
      </c>
      <c r="B889" s="7" t="s">
        <v>694</v>
      </c>
      <c r="C889" s="8">
        <v>310.0</v>
      </c>
      <c r="D889" s="8">
        <v>310.0</v>
      </c>
      <c r="E889" s="9">
        <v>0.0</v>
      </c>
      <c r="F889" s="10">
        <v>4.5</v>
      </c>
      <c r="G889" s="11">
        <v>5882.0</v>
      </c>
      <c r="K889" s="17">
        <v>4.5</v>
      </c>
    </row>
    <row r="890">
      <c r="A890" s="7" t="s">
        <v>575</v>
      </c>
      <c r="B890" s="7" t="s">
        <v>576</v>
      </c>
      <c r="C890" s="8">
        <v>149.0</v>
      </c>
      <c r="D890" s="8">
        <v>149.0</v>
      </c>
      <c r="E890" s="9">
        <v>0.0</v>
      </c>
      <c r="F890" s="10">
        <v>4.3</v>
      </c>
      <c r="G890" s="11">
        <v>10833.0</v>
      </c>
      <c r="K890" s="17">
        <v>4.3</v>
      </c>
    </row>
    <row r="891">
      <c r="A891" s="7" t="s">
        <v>953</v>
      </c>
      <c r="B891" s="7" t="s">
        <v>660</v>
      </c>
      <c r="C891" s="8">
        <v>1149.0</v>
      </c>
      <c r="D891" s="8">
        <v>1499.0</v>
      </c>
      <c r="E891" s="9">
        <v>0.23</v>
      </c>
      <c r="F891" s="10">
        <v>4.1</v>
      </c>
      <c r="G891" s="11">
        <v>10443.0</v>
      </c>
      <c r="K891" s="17">
        <v>4.1</v>
      </c>
    </row>
    <row r="892">
      <c r="A892" s="7" t="s">
        <v>954</v>
      </c>
      <c r="B892" s="7" t="s">
        <v>631</v>
      </c>
      <c r="C892" s="8">
        <v>499.0</v>
      </c>
      <c r="D892" s="8">
        <v>1299.0</v>
      </c>
      <c r="E892" s="9">
        <v>0.62</v>
      </c>
      <c r="F892" s="10">
        <v>4.5</v>
      </c>
      <c r="G892" s="10">
        <v>434.0</v>
      </c>
      <c r="K892" s="17">
        <v>4.5</v>
      </c>
    </row>
    <row r="893">
      <c r="A893" s="7" t="s">
        <v>955</v>
      </c>
      <c r="B893" s="7" t="s">
        <v>393</v>
      </c>
      <c r="C893" s="8">
        <v>999.0</v>
      </c>
      <c r="D893" s="8">
        <v>4199.0</v>
      </c>
      <c r="E893" s="9">
        <v>0.76</v>
      </c>
      <c r="F893" s="10">
        <v>3.5</v>
      </c>
      <c r="G893" s="11">
        <v>1913.0</v>
      </c>
      <c r="K893" s="17">
        <v>3.5</v>
      </c>
    </row>
    <row r="894">
      <c r="A894" s="7" t="s">
        <v>956</v>
      </c>
      <c r="B894" s="7" t="s">
        <v>875</v>
      </c>
      <c r="C894" s="8">
        <v>1709.0</v>
      </c>
      <c r="D894" s="8">
        <v>4000.0</v>
      </c>
      <c r="E894" s="9">
        <v>0.57</v>
      </c>
      <c r="F894" s="10">
        <v>4.4</v>
      </c>
      <c r="G894" s="11">
        <v>3029.0</v>
      </c>
      <c r="K894" s="17">
        <v>4.4</v>
      </c>
    </row>
    <row r="895">
      <c r="A895" s="7" t="s">
        <v>957</v>
      </c>
      <c r="B895" s="7" t="s">
        <v>654</v>
      </c>
      <c r="C895" s="8">
        <v>250.0</v>
      </c>
      <c r="D895" s="8">
        <v>250.0</v>
      </c>
      <c r="E895" s="9">
        <v>0.0</v>
      </c>
      <c r="F895" s="10">
        <v>4.2</v>
      </c>
      <c r="G895" s="11">
        <v>2628.0</v>
      </c>
      <c r="K895" s="17">
        <v>4.2</v>
      </c>
    </row>
    <row r="896">
      <c r="A896" s="7" t="s">
        <v>73</v>
      </c>
      <c r="B896" s="7" t="s">
        <v>25</v>
      </c>
      <c r="C896" s="8">
        <v>1199.0</v>
      </c>
      <c r="D896" s="8">
        <v>2199.0</v>
      </c>
      <c r="E896" s="9">
        <v>0.45</v>
      </c>
      <c r="F896" s="10">
        <v>4.4</v>
      </c>
      <c r="G896" s="11">
        <v>24780.0</v>
      </c>
      <c r="K896" s="17">
        <v>4.4</v>
      </c>
    </row>
    <row r="897">
      <c r="A897" s="7" t="s">
        <v>958</v>
      </c>
      <c r="B897" s="7" t="s">
        <v>959</v>
      </c>
      <c r="C897" s="8">
        <v>90.0</v>
      </c>
      <c r="D897" s="8">
        <v>100.0</v>
      </c>
      <c r="E897" s="9">
        <v>0.1</v>
      </c>
      <c r="F897" s="10">
        <v>4.4</v>
      </c>
      <c r="G897" s="11">
        <v>10718.0</v>
      </c>
      <c r="K897" s="17">
        <v>4.4</v>
      </c>
    </row>
    <row r="898">
      <c r="A898" s="7" t="s">
        <v>960</v>
      </c>
      <c r="B898" s="7" t="s">
        <v>502</v>
      </c>
      <c r="C898" s="8">
        <v>2025.0</v>
      </c>
      <c r="D898" s="8">
        <v>5999.0</v>
      </c>
      <c r="E898" s="9">
        <v>0.66</v>
      </c>
      <c r="F898" s="10">
        <v>4.2</v>
      </c>
      <c r="G898" s="11">
        <v>6233.0</v>
      </c>
      <c r="K898" s="17">
        <v>4.2</v>
      </c>
    </row>
    <row r="899">
      <c r="A899" s="7" t="s">
        <v>961</v>
      </c>
      <c r="B899" s="7" t="s">
        <v>692</v>
      </c>
      <c r="C899" s="8">
        <v>1495.0</v>
      </c>
      <c r="D899" s="8">
        <v>1995.0</v>
      </c>
      <c r="E899" s="9">
        <v>0.25</v>
      </c>
      <c r="F899" s="10">
        <v>4.5</v>
      </c>
      <c r="G899" s="11">
        <v>10541.0</v>
      </c>
      <c r="K899" s="17">
        <v>4.5</v>
      </c>
    </row>
    <row r="900">
      <c r="A900" s="7" t="s">
        <v>75</v>
      </c>
      <c r="B900" s="7" t="s">
        <v>15</v>
      </c>
      <c r="C900" s="8">
        <v>799.0</v>
      </c>
      <c r="D900" s="8">
        <v>2100.0</v>
      </c>
      <c r="E900" s="9">
        <v>0.62</v>
      </c>
      <c r="F900" s="10">
        <v>4.3</v>
      </c>
      <c r="G900" s="11">
        <v>8188.0</v>
      </c>
      <c r="K900" s="17">
        <v>4.3</v>
      </c>
    </row>
    <row r="901">
      <c r="A901" s="7" t="s">
        <v>962</v>
      </c>
      <c r="B901" s="7" t="s">
        <v>719</v>
      </c>
      <c r="C901" s="8">
        <v>899.0</v>
      </c>
      <c r="D901" s="8">
        <v>1199.0</v>
      </c>
      <c r="E901" s="9">
        <v>0.25</v>
      </c>
      <c r="F901" s="10">
        <v>3.8</v>
      </c>
      <c r="G901" s="11">
        <v>10751.0</v>
      </c>
      <c r="K901" s="17">
        <v>3.8</v>
      </c>
    </row>
    <row r="902">
      <c r="A902" s="7" t="s">
        <v>963</v>
      </c>
      <c r="B902" s="7" t="s">
        <v>964</v>
      </c>
      <c r="C902" s="8">
        <v>349.0</v>
      </c>
      <c r="D902" s="8">
        <v>999.0</v>
      </c>
      <c r="E902" s="9">
        <v>0.65</v>
      </c>
      <c r="F902" s="10">
        <v>3.9</v>
      </c>
      <c r="G902" s="10">
        <v>817.0</v>
      </c>
      <c r="K902" s="17">
        <v>3.9</v>
      </c>
    </row>
    <row r="903">
      <c r="A903" s="7" t="s">
        <v>965</v>
      </c>
      <c r="B903" s="7" t="s">
        <v>377</v>
      </c>
      <c r="C903" s="8">
        <v>900.0</v>
      </c>
      <c r="D903" s="8">
        <v>2499.0</v>
      </c>
      <c r="E903" s="9">
        <v>0.64</v>
      </c>
      <c r="F903" s="10">
        <v>4.0</v>
      </c>
      <c r="G903" s="11">
        <v>36384.0</v>
      </c>
      <c r="K903" s="17">
        <v>4.0</v>
      </c>
    </row>
    <row r="904">
      <c r="A904" s="7" t="s">
        <v>966</v>
      </c>
      <c r="B904" s="7" t="s">
        <v>769</v>
      </c>
      <c r="C904" s="8">
        <v>2490.0</v>
      </c>
      <c r="D904" s="8">
        <v>3990.0</v>
      </c>
      <c r="E904" s="9">
        <v>0.38</v>
      </c>
      <c r="F904" s="10">
        <v>4.1</v>
      </c>
      <c r="G904" s="11">
        <v>3606.0</v>
      </c>
      <c r="K904" s="17">
        <v>4.1</v>
      </c>
    </row>
    <row r="905">
      <c r="A905" s="7" t="s">
        <v>967</v>
      </c>
      <c r="B905" s="7" t="s">
        <v>721</v>
      </c>
      <c r="C905" s="8">
        <v>116.0</v>
      </c>
      <c r="D905" s="8">
        <v>200.0</v>
      </c>
      <c r="E905" s="9">
        <v>0.42</v>
      </c>
      <c r="F905" s="10">
        <v>4.4</v>
      </c>
      <c r="G905" s="10">
        <v>357.0</v>
      </c>
      <c r="K905" s="17">
        <v>4.4</v>
      </c>
    </row>
    <row r="906">
      <c r="A906" s="7" t="s">
        <v>968</v>
      </c>
      <c r="B906" s="7" t="s">
        <v>694</v>
      </c>
      <c r="C906" s="8">
        <v>200.0</v>
      </c>
      <c r="D906" s="8">
        <v>230.0</v>
      </c>
      <c r="E906" s="9">
        <v>0.13</v>
      </c>
      <c r="F906" s="10">
        <v>4.4</v>
      </c>
      <c r="G906" s="11">
        <v>10170.0</v>
      </c>
      <c r="K906" s="17">
        <v>4.4</v>
      </c>
    </row>
    <row r="907">
      <c r="A907" s="7" t="s">
        <v>969</v>
      </c>
      <c r="B907" s="7" t="s">
        <v>895</v>
      </c>
      <c r="C907" s="8">
        <v>1249.0</v>
      </c>
      <c r="D907" s="8">
        <v>2796.0</v>
      </c>
      <c r="E907" s="9">
        <v>0.55</v>
      </c>
      <c r="F907" s="10">
        <v>4.4</v>
      </c>
      <c r="G907" s="11">
        <v>4598.0</v>
      </c>
      <c r="K907" s="17">
        <v>4.4</v>
      </c>
    </row>
    <row r="908">
      <c r="A908" s="7" t="s">
        <v>970</v>
      </c>
      <c r="B908" s="7" t="s">
        <v>971</v>
      </c>
      <c r="C908" s="8">
        <v>649.0</v>
      </c>
      <c r="D908" s="8">
        <v>999.0</v>
      </c>
      <c r="E908" s="9">
        <v>0.35</v>
      </c>
      <c r="F908" s="10">
        <v>3.5</v>
      </c>
      <c r="G908" s="11">
        <v>7222.0</v>
      </c>
      <c r="K908" s="17">
        <v>3.5</v>
      </c>
    </row>
    <row r="909">
      <c r="A909" s="7" t="s">
        <v>972</v>
      </c>
      <c r="B909" s="7" t="s">
        <v>973</v>
      </c>
      <c r="C909" s="8">
        <v>2649.0</v>
      </c>
      <c r="D909" s="8">
        <v>3499.0</v>
      </c>
      <c r="E909" s="9">
        <v>0.24</v>
      </c>
      <c r="F909" s="10">
        <v>4.5</v>
      </c>
      <c r="G909" s="11">
        <v>1271.0</v>
      </c>
      <c r="K909" s="17">
        <v>4.5</v>
      </c>
    </row>
    <row r="910">
      <c r="A910" s="7" t="s">
        <v>78</v>
      </c>
      <c r="B910" s="7" t="s">
        <v>15</v>
      </c>
      <c r="C910" s="8">
        <v>199.0</v>
      </c>
      <c r="D910" s="8">
        <v>349.0</v>
      </c>
      <c r="E910" s="9">
        <v>0.43</v>
      </c>
      <c r="F910" s="10">
        <v>4.1</v>
      </c>
      <c r="G910" s="10">
        <v>314.0</v>
      </c>
      <c r="K910" s="17">
        <v>4.1</v>
      </c>
    </row>
    <row r="911">
      <c r="A911" s="7" t="s">
        <v>974</v>
      </c>
      <c r="B911" s="7" t="s">
        <v>683</v>
      </c>
      <c r="C911" s="8">
        <v>596.0</v>
      </c>
      <c r="D911" s="8">
        <v>723.0</v>
      </c>
      <c r="E911" s="9">
        <v>0.18</v>
      </c>
      <c r="F911" s="10">
        <v>4.4</v>
      </c>
      <c r="G911" s="11">
        <v>3219.0</v>
      </c>
      <c r="K911" s="17">
        <v>4.4</v>
      </c>
    </row>
    <row r="912">
      <c r="A912" s="7" t="s">
        <v>975</v>
      </c>
      <c r="B912" s="7" t="s">
        <v>373</v>
      </c>
      <c r="C912" s="8">
        <v>2499.0</v>
      </c>
      <c r="D912" s="8">
        <v>5999.0</v>
      </c>
      <c r="E912" s="9">
        <v>0.58</v>
      </c>
      <c r="F912" s="10">
        <v>4.1</v>
      </c>
      <c r="G912" s="11">
        <v>38879.0</v>
      </c>
      <c r="K912" s="17">
        <v>4.1</v>
      </c>
    </row>
    <row r="913">
      <c r="A913" s="7" t="s">
        <v>976</v>
      </c>
      <c r="B913" s="7" t="s">
        <v>977</v>
      </c>
      <c r="C913" s="8">
        <v>4999.0</v>
      </c>
      <c r="D913" s="8">
        <v>12499.0</v>
      </c>
      <c r="E913" s="9">
        <v>0.6</v>
      </c>
      <c r="F913" s="10">
        <v>4.2</v>
      </c>
      <c r="G913" s="11">
        <v>4541.0</v>
      </c>
      <c r="K913" s="17">
        <v>4.2</v>
      </c>
    </row>
    <row r="914">
      <c r="A914" s="7" t="s">
        <v>978</v>
      </c>
      <c r="B914" s="7" t="s">
        <v>393</v>
      </c>
      <c r="C914" s="8">
        <v>399.0</v>
      </c>
      <c r="D914" s="8">
        <v>1290.0</v>
      </c>
      <c r="E914" s="9">
        <v>0.69</v>
      </c>
      <c r="F914" s="10">
        <v>4.2</v>
      </c>
      <c r="G914" s="11">
        <v>76042.0</v>
      </c>
      <c r="K914" s="17">
        <v>4.2</v>
      </c>
    </row>
    <row r="915">
      <c r="A915" s="7" t="s">
        <v>979</v>
      </c>
      <c r="B915" s="7" t="s">
        <v>721</v>
      </c>
      <c r="C915" s="8">
        <v>116.0</v>
      </c>
      <c r="D915" s="8">
        <v>200.0</v>
      </c>
      <c r="E915" s="9">
        <v>0.42</v>
      </c>
      <c r="F915" s="10">
        <v>4.3</v>
      </c>
      <c r="G915" s="10">
        <v>485.0</v>
      </c>
      <c r="K915" s="17">
        <v>4.3</v>
      </c>
    </row>
    <row r="916">
      <c r="A916" s="7" t="s">
        <v>980</v>
      </c>
      <c r="B916" s="7" t="s">
        <v>769</v>
      </c>
      <c r="C916" s="8">
        <v>4499.0</v>
      </c>
      <c r="D916" s="8">
        <v>5999.0</v>
      </c>
      <c r="E916" s="9">
        <v>0.25</v>
      </c>
      <c r="F916" s="10">
        <v>4.3</v>
      </c>
      <c r="G916" s="11">
        <v>44696.0</v>
      </c>
      <c r="K916" s="17">
        <v>4.3</v>
      </c>
    </row>
    <row r="917">
      <c r="A917" s="7" t="s">
        <v>981</v>
      </c>
      <c r="B917" s="7" t="s">
        <v>793</v>
      </c>
      <c r="C917" s="8">
        <v>330.0</v>
      </c>
      <c r="D917" s="8">
        <v>499.0</v>
      </c>
      <c r="E917" s="9">
        <v>0.34</v>
      </c>
      <c r="F917" s="10">
        <v>3.7</v>
      </c>
      <c r="G917" s="11">
        <v>8566.0</v>
      </c>
      <c r="K917" s="17">
        <v>3.7</v>
      </c>
    </row>
    <row r="918">
      <c r="A918" s="7" t="s">
        <v>982</v>
      </c>
      <c r="B918" s="7" t="s">
        <v>711</v>
      </c>
      <c r="C918" s="8">
        <v>649.0</v>
      </c>
      <c r="D918" s="8">
        <v>2499.0</v>
      </c>
      <c r="E918" s="9">
        <v>0.74</v>
      </c>
      <c r="F918" s="10">
        <v>3.9</v>
      </c>
      <c r="G918" s="11">
        <v>13049.0</v>
      </c>
      <c r="K918" s="17">
        <v>3.9</v>
      </c>
    </row>
    <row r="919">
      <c r="A919" s="7" t="s">
        <v>983</v>
      </c>
      <c r="B919" s="7" t="s">
        <v>779</v>
      </c>
      <c r="C919" s="8">
        <v>1234.0</v>
      </c>
      <c r="D919" s="8">
        <v>1599.0</v>
      </c>
      <c r="E919" s="9">
        <v>0.23</v>
      </c>
      <c r="F919" s="10">
        <v>4.5</v>
      </c>
      <c r="G919" s="11">
        <v>16680.0</v>
      </c>
      <c r="K919" s="17">
        <v>4.5</v>
      </c>
    </row>
    <row r="920">
      <c r="A920" s="7" t="s">
        <v>571</v>
      </c>
      <c r="B920" s="7" t="s">
        <v>572</v>
      </c>
      <c r="C920" s="8">
        <v>1399.0</v>
      </c>
      <c r="D920" s="8">
        <v>2990.0</v>
      </c>
      <c r="E920" s="9">
        <v>0.53</v>
      </c>
      <c r="F920" s="10">
        <v>4.1</v>
      </c>
      <c r="G920" s="11">
        <v>97174.0</v>
      </c>
      <c r="K920" s="17">
        <v>4.1</v>
      </c>
    </row>
    <row r="921">
      <c r="A921" s="7" t="s">
        <v>984</v>
      </c>
      <c r="B921" s="7" t="s">
        <v>916</v>
      </c>
      <c r="C921" s="8">
        <v>272.0</v>
      </c>
      <c r="D921" s="8">
        <v>320.0</v>
      </c>
      <c r="E921" s="9">
        <v>0.15</v>
      </c>
      <c r="F921" s="10">
        <v>4.0</v>
      </c>
      <c r="G921" s="11">
        <v>3686.0</v>
      </c>
      <c r="K921" s="17">
        <v>4.0</v>
      </c>
    </row>
    <row r="922">
      <c r="A922" s="7" t="s">
        <v>985</v>
      </c>
      <c r="B922" s="7" t="s">
        <v>986</v>
      </c>
      <c r="C922" s="8">
        <v>99.0</v>
      </c>
      <c r="D922" s="8">
        <v>999.0</v>
      </c>
      <c r="E922" s="9">
        <v>0.9</v>
      </c>
      <c r="F922" s="10">
        <v>3.8</v>
      </c>
      <c r="G922" s="10">
        <v>594.0</v>
      </c>
      <c r="K922" s="17">
        <v>3.8</v>
      </c>
    </row>
    <row r="923">
      <c r="A923" s="7" t="s">
        <v>987</v>
      </c>
      <c r="B923" s="7" t="s">
        <v>988</v>
      </c>
      <c r="C923" s="8">
        <v>3498.0</v>
      </c>
      <c r="D923" s="8">
        <v>3875.0</v>
      </c>
      <c r="E923" s="9">
        <v>0.1</v>
      </c>
      <c r="F923" s="10">
        <v>3.4</v>
      </c>
      <c r="G923" s="11">
        <v>12185.0</v>
      </c>
      <c r="K923" s="17">
        <v>3.4</v>
      </c>
    </row>
    <row r="924">
      <c r="A924" s="7" t="s">
        <v>989</v>
      </c>
      <c r="B924" s="7" t="s">
        <v>757</v>
      </c>
      <c r="C924" s="8">
        <v>10099.0</v>
      </c>
      <c r="D924" s="8">
        <v>19110.0</v>
      </c>
      <c r="E924" s="9">
        <v>0.47</v>
      </c>
      <c r="F924" s="10">
        <v>4.3</v>
      </c>
      <c r="G924" s="11">
        <v>2623.0</v>
      </c>
      <c r="K924" s="17">
        <v>4.3</v>
      </c>
    </row>
    <row r="925">
      <c r="A925" s="7" t="s">
        <v>990</v>
      </c>
      <c r="B925" s="7" t="s">
        <v>806</v>
      </c>
      <c r="C925" s="8">
        <v>449.0</v>
      </c>
      <c r="D925" s="8">
        <v>999.0</v>
      </c>
      <c r="E925" s="9">
        <v>0.55</v>
      </c>
      <c r="F925" s="10">
        <v>4.3</v>
      </c>
      <c r="G925" s="11">
        <v>9701.0</v>
      </c>
      <c r="K925" s="17">
        <v>4.3</v>
      </c>
    </row>
    <row r="926">
      <c r="A926" s="7" t="s">
        <v>991</v>
      </c>
      <c r="B926" s="7" t="s">
        <v>992</v>
      </c>
      <c r="C926" s="8">
        <v>150.0</v>
      </c>
      <c r="D926" s="8">
        <v>150.0</v>
      </c>
      <c r="E926" s="9">
        <v>0.0</v>
      </c>
      <c r="F926" s="10">
        <v>4.3</v>
      </c>
      <c r="G926" s="11">
        <v>15867.0</v>
      </c>
      <c r="K926" s="17">
        <v>4.3</v>
      </c>
    </row>
    <row r="927">
      <c r="A927" s="7" t="s">
        <v>82</v>
      </c>
      <c r="B927" s="7" t="s">
        <v>15</v>
      </c>
      <c r="C927" s="8">
        <v>348.0</v>
      </c>
      <c r="D927" s="8">
        <v>1499.0</v>
      </c>
      <c r="E927" s="9">
        <v>0.77</v>
      </c>
      <c r="F927" s="10">
        <v>4.2</v>
      </c>
      <c r="G927" s="10">
        <v>656.0</v>
      </c>
      <c r="K927" s="17">
        <v>4.2</v>
      </c>
    </row>
    <row r="928">
      <c r="A928" s="7" t="s">
        <v>993</v>
      </c>
      <c r="B928" s="7" t="s">
        <v>709</v>
      </c>
      <c r="C928" s="8">
        <v>1199.0</v>
      </c>
      <c r="D928" s="8">
        <v>2999.0</v>
      </c>
      <c r="E928" s="9">
        <v>0.6</v>
      </c>
      <c r="F928" s="10">
        <v>4.1</v>
      </c>
      <c r="G928" s="11">
        <v>10725.0</v>
      </c>
      <c r="K928" s="17">
        <v>4.1</v>
      </c>
    </row>
    <row r="929">
      <c r="A929" s="7" t="s">
        <v>994</v>
      </c>
      <c r="B929" s="7" t="s">
        <v>698</v>
      </c>
      <c r="C929" s="8">
        <v>397.0</v>
      </c>
      <c r="D929" s="8">
        <v>899.0</v>
      </c>
      <c r="E929" s="9">
        <v>0.56</v>
      </c>
      <c r="F929" s="10">
        <v>4.0</v>
      </c>
      <c r="G929" s="11">
        <v>3025.0</v>
      </c>
      <c r="K929" s="17">
        <v>4.0</v>
      </c>
    </row>
    <row r="930">
      <c r="A930" s="7" t="s">
        <v>83</v>
      </c>
      <c r="B930" s="7" t="s">
        <v>15</v>
      </c>
      <c r="C930" s="8">
        <v>154.0</v>
      </c>
      <c r="D930" s="8">
        <v>349.0</v>
      </c>
      <c r="E930" s="9">
        <v>0.56</v>
      </c>
      <c r="F930" s="10">
        <v>4.3</v>
      </c>
      <c r="G930" s="11">
        <v>7064.0</v>
      </c>
      <c r="K930" s="17">
        <v>4.3</v>
      </c>
    </row>
    <row r="931">
      <c r="A931" s="7" t="s">
        <v>995</v>
      </c>
      <c r="B931" s="7" t="s">
        <v>781</v>
      </c>
      <c r="C931" s="8">
        <v>699.0</v>
      </c>
      <c r="D931" s="8">
        <v>1490.0</v>
      </c>
      <c r="E931" s="9">
        <v>0.53</v>
      </c>
      <c r="F931" s="10">
        <v>4.0</v>
      </c>
      <c r="G931" s="11">
        <v>5736.0</v>
      </c>
      <c r="K931" s="17">
        <v>4.0</v>
      </c>
    </row>
    <row r="932">
      <c r="A932" s="7" t="s">
        <v>996</v>
      </c>
      <c r="B932" s="7" t="s">
        <v>393</v>
      </c>
      <c r="C932" s="8">
        <v>1679.0</v>
      </c>
      <c r="D932" s="8">
        <v>1999.0</v>
      </c>
      <c r="E932" s="9">
        <v>0.16</v>
      </c>
      <c r="F932" s="10">
        <v>4.1</v>
      </c>
      <c r="G932" s="11">
        <v>72563.0</v>
      </c>
      <c r="K932" s="17">
        <v>4.1</v>
      </c>
    </row>
    <row r="933">
      <c r="A933" s="7" t="s">
        <v>997</v>
      </c>
      <c r="B933" s="7" t="s">
        <v>627</v>
      </c>
      <c r="C933" s="8">
        <v>354.0</v>
      </c>
      <c r="D933" s="8">
        <v>1500.0</v>
      </c>
      <c r="E933" s="9">
        <v>0.76</v>
      </c>
      <c r="F933" s="10">
        <v>4.0</v>
      </c>
      <c r="G933" s="11">
        <v>1026.0</v>
      </c>
      <c r="K933" s="17">
        <v>4.0</v>
      </c>
    </row>
    <row r="934">
      <c r="A934" s="7" t="s">
        <v>998</v>
      </c>
      <c r="B934" s="7" t="s">
        <v>999</v>
      </c>
      <c r="C934" s="8">
        <v>1199.0</v>
      </c>
      <c r="D934" s="8">
        <v>5499.0</v>
      </c>
      <c r="E934" s="9">
        <v>0.78</v>
      </c>
      <c r="F934" s="10">
        <v>3.8</v>
      </c>
      <c r="G934" s="11">
        <v>2043.0</v>
      </c>
      <c r="K934" s="17">
        <v>3.8</v>
      </c>
    </row>
    <row r="935">
      <c r="A935" s="7" t="s">
        <v>1000</v>
      </c>
      <c r="B935" s="7" t="s">
        <v>779</v>
      </c>
      <c r="C935" s="8">
        <v>379.0</v>
      </c>
      <c r="D935" s="8">
        <v>1499.0</v>
      </c>
      <c r="E935" s="9">
        <v>0.75</v>
      </c>
      <c r="F935" s="10">
        <v>4.2</v>
      </c>
      <c r="G935" s="11">
        <v>4149.0</v>
      </c>
      <c r="K935" s="17">
        <v>4.2</v>
      </c>
    </row>
    <row r="936">
      <c r="A936" s="7" t="s">
        <v>1001</v>
      </c>
      <c r="B936" s="7" t="s">
        <v>662</v>
      </c>
      <c r="C936" s="8">
        <v>499.0</v>
      </c>
      <c r="D936" s="8">
        <v>775.0</v>
      </c>
      <c r="E936" s="9">
        <v>0.36</v>
      </c>
      <c r="F936" s="10">
        <v>4.3</v>
      </c>
      <c r="G936" s="10">
        <v>74.0</v>
      </c>
      <c r="K936" s="17">
        <v>4.3</v>
      </c>
    </row>
    <row r="937">
      <c r="A937" s="7" t="s">
        <v>1002</v>
      </c>
      <c r="B937" s="7" t="s">
        <v>1003</v>
      </c>
      <c r="C937" s="8">
        <v>10389.0</v>
      </c>
      <c r="D937" s="8">
        <v>32000.0</v>
      </c>
      <c r="E937" s="9">
        <v>0.68</v>
      </c>
      <c r="F937" s="10">
        <v>4.4</v>
      </c>
      <c r="G937" s="11">
        <v>41398.0</v>
      </c>
      <c r="K937" s="17">
        <v>4.4</v>
      </c>
    </row>
    <row r="938">
      <c r="A938" s="7" t="s">
        <v>1004</v>
      </c>
      <c r="B938" s="7" t="s">
        <v>907</v>
      </c>
      <c r="C938" s="8">
        <v>649.0</v>
      </c>
      <c r="D938" s="8">
        <v>1300.0</v>
      </c>
      <c r="E938" s="9">
        <v>0.5</v>
      </c>
      <c r="F938" s="10">
        <v>4.1</v>
      </c>
      <c r="G938" s="11">
        <v>5195.0</v>
      </c>
      <c r="K938" s="17">
        <v>4.1</v>
      </c>
    </row>
    <row r="939">
      <c r="A939" s="7" t="s">
        <v>1005</v>
      </c>
      <c r="B939" s="7" t="s">
        <v>1006</v>
      </c>
      <c r="C939" s="8">
        <v>1199.0</v>
      </c>
      <c r="D939" s="8">
        <v>1999.0</v>
      </c>
      <c r="E939" s="9">
        <v>0.4</v>
      </c>
      <c r="F939" s="10">
        <v>4.5</v>
      </c>
      <c r="G939" s="11">
        <v>22420.0</v>
      </c>
      <c r="K939" s="17">
        <v>4.5</v>
      </c>
    </row>
    <row r="940">
      <c r="A940" s="7" t="s">
        <v>86</v>
      </c>
      <c r="B940" s="7" t="s">
        <v>15</v>
      </c>
      <c r="C940" s="8">
        <v>139.0</v>
      </c>
      <c r="D940" s="8">
        <v>999.0</v>
      </c>
      <c r="E940" s="9">
        <v>0.86</v>
      </c>
      <c r="F940" s="10">
        <v>4.0</v>
      </c>
      <c r="G940" s="11">
        <v>1313.0</v>
      </c>
      <c r="K940" s="17">
        <v>4.0</v>
      </c>
    </row>
    <row r="941">
      <c r="A941" s="7" t="s">
        <v>1007</v>
      </c>
      <c r="B941" s="7" t="s">
        <v>393</v>
      </c>
      <c r="C941" s="8">
        <v>889.0</v>
      </c>
      <c r="D941" s="8">
        <v>1999.0</v>
      </c>
      <c r="E941" s="9">
        <v>0.56</v>
      </c>
      <c r="F941" s="10">
        <v>4.2</v>
      </c>
      <c r="G941" s="11">
        <v>2284.0</v>
      </c>
      <c r="K941" s="17">
        <v>4.2</v>
      </c>
    </row>
    <row r="942">
      <c r="A942" s="7" t="s">
        <v>1008</v>
      </c>
      <c r="B942" s="7" t="s">
        <v>660</v>
      </c>
      <c r="C942" s="8">
        <v>1409.0</v>
      </c>
      <c r="D942" s="8">
        <v>2199.0</v>
      </c>
      <c r="E942" s="9">
        <v>0.36</v>
      </c>
      <c r="F942" s="10">
        <v>3.9</v>
      </c>
      <c r="G942" s="10">
        <v>427.0</v>
      </c>
      <c r="K942" s="17">
        <v>3.9</v>
      </c>
    </row>
    <row r="943">
      <c r="A943" s="7" t="s">
        <v>1009</v>
      </c>
      <c r="B943" s="7" t="s">
        <v>1010</v>
      </c>
      <c r="C943" s="8">
        <v>549.0</v>
      </c>
      <c r="D943" s="8">
        <v>1999.0</v>
      </c>
      <c r="E943" s="9">
        <v>0.73</v>
      </c>
      <c r="F943" s="10">
        <v>4.3</v>
      </c>
      <c r="G943" s="11">
        <v>1367.0</v>
      </c>
      <c r="K943" s="17">
        <v>4.3</v>
      </c>
    </row>
    <row r="944">
      <c r="A944" s="7" t="s">
        <v>1011</v>
      </c>
      <c r="B944" s="7" t="s">
        <v>999</v>
      </c>
      <c r="C944" s="8">
        <v>749.0</v>
      </c>
      <c r="D944" s="8">
        <v>1799.0</v>
      </c>
      <c r="E944" s="9">
        <v>0.58</v>
      </c>
      <c r="F944" s="10">
        <v>4.0</v>
      </c>
      <c r="G944" s="11">
        <v>13199.0</v>
      </c>
      <c r="K944" s="17">
        <v>4.0</v>
      </c>
    </row>
    <row r="945">
      <c r="A945" s="7" t="s">
        <v>87</v>
      </c>
      <c r="B945" s="7" t="s">
        <v>15</v>
      </c>
      <c r="C945" s="8">
        <v>329.0</v>
      </c>
      <c r="D945" s="8">
        <v>845.0</v>
      </c>
      <c r="E945" s="9">
        <v>0.61</v>
      </c>
      <c r="F945" s="10">
        <v>4.2</v>
      </c>
      <c r="G945" s="11">
        <v>29746.0</v>
      </c>
      <c r="K945" s="17">
        <v>4.2</v>
      </c>
    </row>
    <row r="946">
      <c r="A946" s="7" t="s">
        <v>1012</v>
      </c>
      <c r="B946" s="7" t="s">
        <v>15</v>
      </c>
      <c r="C946" s="8">
        <v>379.0</v>
      </c>
      <c r="D946" s="8">
        <v>1099.0</v>
      </c>
      <c r="E946" s="9">
        <v>0.66</v>
      </c>
      <c r="F946" s="10">
        <v>4.3</v>
      </c>
      <c r="G946" s="11">
        <v>2806.0</v>
      </c>
      <c r="K946" s="17">
        <v>4.3</v>
      </c>
    </row>
    <row r="947">
      <c r="A947" s="7" t="s">
        <v>1013</v>
      </c>
      <c r="B947" s="7" t="s">
        <v>373</v>
      </c>
      <c r="C947" s="8">
        <v>5998.0</v>
      </c>
      <c r="D947" s="8">
        <v>7999.0</v>
      </c>
      <c r="E947" s="9">
        <v>0.25</v>
      </c>
      <c r="F947" s="10">
        <v>4.2</v>
      </c>
      <c r="G947" s="11">
        <v>30355.0</v>
      </c>
      <c r="K947" s="17">
        <v>4.2</v>
      </c>
    </row>
    <row r="948">
      <c r="A948" s="7" t="s">
        <v>1014</v>
      </c>
      <c r="B948" s="7" t="s">
        <v>806</v>
      </c>
      <c r="C948" s="8">
        <v>299.0</v>
      </c>
      <c r="D948" s="8">
        <v>1499.0</v>
      </c>
      <c r="E948" s="9">
        <v>0.8</v>
      </c>
      <c r="F948" s="10">
        <v>4.2</v>
      </c>
      <c r="G948" s="11">
        <v>2868.0</v>
      </c>
      <c r="K948" s="17">
        <v>4.2</v>
      </c>
    </row>
    <row r="949">
      <c r="A949" s="7" t="s">
        <v>1015</v>
      </c>
      <c r="B949" s="7" t="s">
        <v>779</v>
      </c>
      <c r="C949" s="8">
        <v>379.0</v>
      </c>
      <c r="D949" s="8">
        <v>1499.0</v>
      </c>
      <c r="E949" s="9">
        <v>0.75</v>
      </c>
      <c r="F949" s="10">
        <v>4.1</v>
      </c>
      <c r="G949" s="10">
        <v>670.0</v>
      </c>
      <c r="K949" s="17">
        <v>4.1</v>
      </c>
    </row>
    <row r="950">
      <c r="A950" s="7" t="s">
        <v>1016</v>
      </c>
      <c r="B950" s="7" t="s">
        <v>1017</v>
      </c>
      <c r="C950" s="8">
        <v>1399.0</v>
      </c>
      <c r="D950" s="8">
        <v>2999.0</v>
      </c>
      <c r="E950" s="9">
        <v>0.53</v>
      </c>
      <c r="F950" s="10">
        <v>4.3</v>
      </c>
      <c r="G950" s="11">
        <v>3530.0</v>
      </c>
      <c r="K950" s="17">
        <v>4.3</v>
      </c>
    </row>
    <row r="951">
      <c r="A951" s="7" t="s">
        <v>1018</v>
      </c>
      <c r="B951" s="7" t="s">
        <v>1019</v>
      </c>
      <c r="C951" s="8">
        <v>699.0</v>
      </c>
      <c r="D951" s="8">
        <v>1299.0</v>
      </c>
      <c r="E951" s="9">
        <v>0.46</v>
      </c>
      <c r="F951" s="10">
        <v>4.3</v>
      </c>
      <c r="G951" s="11">
        <v>6183.0</v>
      </c>
      <c r="K951" s="17">
        <v>4.3</v>
      </c>
    </row>
    <row r="952">
      <c r="A952" s="7" t="s">
        <v>1020</v>
      </c>
      <c r="B952" s="7" t="s">
        <v>817</v>
      </c>
      <c r="C952" s="8">
        <v>300.0</v>
      </c>
      <c r="D952" s="8">
        <v>300.0</v>
      </c>
      <c r="E952" s="9">
        <v>0.0</v>
      </c>
      <c r="F952" s="10">
        <v>4.2</v>
      </c>
      <c r="G952" s="10">
        <v>419.0</v>
      </c>
      <c r="K952" s="17">
        <v>4.2</v>
      </c>
    </row>
    <row r="953">
      <c r="A953" s="7" t="s">
        <v>1021</v>
      </c>
      <c r="B953" s="7" t="s">
        <v>696</v>
      </c>
      <c r="C953" s="8">
        <v>999.0</v>
      </c>
      <c r="D953" s="8">
        <v>1995.0</v>
      </c>
      <c r="E953" s="9">
        <v>0.5</v>
      </c>
      <c r="F953" s="10">
        <v>4.5</v>
      </c>
      <c r="G953" s="11">
        <v>7317.0</v>
      </c>
      <c r="K953" s="17">
        <v>4.5</v>
      </c>
    </row>
    <row r="954">
      <c r="A954" s="7" t="s">
        <v>1022</v>
      </c>
      <c r="B954" s="7" t="s">
        <v>1023</v>
      </c>
      <c r="C954" s="8">
        <v>535.0</v>
      </c>
      <c r="D954" s="8">
        <v>535.0</v>
      </c>
      <c r="E954" s="9">
        <v>0.0</v>
      </c>
      <c r="F954" s="10">
        <v>4.4</v>
      </c>
      <c r="G954" s="11">
        <v>4426.0</v>
      </c>
      <c r="K954" s="17">
        <v>4.4</v>
      </c>
    </row>
    <row r="955">
      <c r="A955" s="7" t="s">
        <v>88</v>
      </c>
      <c r="B955" s="7" t="s">
        <v>37</v>
      </c>
      <c r="C955" s="8">
        <v>13999.0</v>
      </c>
      <c r="D955" s="8">
        <v>24999.0</v>
      </c>
      <c r="E955" s="9">
        <v>0.44</v>
      </c>
      <c r="F955" s="10">
        <v>4.2</v>
      </c>
      <c r="G955" s="11">
        <v>45237.0</v>
      </c>
      <c r="K955" s="17">
        <v>4.2</v>
      </c>
    </row>
    <row r="956">
      <c r="A956" s="7" t="s">
        <v>1024</v>
      </c>
      <c r="B956" s="7" t="s">
        <v>806</v>
      </c>
      <c r="C956" s="8">
        <v>269.0</v>
      </c>
      <c r="D956" s="8">
        <v>1099.0</v>
      </c>
      <c r="E956" s="9">
        <v>0.76</v>
      </c>
      <c r="F956" s="10">
        <v>4.1</v>
      </c>
      <c r="G956" s="11">
        <v>1092.0</v>
      </c>
      <c r="K956" s="17">
        <v>4.1</v>
      </c>
    </row>
    <row r="957">
      <c r="A957" s="7" t="s">
        <v>1025</v>
      </c>
      <c r="B957" s="7" t="s">
        <v>916</v>
      </c>
      <c r="C957" s="8">
        <v>341.0</v>
      </c>
      <c r="D957" s="8">
        <v>450.0</v>
      </c>
      <c r="E957" s="9">
        <v>0.24</v>
      </c>
      <c r="F957" s="10">
        <v>4.3</v>
      </c>
      <c r="G957" s="11">
        <v>2493.0</v>
      </c>
      <c r="K957" s="17">
        <v>4.3</v>
      </c>
    </row>
    <row r="958">
      <c r="A958" s="7" t="s">
        <v>1026</v>
      </c>
      <c r="B958" s="7" t="s">
        <v>709</v>
      </c>
      <c r="C958" s="8">
        <v>2499.0</v>
      </c>
      <c r="D958" s="8">
        <v>3999.0</v>
      </c>
      <c r="E958" s="9">
        <v>0.38</v>
      </c>
      <c r="F958" s="10">
        <v>4.4</v>
      </c>
      <c r="G958" s="11">
        <v>12679.0</v>
      </c>
      <c r="K958" s="17">
        <v>4.4</v>
      </c>
    </row>
    <row r="959">
      <c r="A959" s="7" t="s">
        <v>96</v>
      </c>
      <c r="B959" s="7" t="s">
        <v>15</v>
      </c>
      <c r="C959" s="8">
        <v>349.0</v>
      </c>
      <c r="D959" s="8">
        <v>599.0</v>
      </c>
      <c r="E959" s="9">
        <v>0.42</v>
      </c>
      <c r="F959" s="10">
        <v>4.1</v>
      </c>
      <c r="G959" s="10">
        <v>210.0</v>
      </c>
      <c r="K959" s="17">
        <v>4.1</v>
      </c>
    </row>
    <row r="960">
      <c r="A960" s="7" t="s">
        <v>1027</v>
      </c>
      <c r="B960" s="7" t="s">
        <v>940</v>
      </c>
      <c r="C960" s="8">
        <v>5899.0</v>
      </c>
      <c r="D960" s="8">
        <v>7005.0</v>
      </c>
      <c r="E960" s="9">
        <v>0.16</v>
      </c>
      <c r="F960" s="10">
        <v>3.6</v>
      </c>
      <c r="G960" s="11">
        <v>4199.0</v>
      </c>
      <c r="K960" s="17">
        <v>3.6</v>
      </c>
    </row>
    <row r="961">
      <c r="A961" s="7" t="s">
        <v>592</v>
      </c>
      <c r="B961" s="7" t="s">
        <v>409</v>
      </c>
      <c r="C961" s="8">
        <v>699.0</v>
      </c>
      <c r="D961" s="8">
        <v>1199.0</v>
      </c>
      <c r="E961" s="9">
        <v>0.42</v>
      </c>
      <c r="F961" s="10">
        <v>4.0</v>
      </c>
      <c r="G961" s="11">
        <v>14403.0</v>
      </c>
      <c r="K961" s="17">
        <v>4.0</v>
      </c>
    </row>
    <row r="962">
      <c r="A962" s="7" t="s">
        <v>1028</v>
      </c>
      <c r="B962" s="7" t="s">
        <v>709</v>
      </c>
      <c r="C962" s="8">
        <v>1565.0</v>
      </c>
      <c r="D962" s="8">
        <v>2999.0</v>
      </c>
      <c r="E962" s="9">
        <v>0.48</v>
      </c>
      <c r="F962" s="10">
        <v>4.0</v>
      </c>
      <c r="G962" s="11">
        <v>11113.0</v>
      </c>
      <c r="K962" s="17">
        <v>4.0</v>
      </c>
    </row>
    <row r="963">
      <c r="A963" s="7" t="s">
        <v>1029</v>
      </c>
      <c r="B963" s="7" t="s">
        <v>668</v>
      </c>
      <c r="C963" s="8">
        <v>326.0</v>
      </c>
      <c r="D963" s="8">
        <v>799.0</v>
      </c>
      <c r="E963" s="9">
        <v>0.59</v>
      </c>
      <c r="F963" s="10">
        <v>4.4</v>
      </c>
      <c r="G963" s="11">
        <v>10773.0</v>
      </c>
      <c r="K963" s="17">
        <v>4.4</v>
      </c>
    </row>
    <row r="964">
      <c r="A964" s="7" t="s">
        <v>588</v>
      </c>
      <c r="B964" s="7" t="s">
        <v>589</v>
      </c>
      <c r="C964" s="8">
        <v>120.0</v>
      </c>
      <c r="D964" s="8">
        <v>999.0</v>
      </c>
      <c r="E964" s="9">
        <v>0.88</v>
      </c>
      <c r="F964" s="10">
        <v>3.9</v>
      </c>
      <c r="G964" s="11">
        <v>6491.0</v>
      </c>
      <c r="K964" s="17">
        <v>3.9</v>
      </c>
    </row>
    <row r="965">
      <c r="A965" s="7" t="s">
        <v>1030</v>
      </c>
      <c r="B965" s="7" t="s">
        <v>662</v>
      </c>
      <c r="C965" s="8">
        <v>657.0</v>
      </c>
      <c r="D965" s="8">
        <v>999.0</v>
      </c>
      <c r="E965" s="9">
        <v>0.34</v>
      </c>
      <c r="F965" s="10">
        <v>4.3</v>
      </c>
      <c r="G965" s="11">
        <v>13944.0</v>
      </c>
      <c r="K965" s="17">
        <v>4.3</v>
      </c>
    </row>
    <row r="966">
      <c r="A966" s="7" t="s">
        <v>1031</v>
      </c>
      <c r="B966" s="7" t="s">
        <v>692</v>
      </c>
      <c r="C966" s="8">
        <v>1995.0</v>
      </c>
      <c r="D966" s="8">
        <v>2895.0</v>
      </c>
      <c r="E966" s="9">
        <v>0.31</v>
      </c>
      <c r="F966" s="10">
        <v>4.6</v>
      </c>
      <c r="G966" s="11">
        <v>10760.0</v>
      </c>
      <c r="K966" s="17">
        <v>4.6</v>
      </c>
    </row>
    <row r="967">
      <c r="A967" s="7" t="s">
        <v>1032</v>
      </c>
      <c r="B967" s="7" t="s">
        <v>721</v>
      </c>
      <c r="C967" s="8">
        <v>1500.0</v>
      </c>
      <c r="D967" s="8">
        <v>1500.0</v>
      </c>
      <c r="E967" s="9">
        <v>0.0</v>
      </c>
      <c r="F967" s="10">
        <v>4.4</v>
      </c>
      <c r="G967" s="11">
        <v>25996.0</v>
      </c>
      <c r="K967" s="17">
        <v>4.4</v>
      </c>
    </row>
    <row r="968">
      <c r="A968" s="7" t="s">
        <v>1033</v>
      </c>
      <c r="B968" s="7" t="s">
        <v>647</v>
      </c>
      <c r="C968" s="8">
        <v>2640.0</v>
      </c>
      <c r="D968" s="8">
        <v>3195.0</v>
      </c>
      <c r="E968" s="9">
        <v>0.17</v>
      </c>
      <c r="F968" s="10">
        <v>4.5</v>
      </c>
      <c r="G968" s="11">
        <v>16146.0</v>
      </c>
      <c r="K968" s="17">
        <v>4.5</v>
      </c>
    </row>
    <row r="969">
      <c r="A969" s="7" t="s">
        <v>1034</v>
      </c>
      <c r="B969" s="7" t="s">
        <v>940</v>
      </c>
      <c r="C969" s="8">
        <v>5299.0</v>
      </c>
      <c r="D969" s="8">
        <v>6355.0</v>
      </c>
      <c r="E969" s="9">
        <v>0.17</v>
      </c>
      <c r="F969" s="10">
        <v>3.9</v>
      </c>
      <c r="G969" s="11">
        <v>8280.0</v>
      </c>
      <c r="K969" s="17">
        <v>3.9</v>
      </c>
    </row>
    <row r="970">
      <c r="A970" s="7" t="s">
        <v>90</v>
      </c>
      <c r="B970" s="7" t="s">
        <v>15</v>
      </c>
      <c r="C970" s="8">
        <v>263.0</v>
      </c>
      <c r="D970" s="8">
        <v>699.0</v>
      </c>
      <c r="E970" s="9">
        <v>0.62</v>
      </c>
      <c r="F970" s="10">
        <v>4.1</v>
      </c>
      <c r="G970" s="10">
        <v>450.0</v>
      </c>
      <c r="K970" s="17">
        <v>4.1</v>
      </c>
    </row>
    <row r="971">
      <c r="A971" s="7" t="s">
        <v>1035</v>
      </c>
      <c r="B971" s="7" t="s">
        <v>999</v>
      </c>
      <c r="C971" s="8">
        <v>1990.0</v>
      </c>
      <c r="D971" s="8">
        <v>2999.0</v>
      </c>
      <c r="E971" s="9">
        <v>0.34</v>
      </c>
      <c r="F971" s="10">
        <v>4.3</v>
      </c>
      <c r="G971" s="11">
        <v>14237.0</v>
      </c>
      <c r="K971" s="17">
        <v>4.3</v>
      </c>
    </row>
    <row r="972">
      <c r="A972" s="7" t="s">
        <v>1036</v>
      </c>
      <c r="B972" s="7" t="s">
        <v>1037</v>
      </c>
      <c r="C972" s="8">
        <v>1289.0</v>
      </c>
      <c r="D972" s="8">
        <v>1499.0</v>
      </c>
      <c r="E972" s="9">
        <v>0.14</v>
      </c>
      <c r="F972" s="10">
        <v>4.5</v>
      </c>
      <c r="G972" s="11">
        <v>20668.0</v>
      </c>
      <c r="K972" s="17">
        <v>4.5</v>
      </c>
    </row>
    <row r="973">
      <c r="A973" s="7" t="s">
        <v>1038</v>
      </c>
      <c r="B973" s="7" t="s">
        <v>817</v>
      </c>
      <c r="C973" s="8">
        <v>165.0</v>
      </c>
      <c r="D973" s="8">
        <v>165.0</v>
      </c>
      <c r="E973" s="9">
        <v>0.0</v>
      </c>
      <c r="F973" s="10">
        <v>4.5</v>
      </c>
      <c r="G973" s="11">
        <v>1674.0</v>
      </c>
      <c r="K973" s="17">
        <v>4.5</v>
      </c>
    </row>
    <row r="974">
      <c r="A974" s="7" t="s">
        <v>1039</v>
      </c>
      <c r="B974" s="7" t="s">
        <v>895</v>
      </c>
      <c r="C974" s="8">
        <v>1699.0</v>
      </c>
      <c r="D974" s="8">
        <v>3499.0</v>
      </c>
      <c r="E974" s="9">
        <v>0.51</v>
      </c>
      <c r="F974" s="10">
        <v>3.6</v>
      </c>
      <c r="G974" s="11">
        <v>7689.0</v>
      </c>
      <c r="K974" s="17">
        <v>3.6</v>
      </c>
    </row>
    <row r="975">
      <c r="A975" s="7" t="s">
        <v>1040</v>
      </c>
      <c r="B975" s="7" t="s">
        <v>769</v>
      </c>
      <c r="C975" s="8">
        <v>2299.0</v>
      </c>
      <c r="D975" s="8">
        <v>7500.0</v>
      </c>
      <c r="E975" s="9">
        <v>0.69</v>
      </c>
      <c r="F975" s="10">
        <v>4.1</v>
      </c>
      <c r="G975" s="11">
        <v>5554.0</v>
      </c>
      <c r="K975" s="17">
        <v>4.1</v>
      </c>
    </row>
    <row r="976">
      <c r="A976" s="7" t="s">
        <v>94</v>
      </c>
      <c r="B976" s="7" t="s">
        <v>15</v>
      </c>
      <c r="C976" s="8">
        <v>219.0</v>
      </c>
      <c r="D976" s="8">
        <v>700.0</v>
      </c>
      <c r="E976" s="9">
        <v>0.69</v>
      </c>
      <c r="F976" s="10">
        <v>4.3</v>
      </c>
      <c r="G976" s="11">
        <v>20053.0</v>
      </c>
      <c r="K976" s="17">
        <v>4.3</v>
      </c>
    </row>
    <row r="977">
      <c r="A977" s="7" t="s">
        <v>1041</v>
      </c>
      <c r="B977" s="7" t="s">
        <v>759</v>
      </c>
      <c r="C977" s="8">
        <v>39.0</v>
      </c>
      <c r="D977" s="8">
        <v>39.0</v>
      </c>
      <c r="E977" s="9">
        <v>0.0</v>
      </c>
      <c r="F977" s="10">
        <v>3.8</v>
      </c>
      <c r="G977" s="11">
        <v>3344.0</v>
      </c>
      <c r="K977" s="17">
        <v>3.8</v>
      </c>
    </row>
    <row r="978">
      <c r="A978" s="7" t="s">
        <v>1042</v>
      </c>
      <c r="B978" s="7" t="s">
        <v>1043</v>
      </c>
      <c r="C978" s="8">
        <v>26999.0</v>
      </c>
      <c r="D978" s="8">
        <v>37999.0</v>
      </c>
      <c r="E978" s="9">
        <v>0.29</v>
      </c>
      <c r="F978" s="10">
        <v>4.6</v>
      </c>
      <c r="G978" s="11">
        <v>2886.0</v>
      </c>
      <c r="K978" s="17">
        <v>4.6</v>
      </c>
    </row>
    <row r="979">
      <c r="A979" s="7" t="s">
        <v>1044</v>
      </c>
      <c r="B979" s="7" t="s">
        <v>393</v>
      </c>
      <c r="C979" s="8">
        <v>1490.0</v>
      </c>
      <c r="D979" s="8">
        <v>1990.0</v>
      </c>
      <c r="E979" s="9">
        <v>0.25</v>
      </c>
      <c r="F979" s="10">
        <v>4.1</v>
      </c>
      <c r="G979" s="11">
        <v>98250.0</v>
      </c>
      <c r="K979" s="17">
        <v>4.1</v>
      </c>
    </row>
    <row r="980">
      <c r="A980" s="7" t="s">
        <v>1045</v>
      </c>
      <c r="B980" s="7" t="s">
        <v>631</v>
      </c>
      <c r="C980" s="8">
        <v>398.0</v>
      </c>
      <c r="D980" s="8">
        <v>1949.0</v>
      </c>
      <c r="E980" s="9">
        <v>0.8</v>
      </c>
      <c r="F980" s="10">
        <v>4.0</v>
      </c>
      <c r="G980" s="10">
        <v>75.0</v>
      </c>
      <c r="K980" s="17">
        <v>4.0</v>
      </c>
    </row>
    <row r="981">
      <c r="A981" s="7" t="s">
        <v>95</v>
      </c>
      <c r="B981" s="7" t="s">
        <v>15</v>
      </c>
      <c r="C981" s="8">
        <v>349.0</v>
      </c>
      <c r="D981" s="8">
        <v>899.0</v>
      </c>
      <c r="E981" s="9">
        <v>0.61</v>
      </c>
      <c r="F981" s="10">
        <v>4.5</v>
      </c>
      <c r="G981" s="10">
        <v>149.0</v>
      </c>
      <c r="K981" s="17">
        <v>4.5</v>
      </c>
    </row>
    <row r="982">
      <c r="A982" s="7" t="s">
        <v>1046</v>
      </c>
      <c r="B982" s="7" t="s">
        <v>895</v>
      </c>
      <c r="C982" s="8">
        <v>770.0</v>
      </c>
      <c r="D982" s="8">
        <v>1547.0</v>
      </c>
      <c r="E982" s="9">
        <v>0.5</v>
      </c>
      <c r="F982" s="10">
        <v>4.3</v>
      </c>
      <c r="G982" s="11">
        <v>2585.0</v>
      </c>
      <c r="K982" s="17">
        <v>4.3</v>
      </c>
    </row>
    <row r="983">
      <c r="A983" s="7" t="s">
        <v>1047</v>
      </c>
      <c r="B983" s="7" t="s">
        <v>450</v>
      </c>
      <c r="C983" s="8">
        <v>279.0</v>
      </c>
      <c r="D983" s="8">
        <v>1299.0</v>
      </c>
      <c r="E983" s="9">
        <v>0.79</v>
      </c>
      <c r="F983" s="10">
        <v>4.0</v>
      </c>
      <c r="G983" s="11">
        <v>5072.0</v>
      </c>
      <c r="K983" s="17">
        <v>4.0</v>
      </c>
    </row>
    <row r="984">
      <c r="A984" s="7" t="s">
        <v>1048</v>
      </c>
      <c r="B984" s="7" t="s">
        <v>1049</v>
      </c>
      <c r="C984" s="8">
        <v>249.0</v>
      </c>
      <c r="D984" s="8">
        <v>599.0</v>
      </c>
      <c r="E984" s="9">
        <v>0.58</v>
      </c>
      <c r="F984" s="10">
        <v>4.5</v>
      </c>
      <c r="G984" s="11">
        <v>5985.0</v>
      </c>
      <c r="K984" s="17">
        <v>4.5</v>
      </c>
    </row>
    <row r="985">
      <c r="A985" s="7" t="s">
        <v>98</v>
      </c>
      <c r="B985" s="7" t="s">
        <v>15</v>
      </c>
      <c r="C985" s="8">
        <v>115.0</v>
      </c>
      <c r="D985" s="8">
        <v>499.0</v>
      </c>
      <c r="E985" s="9">
        <v>0.77</v>
      </c>
      <c r="F985" s="10">
        <v>4.0</v>
      </c>
      <c r="G985" s="11">
        <v>7732.0</v>
      </c>
      <c r="K985" s="17">
        <v>4.0</v>
      </c>
    </row>
    <row r="986">
      <c r="A986" s="7" t="s">
        <v>1050</v>
      </c>
      <c r="B986" s="7" t="s">
        <v>1051</v>
      </c>
      <c r="C986" s="8">
        <v>230.0</v>
      </c>
      <c r="D986" s="8">
        <v>230.0</v>
      </c>
      <c r="E986" s="9">
        <v>0.0</v>
      </c>
      <c r="F986" s="10">
        <v>4.5</v>
      </c>
      <c r="G986" s="11">
        <v>9427.0</v>
      </c>
      <c r="K986" s="17">
        <v>4.5</v>
      </c>
    </row>
    <row r="987">
      <c r="A987" s="7" t="s">
        <v>99</v>
      </c>
      <c r="B987" s="7" t="s">
        <v>15</v>
      </c>
      <c r="C987" s="8">
        <v>399.0</v>
      </c>
      <c r="D987" s="8">
        <v>999.0</v>
      </c>
      <c r="E987" s="9">
        <v>0.6</v>
      </c>
      <c r="F987" s="10">
        <v>4.1</v>
      </c>
      <c r="G987" s="11">
        <v>1780.0</v>
      </c>
      <c r="K987" s="17">
        <v>4.1</v>
      </c>
    </row>
    <row r="988">
      <c r="A988" s="7" t="s">
        <v>1052</v>
      </c>
      <c r="B988" s="7" t="s">
        <v>692</v>
      </c>
      <c r="C988" s="8">
        <v>599.0</v>
      </c>
      <c r="D988" s="8">
        <v>700.0</v>
      </c>
      <c r="E988" s="9">
        <v>0.14</v>
      </c>
      <c r="F988" s="10">
        <v>4.3</v>
      </c>
      <c r="G988" s="11">
        <v>2301.0</v>
      </c>
      <c r="K988" s="17">
        <v>4.3</v>
      </c>
    </row>
    <row r="989">
      <c r="A989" s="7" t="s">
        <v>1053</v>
      </c>
      <c r="B989" s="7" t="s">
        <v>1054</v>
      </c>
      <c r="C989" s="8">
        <v>598.0</v>
      </c>
      <c r="D989" s="8">
        <v>1150.0</v>
      </c>
      <c r="E989" s="9">
        <v>0.48</v>
      </c>
      <c r="F989" s="10">
        <v>4.1</v>
      </c>
      <c r="G989" s="11">
        <v>2535.0</v>
      </c>
      <c r="K989" s="17">
        <v>4.1</v>
      </c>
    </row>
    <row r="990">
      <c r="A990" s="7" t="s">
        <v>1055</v>
      </c>
      <c r="B990" s="7" t="s">
        <v>779</v>
      </c>
      <c r="C990" s="8">
        <v>399.0</v>
      </c>
      <c r="D990" s="8">
        <v>1499.0</v>
      </c>
      <c r="E990" s="9">
        <v>0.73</v>
      </c>
      <c r="F990" s="10">
        <v>4.0</v>
      </c>
      <c r="G990" s="10">
        <v>691.0</v>
      </c>
      <c r="K990" s="17">
        <v>4.0</v>
      </c>
    </row>
    <row r="991">
      <c r="A991" s="7" t="s">
        <v>1056</v>
      </c>
      <c r="B991" s="7" t="s">
        <v>631</v>
      </c>
      <c r="C991" s="8">
        <v>499.0</v>
      </c>
      <c r="D991" s="8">
        <v>1299.0</v>
      </c>
      <c r="E991" s="9">
        <v>0.62</v>
      </c>
      <c r="F991" s="10">
        <v>4.1</v>
      </c>
      <c r="G991" s="11">
        <v>2740.0</v>
      </c>
      <c r="K991" s="17">
        <v>4.1</v>
      </c>
    </row>
    <row r="992">
      <c r="A992" s="7" t="s">
        <v>100</v>
      </c>
      <c r="B992" s="7" t="s">
        <v>15</v>
      </c>
      <c r="C992" s="8">
        <v>199.0</v>
      </c>
      <c r="D992" s="8">
        <v>499.0</v>
      </c>
      <c r="E992" s="9">
        <v>0.6</v>
      </c>
      <c r="F992" s="10">
        <v>4.1</v>
      </c>
      <c r="G992" s="10">
        <v>602.0</v>
      </c>
      <c r="K992" s="17">
        <v>4.1</v>
      </c>
    </row>
    <row r="993">
      <c r="A993" s="7" t="s">
        <v>1057</v>
      </c>
      <c r="B993" s="7" t="s">
        <v>625</v>
      </c>
      <c r="C993" s="8">
        <v>579.0</v>
      </c>
      <c r="D993" s="8">
        <v>1090.0</v>
      </c>
      <c r="E993" s="9">
        <v>0.47</v>
      </c>
      <c r="F993" s="10">
        <v>4.4</v>
      </c>
      <c r="G993" s="11">
        <v>3482.0</v>
      </c>
      <c r="K993" s="17">
        <v>4.4</v>
      </c>
    </row>
    <row r="994">
      <c r="A994" s="7" t="s">
        <v>101</v>
      </c>
      <c r="B994" s="7" t="s">
        <v>15</v>
      </c>
      <c r="C994" s="8">
        <v>179.0</v>
      </c>
      <c r="D994" s="8">
        <v>399.0</v>
      </c>
      <c r="E994" s="9">
        <v>0.55</v>
      </c>
      <c r="F994" s="10">
        <v>4.0</v>
      </c>
      <c r="G994" s="11">
        <v>1423.0</v>
      </c>
      <c r="K994" s="17">
        <v>4.0</v>
      </c>
    </row>
    <row r="995">
      <c r="A995" s="7" t="s">
        <v>1058</v>
      </c>
      <c r="B995" s="7" t="s">
        <v>1059</v>
      </c>
      <c r="C995" s="8">
        <v>90.0</v>
      </c>
      <c r="D995" s="8">
        <v>100.0</v>
      </c>
      <c r="E995" s="9">
        <v>0.1</v>
      </c>
      <c r="F995" s="10">
        <v>4.1</v>
      </c>
      <c r="G995" s="11">
        <v>6199.0</v>
      </c>
      <c r="K995" s="17">
        <v>4.1</v>
      </c>
    </row>
    <row r="996">
      <c r="A996" s="7" t="s">
        <v>1060</v>
      </c>
      <c r="B996" s="7" t="s">
        <v>631</v>
      </c>
      <c r="C996" s="8">
        <v>899.0</v>
      </c>
      <c r="D996" s="8">
        <v>1999.0</v>
      </c>
      <c r="E996" s="9">
        <v>0.55</v>
      </c>
      <c r="F996" s="10">
        <v>4.4</v>
      </c>
      <c r="G996" s="11">
        <v>1667.0</v>
      </c>
      <c r="K996" s="17">
        <v>4.4</v>
      </c>
    </row>
    <row r="997">
      <c r="A997" s="7" t="s">
        <v>1061</v>
      </c>
      <c r="B997" s="7" t="s">
        <v>973</v>
      </c>
      <c r="C997" s="8">
        <v>1149.0</v>
      </c>
      <c r="D997" s="8">
        <v>1800.0</v>
      </c>
      <c r="E997" s="9">
        <v>0.36</v>
      </c>
      <c r="F997" s="10">
        <v>4.3</v>
      </c>
      <c r="G997" s="11">
        <v>4723.0</v>
      </c>
      <c r="K997" s="17">
        <v>4.3</v>
      </c>
    </row>
    <row r="998">
      <c r="A998" s="7" t="s">
        <v>1062</v>
      </c>
      <c r="B998" s="7" t="s">
        <v>806</v>
      </c>
      <c r="C998" s="8">
        <v>249.0</v>
      </c>
      <c r="D998" s="8">
        <v>499.0</v>
      </c>
      <c r="E998" s="9">
        <v>0.5</v>
      </c>
      <c r="F998" s="10">
        <v>4.2</v>
      </c>
      <c r="G998" s="11">
        <v>22860.0</v>
      </c>
      <c r="K998" s="17">
        <v>4.2</v>
      </c>
    </row>
    <row r="999">
      <c r="A999" s="7" t="s">
        <v>1063</v>
      </c>
      <c r="B999" s="7" t="s">
        <v>759</v>
      </c>
      <c r="C999" s="8">
        <v>39.0</v>
      </c>
      <c r="D999" s="8">
        <v>39.0</v>
      </c>
      <c r="E999" s="9">
        <v>0.0</v>
      </c>
      <c r="F999" s="10">
        <v>3.6</v>
      </c>
      <c r="G999" s="11">
        <v>13572.0</v>
      </c>
      <c r="K999" s="17">
        <v>3.6</v>
      </c>
    </row>
    <row r="1000">
      <c r="A1000" s="7" t="s">
        <v>1064</v>
      </c>
      <c r="B1000" s="7" t="s">
        <v>676</v>
      </c>
      <c r="C1000" s="8">
        <v>1599.0</v>
      </c>
      <c r="D1000" s="8">
        <v>3599.0</v>
      </c>
      <c r="E1000" s="9">
        <v>0.56</v>
      </c>
      <c r="F1000" s="10">
        <v>4.2</v>
      </c>
      <c r="G1000" s="11">
        <v>16182.0</v>
      </c>
      <c r="K1000" s="17">
        <v>4.2</v>
      </c>
    </row>
    <row r="1001">
      <c r="A1001" s="7" t="s">
        <v>1065</v>
      </c>
      <c r="B1001" s="7" t="s">
        <v>719</v>
      </c>
      <c r="C1001" s="8">
        <v>1199.0</v>
      </c>
      <c r="D1001" s="8">
        <v>3990.0</v>
      </c>
      <c r="E1001" s="9">
        <v>0.7</v>
      </c>
      <c r="F1001" s="10">
        <v>4.2</v>
      </c>
      <c r="G1001" s="11">
        <v>2908.0</v>
      </c>
      <c r="K1001" s="17">
        <v>4.2</v>
      </c>
    </row>
    <row r="1002">
      <c r="A1002" s="7" t="s">
        <v>103</v>
      </c>
      <c r="B1002" s="7" t="s">
        <v>15</v>
      </c>
      <c r="C1002" s="8">
        <v>209.0</v>
      </c>
      <c r="D1002" s="8">
        <v>499.0</v>
      </c>
      <c r="E1002" s="9">
        <v>0.58</v>
      </c>
      <c r="F1002" s="10">
        <v>3.9</v>
      </c>
      <c r="G1002" s="10">
        <v>536.0</v>
      </c>
      <c r="K1002" s="17">
        <v>3.9</v>
      </c>
    </row>
    <row r="1003">
      <c r="A1003" s="7" t="s">
        <v>1066</v>
      </c>
      <c r="B1003" s="7" t="s">
        <v>625</v>
      </c>
      <c r="C1003" s="8">
        <v>1099.0</v>
      </c>
      <c r="D1003" s="8">
        <v>1499.0</v>
      </c>
      <c r="E1003" s="9">
        <v>0.27</v>
      </c>
      <c r="F1003" s="10">
        <v>4.2</v>
      </c>
      <c r="G1003" s="11">
        <v>2375.0</v>
      </c>
      <c r="K1003" s="17">
        <v>4.2</v>
      </c>
    </row>
    <row r="1004">
      <c r="A1004" s="7" t="s">
        <v>1067</v>
      </c>
      <c r="B1004" s="7" t="s">
        <v>817</v>
      </c>
      <c r="C1004" s="8">
        <v>120.0</v>
      </c>
      <c r="D1004" s="8">
        <v>120.0</v>
      </c>
      <c r="E1004" s="9">
        <v>0.0</v>
      </c>
      <c r="F1004" s="10">
        <v>4.5</v>
      </c>
      <c r="G1004" s="11">
        <v>4951.0</v>
      </c>
      <c r="K1004" s="17">
        <v>4.5</v>
      </c>
    </row>
    <row r="1005">
      <c r="A1005" s="7" t="s">
        <v>1068</v>
      </c>
      <c r="B1005" s="7" t="s">
        <v>973</v>
      </c>
      <c r="C1005" s="8">
        <v>1519.0</v>
      </c>
      <c r="D1005" s="8">
        <v>3499.0</v>
      </c>
      <c r="E1005" s="9">
        <v>0.57</v>
      </c>
      <c r="F1005" s="10">
        <v>4.3</v>
      </c>
      <c r="G1005" s="10">
        <v>408.0</v>
      </c>
      <c r="K1005" s="17">
        <v>4.3</v>
      </c>
    </row>
    <row r="1006">
      <c r="A1006" s="7" t="s">
        <v>1069</v>
      </c>
      <c r="B1006" s="7" t="s">
        <v>1059</v>
      </c>
      <c r="C1006" s="8">
        <v>420.0</v>
      </c>
      <c r="D1006" s="8">
        <v>420.0</v>
      </c>
      <c r="E1006" s="9">
        <v>0.0</v>
      </c>
      <c r="F1006" s="10">
        <v>4.2</v>
      </c>
      <c r="G1006" s="11">
        <v>1926.0</v>
      </c>
      <c r="K1006" s="17">
        <v>4.2</v>
      </c>
    </row>
    <row r="1007">
      <c r="A1007" s="7" t="s">
        <v>1070</v>
      </c>
      <c r="B1007" s="7" t="s">
        <v>1071</v>
      </c>
      <c r="C1007" s="8">
        <v>225.0</v>
      </c>
      <c r="D1007" s="8">
        <v>225.0</v>
      </c>
      <c r="E1007" s="9">
        <v>0.0</v>
      </c>
      <c r="F1007" s="10">
        <v>4.1</v>
      </c>
      <c r="G1007" s="11">
        <v>4798.0</v>
      </c>
      <c r="K1007" s="17">
        <v>4.1</v>
      </c>
    </row>
    <row r="1008">
      <c r="A1008" s="7" t="s">
        <v>1072</v>
      </c>
      <c r="B1008" s="7" t="s">
        <v>1073</v>
      </c>
      <c r="C1008" s="8">
        <v>199.0</v>
      </c>
      <c r="D1008" s="8">
        <v>799.0</v>
      </c>
      <c r="E1008" s="9">
        <v>0.75</v>
      </c>
      <c r="F1008" s="10">
        <v>4.1</v>
      </c>
      <c r="G1008" s="11">
        <v>7333.0</v>
      </c>
      <c r="K1008" s="17">
        <v>4.1</v>
      </c>
    </row>
    <row r="1009">
      <c r="A1009" s="7" t="s">
        <v>604</v>
      </c>
      <c r="B1009" s="7" t="s">
        <v>441</v>
      </c>
      <c r="C1009" s="8">
        <v>1799.0</v>
      </c>
      <c r="D1009" s="8">
        <v>3999.0</v>
      </c>
      <c r="E1009" s="9">
        <v>0.55</v>
      </c>
      <c r="F1009" s="10">
        <v>4.6</v>
      </c>
      <c r="G1009" s="10">
        <v>245.0</v>
      </c>
      <c r="K1009" s="17">
        <v>4.6</v>
      </c>
    </row>
    <row r="1010">
      <c r="A1010" s="7" t="s">
        <v>1074</v>
      </c>
      <c r="B1010" s="7" t="s">
        <v>988</v>
      </c>
      <c r="C1010" s="8">
        <v>8349.0</v>
      </c>
      <c r="D1010" s="8">
        <v>9625.0</v>
      </c>
      <c r="E1010" s="9">
        <v>0.13</v>
      </c>
      <c r="F1010" s="10">
        <v>3.8</v>
      </c>
      <c r="G1010" s="11">
        <v>3652.0</v>
      </c>
      <c r="K1010" s="17">
        <v>3.8</v>
      </c>
    </row>
    <row r="1011">
      <c r="A1011" s="7" t="s">
        <v>1075</v>
      </c>
      <c r="B1011" s="7" t="s">
        <v>875</v>
      </c>
      <c r="C1011" s="8">
        <v>3307.0</v>
      </c>
      <c r="D1011" s="8">
        <v>6100.0</v>
      </c>
      <c r="E1011" s="9">
        <v>0.46</v>
      </c>
      <c r="F1011" s="10">
        <v>4.3</v>
      </c>
      <c r="G1011" s="11">
        <v>2515.0</v>
      </c>
      <c r="K1011" s="17">
        <v>4.3</v>
      </c>
    </row>
    <row r="1012">
      <c r="A1012" s="7" t="s">
        <v>109</v>
      </c>
      <c r="B1012" s="7" t="s">
        <v>15</v>
      </c>
      <c r="C1012" s="8">
        <v>325.0</v>
      </c>
      <c r="D1012" s="8">
        <v>1299.0</v>
      </c>
      <c r="E1012" s="9">
        <v>0.75</v>
      </c>
      <c r="F1012" s="10">
        <v>4.2</v>
      </c>
      <c r="G1012" s="11">
        <v>10576.0</v>
      </c>
      <c r="K1012" s="17">
        <v>4.2</v>
      </c>
    </row>
    <row r="1013">
      <c r="A1013" s="7" t="s">
        <v>1076</v>
      </c>
      <c r="B1013" s="7" t="s">
        <v>622</v>
      </c>
      <c r="C1013" s="8">
        <v>449.0</v>
      </c>
      <c r="D1013" s="8">
        <v>1300.0</v>
      </c>
      <c r="E1013" s="9">
        <v>0.65</v>
      </c>
      <c r="F1013" s="10">
        <v>4.2</v>
      </c>
      <c r="G1013" s="11">
        <v>4959.0</v>
      </c>
      <c r="K1013" s="17">
        <v>4.2</v>
      </c>
    </row>
    <row r="1014">
      <c r="A1014" s="7" t="s">
        <v>1077</v>
      </c>
      <c r="B1014" s="7" t="s">
        <v>652</v>
      </c>
      <c r="C1014" s="8">
        <v>380.0</v>
      </c>
      <c r="D1014" s="8">
        <v>400.0</v>
      </c>
      <c r="E1014" s="9">
        <v>0.05</v>
      </c>
      <c r="F1014" s="10">
        <v>4.4</v>
      </c>
      <c r="G1014" s="11">
        <v>2111.0</v>
      </c>
      <c r="K1014" s="17">
        <v>4.4</v>
      </c>
    </row>
    <row r="1015">
      <c r="A1015" s="7" t="s">
        <v>1078</v>
      </c>
      <c r="B1015" s="7" t="s">
        <v>627</v>
      </c>
      <c r="C1015" s="8">
        <v>499.0</v>
      </c>
      <c r="D1015" s="8">
        <v>1399.0</v>
      </c>
      <c r="E1015" s="9">
        <v>0.64</v>
      </c>
      <c r="F1015" s="10">
        <v>3.9</v>
      </c>
      <c r="G1015" s="11">
        <v>1462.0</v>
      </c>
      <c r="K1015" s="17">
        <v>3.9</v>
      </c>
    </row>
    <row r="1016">
      <c r="A1016" s="7" t="s">
        <v>1079</v>
      </c>
      <c r="B1016" s="7" t="s">
        <v>1080</v>
      </c>
      <c r="C1016" s="8">
        <v>37247.0</v>
      </c>
      <c r="D1016" s="8">
        <v>59890.0</v>
      </c>
      <c r="E1016" s="9">
        <v>0.38</v>
      </c>
      <c r="F1016" s="10">
        <v>4.0</v>
      </c>
      <c r="G1016" s="10">
        <v>323.0</v>
      </c>
      <c r="K1016" s="17">
        <v>4.0</v>
      </c>
    </row>
    <row r="1017">
      <c r="A1017" s="7" t="s">
        <v>1081</v>
      </c>
      <c r="B1017" s="7" t="s">
        <v>572</v>
      </c>
      <c r="C1017" s="8">
        <v>849.0</v>
      </c>
      <c r="D1017" s="8">
        <v>2490.0</v>
      </c>
      <c r="E1017" s="9">
        <v>0.66</v>
      </c>
      <c r="F1017" s="10">
        <v>4.2</v>
      </c>
      <c r="G1017" s="11">
        <v>91188.0</v>
      </c>
      <c r="K1017" s="17">
        <v>4.2</v>
      </c>
    </row>
    <row r="1018">
      <c r="A1018" s="7" t="s">
        <v>1082</v>
      </c>
      <c r="B1018" s="7" t="s">
        <v>804</v>
      </c>
      <c r="C1018" s="8">
        <v>799.0</v>
      </c>
      <c r="D1018" s="8">
        <v>1999.0</v>
      </c>
      <c r="E1018" s="9">
        <v>0.6</v>
      </c>
      <c r="F1018" s="10">
        <v>3.7</v>
      </c>
      <c r="G1018" s="10">
        <v>418.0</v>
      </c>
      <c r="K1018" s="17">
        <v>3.7</v>
      </c>
    </row>
    <row r="1019">
      <c r="A1019" s="7" t="s">
        <v>616</v>
      </c>
      <c r="B1019" s="7" t="s">
        <v>502</v>
      </c>
      <c r="C1019" s="8">
        <v>2599.0</v>
      </c>
      <c r="D1019" s="8">
        <v>6999.0</v>
      </c>
      <c r="E1019" s="9">
        <v>0.63</v>
      </c>
      <c r="F1019" s="10">
        <v>4.5</v>
      </c>
      <c r="G1019" s="11">
        <v>1526.0</v>
      </c>
      <c r="K1019" s="17">
        <v>4.5</v>
      </c>
    </row>
    <row r="1020">
      <c r="A1020" s="7" t="s">
        <v>113</v>
      </c>
      <c r="B1020" s="7" t="s">
        <v>15</v>
      </c>
      <c r="C1020" s="8">
        <v>199.0</v>
      </c>
      <c r="D1020" s="8">
        <v>999.0</v>
      </c>
      <c r="E1020" s="9">
        <v>0.8</v>
      </c>
      <c r="F1020" s="10">
        <v>4.5</v>
      </c>
      <c r="G1020" s="10">
        <v>127.0</v>
      </c>
      <c r="K1020" s="17">
        <v>4.5</v>
      </c>
    </row>
    <row r="1021">
      <c r="A1021" s="7" t="s">
        <v>115</v>
      </c>
      <c r="B1021" s="7" t="s">
        <v>25</v>
      </c>
      <c r="C1021" s="8">
        <v>269.0</v>
      </c>
      <c r="D1021" s="8">
        <v>800.0</v>
      </c>
      <c r="E1021" s="9">
        <v>0.66</v>
      </c>
      <c r="F1021" s="10">
        <v>3.6</v>
      </c>
      <c r="G1021" s="11">
        <v>10134.0</v>
      </c>
      <c r="K1021" s="17">
        <v>3.6</v>
      </c>
    </row>
    <row r="1022">
      <c r="A1022" s="7" t="s">
        <v>1083</v>
      </c>
      <c r="B1022" s="7" t="s">
        <v>759</v>
      </c>
      <c r="C1022" s="8">
        <v>298.0</v>
      </c>
      <c r="D1022" s="8">
        <v>999.0</v>
      </c>
      <c r="E1022" s="9">
        <v>0.7</v>
      </c>
      <c r="F1022" s="10">
        <v>4.3</v>
      </c>
      <c r="G1022" s="11">
        <v>1552.0</v>
      </c>
      <c r="K1022" s="17">
        <v>4.3</v>
      </c>
    </row>
    <row r="1023">
      <c r="A1023" s="7" t="s">
        <v>1084</v>
      </c>
      <c r="B1023" s="7" t="s">
        <v>804</v>
      </c>
      <c r="C1023" s="8">
        <v>1499.0</v>
      </c>
      <c r="D1023" s="8">
        <v>2999.0</v>
      </c>
      <c r="E1023" s="9">
        <v>0.5</v>
      </c>
      <c r="F1023" s="10">
        <v>4.1</v>
      </c>
      <c r="G1023" s="11">
        <v>25262.0</v>
      </c>
      <c r="K1023" s="17">
        <v>4.1</v>
      </c>
    </row>
    <row r="1024">
      <c r="A1024" s="7" t="s">
        <v>1085</v>
      </c>
      <c r="B1024" s="7" t="s">
        <v>1086</v>
      </c>
      <c r="C1024" s="8">
        <v>649.0</v>
      </c>
      <c r="D1024" s="8">
        <v>1245.0</v>
      </c>
      <c r="E1024" s="9">
        <v>0.48</v>
      </c>
      <c r="F1024" s="10">
        <v>3.9</v>
      </c>
      <c r="G1024" s="7" t="s">
        <v>1087</v>
      </c>
      <c r="K1024" s="17">
        <v>3.9</v>
      </c>
    </row>
    <row r="1025">
      <c r="A1025" s="7" t="s">
        <v>1088</v>
      </c>
      <c r="B1025" s="7" t="s">
        <v>1089</v>
      </c>
      <c r="C1025" s="8">
        <v>1199.0</v>
      </c>
      <c r="D1025" s="8">
        <v>1695.0</v>
      </c>
      <c r="E1025" s="9">
        <v>0.29</v>
      </c>
      <c r="F1025" s="10">
        <v>3.6</v>
      </c>
      <c r="G1025" s="11">
        <v>13300.0</v>
      </c>
      <c r="K1025" s="17">
        <v>3.6</v>
      </c>
    </row>
    <row r="1026">
      <c r="A1026" s="7" t="s">
        <v>1090</v>
      </c>
      <c r="B1026" s="7" t="s">
        <v>1091</v>
      </c>
      <c r="C1026" s="8">
        <v>1199.0</v>
      </c>
      <c r="D1026" s="8">
        <v>2000.0</v>
      </c>
      <c r="E1026" s="9">
        <v>0.4</v>
      </c>
      <c r="F1026" s="10">
        <v>4.0</v>
      </c>
      <c r="G1026" s="11">
        <v>18543.0</v>
      </c>
      <c r="K1026" s="17">
        <v>4.0</v>
      </c>
    </row>
    <row r="1027">
      <c r="A1027" s="7" t="s">
        <v>1092</v>
      </c>
      <c r="B1027" s="7" t="s">
        <v>1093</v>
      </c>
      <c r="C1027" s="8">
        <v>455.0</v>
      </c>
      <c r="D1027" s="8">
        <v>999.0</v>
      </c>
      <c r="E1027" s="9">
        <v>0.54</v>
      </c>
      <c r="F1027" s="10">
        <v>4.1</v>
      </c>
      <c r="G1027" s="11">
        <v>3578.0</v>
      </c>
      <c r="K1027" s="17">
        <v>4.1</v>
      </c>
    </row>
    <row r="1028">
      <c r="A1028" s="7" t="s">
        <v>1094</v>
      </c>
      <c r="B1028" s="7" t="s">
        <v>1095</v>
      </c>
      <c r="C1028" s="8">
        <v>199.0</v>
      </c>
      <c r="D1028" s="8">
        <v>1999.0</v>
      </c>
      <c r="E1028" s="9">
        <v>0.9</v>
      </c>
      <c r="F1028" s="10">
        <v>3.7</v>
      </c>
      <c r="G1028" s="11">
        <v>2031.0</v>
      </c>
      <c r="K1028" s="17">
        <v>3.7</v>
      </c>
    </row>
    <row r="1029">
      <c r="A1029" s="7" t="s">
        <v>1096</v>
      </c>
      <c r="B1029" s="7" t="s">
        <v>1095</v>
      </c>
      <c r="C1029" s="8">
        <v>293.0</v>
      </c>
      <c r="D1029" s="8">
        <v>499.0</v>
      </c>
      <c r="E1029" s="9">
        <v>0.41</v>
      </c>
      <c r="F1029" s="10">
        <v>3.9</v>
      </c>
      <c r="G1029" s="11">
        <v>44994.0</v>
      </c>
      <c r="K1029" s="17">
        <v>3.9</v>
      </c>
    </row>
    <row r="1030">
      <c r="A1030" s="7" t="s">
        <v>1097</v>
      </c>
      <c r="B1030" s="7" t="s">
        <v>1098</v>
      </c>
      <c r="C1030" s="8">
        <v>199.0</v>
      </c>
      <c r="D1030" s="8">
        <v>495.0</v>
      </c>
      <c r="E1030" s="9">
        <v>0.6</v>
      </c>
      <c r="F1030" s="10">
        <v>4.1</v>
      </c>
      <c r="G1030" s="7" t="s">
        <v>1099</v>
      </c>
      <c r="K1030" s="17">
        <v>4.1</v>
      </c>
    </row>
    <row r="1031">
      <c r="A1031" s="7" t="s">
        <v>1100</v>
      </c>
      <c r="B1031" s="7" t="s">
        <v>1086</v>
      </c>
      <c r="C1031" s="8">
        <v>749.0</v>
      </c>
      <c r="D1031" s="8">
        <v>1245.0</v>
      </c>
      <c r="E1031" s="9">
        <v>0.4</v>
      </c>
      <c r="F1031" s="10">
        <v>3.9</v>
      </c>
      <c r="G1031" s="11">
        <v>31783.0</v>
      </c>
      <c r="K1031" s="17">
        <v>3.9</v>
      </c>
    </row>
    <row r="1032">
      <c r="A1032" s="7" t="s">
        <v>1101</v>
      </c>
      <c r="B1032" s="7" t="s">
        <v>1089</v>
      </c>
      <c r="C1032" s="8">
        <v>1399.0</v>
      </c>
      <c r="D1032" s="8">
        <v>1549.0</v>
      </c>
      <c r="E1032" s="9">
        <v>0.1</v>
      </c>
      <c r="F1032" s="10">
        <v>3.9</v>
      </c>
      <c r="G1032" s="11">
        <v>2602.0</v>
      </c>
      <c r="K1032" s="17">
        <v>3.9</v>
      </c>
    </row>
    <row r="1033">
      <c r="A1033" s="7" t="s">
        <v>1102</v>
      </c>
      <c r="B1033" s="7" t="s">
        <v>1086</v>
      </c>
      <c r="C1033" s="8">
        <v>749.0</v>
      </c>
      <c r="D1033" s="8">
        <v>1445.0</v>
      </c>
      <c r="E1033" s="9">
        <v>0.48</v>
      </c>
      <c r="F1033" s="10">
        <v>3.9</v>
      </c>
      <c r="G1033" s="11">
        <v>63350.0</v>
      </c>
      <c r="K1033" s="17">
        <v>3.9</v>
      </c>
    </row>
    <row r="1034">
      <c r="A1034" s="7" t="s">
        <v>1103</v>
      </c>
      <c r="B1034" s="7" t="s">
        <v>1104</v>
      </c>
      <c r="C1034" s="8">
        <v>1699.0</v>
      </c>
      <c r="D1034" s="8">
        <v>3193.0</v>
      </c>
      <c r="E1034" s="9">
        <v>0.47</v>
      </c>
      <c r="F1034" s="10">
        <v>3.8</v>
      </c>
      <c r="G1034" s="11">
        <v>54032.0</v>
      </c>
      <c r="K1034" s="17">
        <v>3.8</v>
      </c>
    </row>
    <row r="1035">
      <c r="A1035" s="7" t="s">
        <v>1105</v>
      </c>
      <c r="B1035" s="7" t="s">
        <v>1086</v>
      </c>
      <c r="C1035" s="8">
        <v>1043.0</v>
      </c>
      <c r="D1035" s="8">
        <v>1345.0</v>
      </c>
      <c r="E1035" s="9">
        <v>0.22</v>
      </c>
      <c r="F1035" s="10">
        <v>3.8</v>
      </c>
      <c r="G1035" s="11">
        <v>15592.0</v>
      </c>
      <c r="K1035" s="17">
        <v>3.8</v>
      </c>
    </row>
    <row r="1036">
      <c r="A1036" s="7" t="s">
        <v>1106</v>
      </c>
      <c r="B1036" s="7" t="s">
        <v>1093</v>
      </c>
      <c r="C1036" s="8">
        <v>499.0</v>
      </c>
      <c r="D1036" s="8">
        <v>999.0</v>
      </c>
      <c r="E1036" s="9">
        <v>0.5</v>
      </c>
      <c r="F1036" s="10">
        <v>4.1</v>
      </c>
      <c r="G1036" s="11">
        <v>4859.0</v>
      </c>
      <c r="K1036" s="17">
        <v>4.1</v>
      </c>
    </row>
    <row r="1037">
      <c r="A1037" s="7" t="s">
        <v>1107</v>
      </c>
      <c r="B1037" s="7" t="s">
        <v>1091</v>
      </c>
      <c r="C1037" s="8">
        <v>1464.0</v>
      </c>
      <c r="D1037" s="8">
        <v>1650.0</v>
      </c>
      <c r="E1037" s="9">
        <v>0.11</v>
      </c>
      <c r="F1037" s="10">
        <v>4.1</v>
      </c>
      <c r="G1037" s="11">
        <v>14120.0</v>
      </c>
      <c r="K1037" s="17">
        <v>4.1</v>
      </c>
    </row>
    <row r="1038">
      <c r="A1038" s="7" t="s">
        <v>1108</v>
      </c>
      <c r="B1038" s="7" t="s">
        <v>1109</v>
      </c>
      <c r="C1038" s="8">
        <v>249.0</v>
      </c>
      <c r="D1038" s="8">
        <v>499.0</v>
      </c>
      <c r="E1038" s="9">
        <v>0.5</v>
      </c>
      <c r="F1038" s="10">
        <v>3.3</v>
      </c>
      <c r="G1038" s="11">
        <v>8427.0</v>
      </c>
      <c r="K1038" s="17">
        <v>3.3</v>
      </c>
    </row>
    <row r="1039">
      <c r="A1039" s="7" t="s">
        <v>1110</v>
      </c>
      <c r="B1039" s="7" t="s">
        <v>1111</v>
      </c>
      <c r="C1039" s="8">
        <v>625.0</v>
      </c>
      <c r="D1039" s="8">
        <v>1400.0</v>
      </c>
      <c r="E1039" s="9">
        <v>0.55</v>
      </c>
      <c r="F1039" s="10">
        <v>4.2</v>
      </c>
      <c r="G1039" s="11">
        <v>23316.0</v>
      </c>
      <c r="K1039" s="17">
        <v>4.2</v>
      </c>
    </row>
    <row r="1040">
      <c r="A1040" s="7" t="s">
        <v>1112</v>
      </c>
      <c r="B1040" s="7" t="s">
        <v>1113</v>
      </c>
      <c r="C1040" s="8">
        <v>1290.0</v>
      </c>
      <c r="D1040" s="8">
        <v>2500.0</v>
      </c>
      <c r="E1040" s="9">
        <v>0.48</v>
      </c>
      <c r="F1040" s="10">
        <v>4.0</v>
      </c>
      <c r="G1040" s="11">
        <v>6530.0</v>
      </c>
      <c r="K1040" s="17">
        <v>4.0</v>
      </c>
    </row>
    <row r="1041">
      <c r="A1041" s="7" t="s">
        <v>1114</v>
      </c>
      <c r="B1041" s="7" t="s">
        <v>1115</v>
      </c>
      <c r="C1041" s="8">
        <v>3600.0</v>
      </c>
      <c r="D1041" s="8">
        <v>6190.0</v>
      </c>
      <c r="E1041" s="9">
        <v>0.42</v>
      </c>
      <c r="F1041" s="10">
        <v>4.3</v>
      </c>
      <c r="G1041" s="11">
        <v>11924.0</v>
      </c>
      <c r="K1041" s="17">
        <v>4.3</v>
      </c>
    </row>
    <row r="1042">
      <c r="A1042" s="7" t="s">
        <v>1116</v>
      </c>
      <c r="B1042" s="7" t="s">
        <v>1117</v>
      </c>
      <c r="C1042" s="8">
        <v>6549.0</v>
      </c>
      <c r="D1042" s="8">
        <v>13999.0</v>
      </c>
      <c r="E1042" s="9">
        <v>0.53</v>
      </c>
      <c r="F1042" s="10">
        <v>4.0</v>
      </c>
      <c r="G1042" s="11">
        <v>2961.0</v>
      </c>
      <c r="K1042" s="17">
        <v>4.0</v>
      </c>
    </row>
    <row r="1043">
      <c r="A1043" s="7" t="s">
        <v>1118</v>
      </c>
      <c r="B1043" s="7" t="s">
        <v>1086</v>
      </c>
      <c r="C1043" s="8">
        <v>1625.0</v>
      </c>
      <c r="D1043" s="8">
        <v>2995.0</v>
      </c>
      <c r="E1043" s="9">
        <v>0.46</v>
      </c>
      <c r="F1043" s="10">
        <v>4.5</v>
      </c>
      <c r="G1043" s="11">
        <v>23484.0</v>
      </c>
      <c r="K1043" s="17">
        <v>4.5</v>
      </c>
    </row>
    <row r="1044">
      <c r="A1044" s="7" t="s">
        <v>1119</v>
      </c>
      <c r="B1044" s="7" t="s">
        <v>1115</v>
      </c>
      <c r="C1044" s="8">
        <v>2599.0</v>
      </c>
      <c r="D1044" s="8">
        <v>5890.0</v>
      </c>
      <c r="E1044" s="9">
        <v>0.56</v>
      </c>
      <c r="F1044" s="10">
        <v>4.1</v>
      </c>
      <c r="G1044" s="11">
        <v>21783.0</v>
      </c>
      <c r="K1044" s="17">
        <v>4.1</v>
      </c>
    </row>
    <row r="1045">
      <c r="A1045" s="7" t="s">
        <v>1120</v>
      </c>
      <c r="B1045" s="7" t="s">
        <v>1121</v>
      </c>
      <c r="C1045" s="8">
        <v>1199.0</v>
      </c>
      <c r="D1045" s="8">
        <v>2000.0</v>
      </c>
      <c r="E1045" s="9">
        <v>0.4</v>
      </c>
      <c r="F1045" s="10">
        <v>4.0</v>
      </c>
      <c r="G1045" s="11">
        <v>14030.0</v>
      </c>
      <c r="K1045" s="17">
        <v>4.0</v>
      </c>
    </row>
    <row r="1046">
      <c r="A1046" s="7" t="s">
        <v>1122</v>
      </c>
      <c r="B1046" s="7" t="s">
        <v>1123</v>
      </c>
      <c r="C1046" s="8">
        <v>5499.0</v>
      </c>
      <c r="D1046" s="8">
        <v>13150.0</v>
      </c>
      <c r="E1046" s="9">
        <v>0.58</v>
      </c>
      <c r="F1046" s="10">
        <v>4.2</v>
      </c>
      <c r="G1046" s="11">
        <v>6398.0</v>
      </c>
      <c r="K1046" s="17">
        <v>4.2</v>
      </c>
    </row>
    <row r="1047">
      <c r="A1047" s="7" t="s">
        <v>1124</v>
      </c>
      <c r="B1047" s="7" t="s">
        <v>1113</v>
      </c>
      <c r="C1047" s="8">
        <v>1299.0</v>
      </c>
      <c r="D1047" s="8">
        <v>3500.0</v>
      </c>
      <c r="E1047" s="9">
        <v>0.63</v>
      </c>
      <c r="F1047" s="10">
        <v>3.8</v>
      </c>
      <c r="G1047" s="11">
        <v>44050.0</v>
      </c>
      <c r="K1047" s="17">
        <v>3.8</v>
      </c>
    </row>
    <row r="1048">
      <c r="A1048" s="7" t="s">
        <v>1125</v>
      </c>
      <c r="B1048" s="7" t="s">
        <v>1111</v>
      </c>
      <c r="C1048" s="8">
        <v>599.0</v>
      </c>
      <c r="D1048" s="8">
        <v>785.0</v>
      </c>
      <c r="E1048" s="9">
        <v>0.24</v>
      </c>
      <c r="F1048" s="10">
        <v>4.2</v>
      </c>
      <c r="G1048" s="11">
        <v>24247.0</v>
      </c>
      <c r="K1048" s="17">
        <v>4.2</v>
      </c>
    </row>
    <row r="1049">
      <c r="A1049" s="7" t="s">
        <v>1126</v>
      </c>
      <c r="B1049" s="7" t="s">
        <v>1113</v>
      </c>
      <c r="C1049" s="8">
        <v>1999.0</v>
      </c>
      <c r="D1049" s="8">
        <v>3210.0</v>
      </c>
      <c r="E1049" s="9">
        <v>0.38</v>
      </c>
      <c r="F1049" s="10">
        <v>4.2</v>
      </c>
      <c r="G1049" s="11">
        <v>41349.0</v>
      </c>
      <c r="K1049" s="17">
        <v>4.2</v>
      </c>
    </row>
    <row r="1050">
      <c r="A1050" s="7" t="s">
        <v>1127</v>
      </c>
      <c r="B1050" s="7" t="s">
        <v>1121</v>
      </c>
      <c r="C1050" s="8">
        <v>549.0</v>
      </c>
      <c r="D1050" s="8">
        <v>1000.0</v>
      </c>
      <c r="E1050" s="9">
        <v>0.45</v>
      </c>
      <c r="F1050" s="10">
        <v>3.6</v>
      </c>
      <c r="G1050" s="11">
        <v>1074.0</v>
      </c>
      <c r="K1050" s="17">
        <v>3.6</v>
      </c>
    </row>
    <row r="1051">
      <c r="A1051" s="7" t="s">
        <v>1128</v>
      </c>
      <c r="B1051" s="7" t="s">
        <v>1089</v>
      </c>
      <c r="C1051" s="8">
        <v>999.0</v>
      </c>
      <c r="D1051" s="8">
        <v>2000.0</v>
      </c>
      <c r="E1051" s="9">
        <v>0.5</v>
      </c>
      <c r="F1051" s="10">
        <v>3.8</v>
      </c>
      <c r="G1051" s="11">
        <v>1163.0</v>
      </c>
      <c r="K1051" s="17">
        <v>3.8</v>
      </c>
    </row>
    <row r="1052">
      <c r="A1052" s="7" t="s">
        <v>1129</v>
      </c>
      <c r="B1052" s="7" t="s">
        <v>1093</v>
      </c>
      <c r="C1052" s="8">
        <v>398.0</v>
      </c>
      <c r="D1052" s="8">
        <v>1999.0</v>
      </c>
      <c r="E1052" s="9">
        <v>0.8</v>
      </c>
      <c r="F1052" s="10">
        <v>4.1</v>
      </c>
      <c r="G1052" s="10">
        <v>257.0</v>
      </c>
      <c r="K1052" s="17">
        <v>4.1</v>
      </c>
    </row>
    <row r="1053">
      <c r="A1053" s="7" t="s">
        <v>1130</v>
      </c>
      <c r="B1053" s="7" t="s">
        <v>1131</v>
      </c>
      <c r="C1053" s="8">
        <v>539.0</v>
      </c>
      <c r="D1053" s="8">
        <v>720.0</v>
      </c>
      <c r="E1053" s="9">
        <v>0.25</v>
      </c>
      <c r="F1053" s="10">
        <v>4.1</v>
      </c>
      <c r="G1053" s="11">
        <v>36017.0</v>
      </c>
      <c r="K1053" s="17">
        <v>4.1</v>
      </c>
    </row>
    <row r="1054">
      <c r="A1054" s="7" t="s">
        <v>1132</v>
      </c>
      <c r="B1054" s="7" t="s">
        <v>1086</v>
      </c>
      <c r="C1054" s="8">
        <v>699.0</v>
      </c>
      <c r="D1054" s="8">
        <v>1595.0</v>
      </c>
      <c r="E1054" s="9">
        <v>0.56</v>
      </c>
      <c r="F1054" s="10">
        <v>4.1</v>
      </c>
      <c r="G1054" s="11">
        <v>8090.0</v>
      </c>
      <c r="K1054" s="17">
        <v>4.1</v>
      </c>
    </row>
    <row r="1055">
      <c r="A1055" s="7" t="s">
        <v>1133</v>
      </c>
      <c r="B1055" s="7" t="s">
        <v>1104</v>
      </c>
      <c r="C1055" s="8">
        <v>2148.0</v>
      </c>
      <c r="D1055" s="8">
        <v>3645.0</v>
      </c>
      <c r="E1055" s="9">
        <v>0.41</v>
      </c>
      <c r="F1055" s="10">
        <v>4.1</v>
      </c>
      <c r="G1055" s="11">
        <v>31388.0</v>
      </c>
      <c r="K1055" s="17">
        <v>4.1</v>
      </c>
    </row>
    <row r="1056">
      <c r="A1056" s="7" t="s">
        <v>1134</v>
      </c>
      <c r="B1056" s="7" t="s">
        <v>1135</v>
      </c>
      <c r="C1056" s="8">
        <v>3599.0</v>
      </c>
      <c r="D1056" s="8">
        <v>7950.0</v>
      </c>
      <c r="E1056" s="9">
        <v>0.55</v>
      </c>
      <c r="F1056" s="10">
        <v>4.2</v>
      </c>
      <c r="G1056" s="10">
        <v>136.0</v>
      </c>
      <c r="K1056" s="17">
        <v>4.2</v>
      </c>
    </row>
    <row r="1057">
      <c r="A1057" s="7" t="s">
        <v>1136</v>
      </c>
      <c r="B1057" s="7" t="s">
        <v>1137</v>
      </c>
      <c r="C1057" s="8">
        <v>351.0</v>
      </c>
      <c r="D1057" s="8">
        <v>999.0</v>
      </c>
      <c r="E1057" s="9">
        <v>0.65</v>
      </c>
      <c r="F1057" s="10">
        <v>4.0</v>
      </c>
      <c r="G1057" s="11">
        <v>5380.0</v>
      </c>
      <c r="K1057" s="17">
        <v>4.0</v>
      </c>
    </row>
    <row r="1058">
      <c r="A1058" s="7" t="s">
        <v>1138</v>
      </c>
      <c r="B1058" s="7" t="s">
        <v>1139</v>
      </c>
      <c r="C1058" s="8">
        <v>1614.0</v>
      </c>
      <c r="D1058" s="8">
        <v>1745.0</v>
      </c>
      <c r="E1058" s="9">
        <v>0.08</v>
      </c>
      <c r="F1058" s="10">
        <v>4.3</v>
      </c>
      <c r="G1058" s="11">
        <v>37974.0</v>
      </c>
      <c r="K1058" s="17">
        <v>4.3</v>
      </c>
    </row>
    <row r="1059">
      <c r="A1059" s="7" t="s">
        <v>1140</v>
      </c>
      <c r="B1059" s="7" t="s">
        <v>1131</v>
      </c>
      <c r="C1059" s="8">
        <v>719.0</v>
      </c>
      <c r="D1059" s="8">
        <v>1295.0</v>
      </c>
      <c r="E1059" s="9">
        <v>0.44</v>
      </c>
      <c r="F1059" s="10">
        <v>4.2</v>
      </c>
      <c r="G1059" s="11">
        <v>17218.0</v>
      </c>
      <c r="K1059" s="17">
        <v>4.2</v>
      </c>
    </row>
    <row r="1060">
      <c r="A1060" s="7" t="s">
        <v>1141</v>
      </c>
      <c r="B1060" s="7" t="s">
        <v>1093</v>
      </c>
      <c r="C1060" s="8">
        <v>678.0</v>
      </c>
      <c r="D1060" s="8">
        <v>1499.0</v>
      </c>
      <c r="E1060" s="9">
        <v>0.55</v>
      </c>
      <c r="F1060" s="10">
        <v>4.2</v>
      </c>
      <c r="G1060" s="10">
        <v>900.0</v>
      </c>
      <c r="K1060" s="17">
        <v>4.2</v>
      </c>
    </row>
    <row r="1061">
      <c r="A1061" s="7" t="s">
        <v>1142</v>
      </c>
      <c r="B1061" s="7" t="s">
        <v>1121</v>
      </c>
      <c r="C1061" s="8">
        <v>809.0</v>
      </c>
      <c r="D1061" s="8">
        <v>1545.0</v>
      </c>
      <c r="E1061" s="9">
        <v>0.48</v>
      </c>
      <c r="F1061" s="10">
        <v>3.7</v>
      </c>
      <c r="G1061" s="10">
        <v>976.0</v>
      </c>
      <c r="K1061" s="17">
        <v>3.7</v>
      </c>
    </row>
    <row r="1062">
      <c r="A1062" s="7" t="s">
        <v>1143</v>
      </c>
      <c r="B1062" s="7" t="s">
        <v>1144</v>
      </c>
      <c r="C1062" s="8">
        <v>1969.0</v>
      </c>
      <c r="D1062" s="8">
        <v>5000.0</v>
      </c>
      <c r="E1062" s="9">
        <v>0.61</v>
      </c>
      <c r="F1062" s="10">
        <v>4.1</v>
      </c>
      <c r="G1062" s="11">
        <v>4927.0</v>
      </c>
      <c r="K1062" s="17">
        <v>4.1</v>
      </c>
    </row>
    <row r="1063">
      <c r="A1063" s="7" t="s">
        <v>1145</v>
      </c>
      <c r="B1063" s="7" t="s">
        <v>1093</v>
      </c>
      <c r="C1063" s="8">
        <v>1490.0</v>
      </c>
      <c r="D1063" s="8">
        <v>1695.0</v>
      </c>
      <c r="E1063" s="9">
        <v>0.12</v>
      </c>
      <c r="F1063" s="10">
        <v>4.4</v>
      </c>
      <c r="G1063" s="11">
        <v>3543.0</v>
      </c>
      <c r="K1063" s="17">
        <v>4.4</v>
      </c>
    </row>
    <row r="1064">
      <c r="A1064" s="7" t="s">
        <v>1146</v>
      </c>
      <c r="B1064" s="7" t="s">
        <v>1089</v>
      </c>
      <c r="C1064" s="8">
        <v>2499.0</v>
      </c>
      <c r="D1064" s="8">
        <v>3945.0</v>
      </c>
      <c r="E1064" s="9">
        <v>0.37</v>
      </c>
      <c r="F1064" s="10">
        <v>3.8</v>
      </c>
      <c r="G1064" s="11">
        <v>2732.0</v>
      </c>
      <c r="K1064" s="17">
        <v>3.8</v>
      </c>
    </row>
    <row r="1065">
      <c r="A1065" s="7" t="s">
        <v>1147</v>
      </c>
      <c r="B1065" s="7" t="s">
        <v>1148</v>
      </c>
      <c r="C1065" s="8">
        <v>1665.0</v>
      </c>
      <c r="D1065" s="8">
        <v>2099.0</v>
      </c>
      <c r="E1065" s="9">
        <v>0.21</v>
      </c>
      <c r="F1065" s="10">
        <v>4.0</v>
      </c>
      <c r="G1065" s="11">
        <v>14368.0</v>
      </c>
      <c r="K1065" s="17">
        <v>4.0</v>
      </c>
    </row>
    <row r="1066">
      <c r="A1066" s="7" t="s">
        <v>1149</v>
      </c>
      <c r="B1066" s="7" t="s">
        <v>1104</v>
      </c>
      <c r="C1066" s="8">
        <v>3229.0</v>
      </c>
      <c r="D1066" s="8">
        <v>5295.0</v>
      </c>
      <c r="E1066" s="9">
        <v>0.39</v>
      </c>
      <c r="F1066" s="10">
        <v>4.2</v>
      </c>
      <c r="G1066" s="11">
        <v>39724.0</v>
      </c>
      <c r="K1066" s="17">
        <v>4.2</v>
      </c>
    </row>
    <row r="1067">
      <c r="A1067" s="7" t="s">
        <v>1150</v>
      </c>
      <c r="B1067" s="7" t="s">
        <v>1104</v>
      </c>
      <c r="C1067" s="8">
        <v>1799.0</v>
      </c>
      <c r="D1067" s="8">
        <v>3595.0</v>
      </c>
      <c r="E1067" s="9">
        <v>0.5</v>
      </c>
      <c r="F1067" s="10">
        <v>3.8</v>
      </c>
      <c r="G1067" s="11">
        <v>9791.0</v>
      </c>
      <c r="K1067" s="17">
        <v>3.8</v>
      </c>
    </row>
    <row r="1068">
      <c r="A1068" s="7" t="s">
        <v>1151</v>
      </c>
      <c r="B1068" s="7" t="s">
        <v>1086</v>
      </c>
      <c r="C1068" s="8">
        <v>1260.0</v>
      </c>
      <c r="D1068" s="8">
        <v>1699.0</v>
      </c>
      <c r="E1068" s="9">
        <v>0.26</v>
      </c>
      <c r="F1068" s="10">
        <v>4.2</v>
      </c>
      <c r="G1068" s="11">
        <v>2891.0</v>
      </c>
      <c r="K1068" s="17">
        <v>4.2</v>
      </c>
    </row>
    <row r="1069">
      <c r="A1069" s="7" t="s">
        <v>1152</v>
      </c>
      <c r="B1069" s="7" t="s">
        <v>1089</v>
      </c>
      <c r="C1069" s="8">
        <v>749.0</v>
      </c>
      <c r="D1069" s="8">
        <v>1129.0</v>
      </c>
      <c r="E1069" s="9">
        <v>0.34</v>
      </c>
      <c r="F1069" s="10">
        <v>4.0</v>
      </c>
      <c r="G1069" s="11">
        <v>2446.0</v>
      </c>
      <c r="K1069" s="17">
        <v>4.0</v>
      </c>
    </row>
    <row r="1070">
      <c r="A1070" s="7" t="s">
        <v>1153</v>
      </c>
      <c r="B1070" s="7" t="s">
        <v>1113</v>
      </c>
      <c r="C1070" s="8">
        <v>3499.0</v>
      </c>
      <c r="D1070" s="8">
        <v>5795.0</v>
      </c>
      <c r="E1070" s="9">
        <v>0.4</v>
      </c>
      <c r="F1070" s="10">
        <v>3.9</v>
      </c>
      <c r="G1070" s="11">
        <v>25340.0</v>
      </c>
      <c r="K1070" s="17">
        <v>3.9</v>
      </c>
    </row>
    <row r="1071">
      <c r="A1071" s="7" t="s">
        <v>1154</v>
      </c>
      <c r="B1071" s="7" t="s">
        <v>1155</v>
      </c>
      <c r="C1071" s="8">
        <v>379.0</v>
      </c>
      <c r="D1071" s="8">
        <v>999.0</v>
      </c>
      <c r="E1071" s="9">
        <v>0.62</v>
      </c>
      <c r="F1071" s="10">
        <v>4.3</v>
      </c>
      <c r="G1071" s="11">
        <v>3096.0</v>
      </c>
      <c r="K1071" s="17">
        <v>4.3</v>
      </c>
    </row>
    <row r="1072">
      <c r="A1072" s="7" t="s">
        <v>1156</v>
      </c>
      <c r="B1072" s="7" t="s">
        <v>1089</v>
      </c>
      <c r="C1072" s="8">
        <v>1099.0</v>
      </c>
      <c r="D1072" s="8">
        <v>2400.0</v>
      </c>
      <c r="E1072" s="9">
        <v>0.54</v>
      </c>
      <c r="F1072" s="10">
        <v>3.8</v>
      </c>
      <c r="G1072" s="10">
        <v>4.0</v>
      </c>
      <c r="K1072" s="17">
        <v>3.8</v>
      </c>
    </row>
    <row r="1073">
      <c r="A1073" s="7" t="s">
        <v>1157</v>
      </c>
      <c r="B1073" s="7" t="s">
        <v>1121</v>
      </c>
      <c r="C1073" s="8">
        <v>749.0</v>
      </c>
      <c r="D1073" s="8">
        <v>1299.0</v>
      </c>
      <c r="E1073" s="9">
        <v>0.42</v>
      </c>
      <c r="F1073" s="10">
        <v>4.0</v>
      </c>
      <c r="G1073" s="10">
        <v>119.0</v>
      </c>
      <c r="K1073" s="17">
        <v>4.0</v>
      </c>
    </row>
    <row r="1074">
      <c r="A1074" s="7" t="s">
        <v>1158</v>
      </c>
      <c r="B1074" s="7" t="s">
        <v>1159</v>
      </c>
      <c r="C1074" s="8">
        <v>1299.0</v>
      </c>
      <c r="D1074" s="8">
        <v>1299.0</v>
      </c>
      <c r="E1074" s="9">
        <v>0.0</v>
      </c>
      <c r="F1074" s="10">
        <v>4.2</v>
      </c>
      <c r="G1074" s="11">
        <v>40106.0</v>
      </c>
      <c r="K1074" s="17">
        <v>4.2</v>
      </c>
    </row>
    <row r="1075">
      <c r="A1075" s="7" t="s">
        <v>1160</v>
      </c>
      <c r="B1075" s="7" t="s">
        <v>1111</v>
      </c>
      <c r="C1075" s="8">
        <v>549.0</v>
      </c>
      <c r="D1075" s="8">
        <v>1090.0</v>
      </c>
      <c r="E1075" s="9">
        <v>0.5</v>
      </c>
      <c r="F1075" s="10">
        <v>4.2</v>
      </c>
      <c r="G1075" s="11">
        <v>13029.0</v>
      </c>
      <c r="K1075" s="17">
        <v>4.2</v>
      </c>
    </row>
    <row r="1076">
      <c r="A1076" s="7" t="s">
        <v>1161</v>
      </c>
      <c r="B1076" s="7" t="s">
        <v>1091</v>
      </c>
      <c r="C1076" s="8">
        <v>899.0</v>
      </c>
      <c r="D1076" s="8">
        <v>2000.0</v>
      </c>
      <c r="E1076" s="9">
        <v>0.55</v>
      </c>
      <c r="F1076" s="10">
        <v>3.6</v>
      </c>
      <c r="G1076" s="10">
        <v>291.0</v>
      </c>
      <c r="K1076" s="17">
        <v>3.6</v>
      </c>
    </row>
    <row r="1077">
      <c r="A1077" s="7" t="s">
        <v>1162</v>
      </c>
      <c r="B1077" s="7" t="s">
        <v>1111</v>
      </c>
      <c r="C1077" s="8">
        <v>1321.0</v>
      </c>
      <c r="D1077" s="8">
        <v>1545.0</v>
      </c>
      <c r="E1077" s="9">
        <v>0.14</v>
      </c>
      <c r="F1077" s="10">
        <v>4.3</v>
      </c>
      <c r="G1077" s="11">
        <v>15453.0</v>
      </c>
      <c r="K1077" s="17">
        <v>4.3</v>
      </c>
    </row>
    <row r="1078">
      <c r="A1078" s="7" t="s">
        <v>1163</v>
      </c>
      <c r="B1078" s="7" t="s">
        <v>1093</v>
      </c>
      <c r="C1078" s="8">
        <v>1099.0</v>
      </c>
      <c r="D1078" s="8">
        <v>1999.0</v>
      </c>
      <c r="E1078" s="9">
        <v>0.45</v>
      </c>
      <c r="F1078" s="10">
        <v>4.0</v>
      </c>
      <c r="G1078" s="10">
        <v>604.0</v>
      </c>
      <c r="K1078" s="17">
        <v>4.0</v>
      </c>
    </row>
    <row r="1079">
      <c r="A1079" s="7" t="s">
        <v>1164</v>
      </c>
      <c r="B1079" s="7" t="s">
        <v>1111</v>
      </c>
      <c r="C1079" s="8">
        <v>775.0</v>
      </c>
      <c r="D1079" s="8">
        <v>875.0</v>
      </c>
      <c r="E1079" s="9">
        <v>0.11</v>
      </c>
      <c r="F1079" s="10">
        <v>4.2</v>
      </c>
      <c r="G1079" s="11">
        <v>46647.0</v>
      </c>
      <c r="K1079" s="17">
        <v>4.2</v>
      </c>
    </row>
    <row r="1080">
      <c r="A1080" s="7" t="s">
        <v>1165</v>
      </c>
      <c r="B1080" s="7" t="s">
        <v>1123</v>
      </c>
      <c r="C1080" s="8">
        <v>6299.0</v>
      </c>
      <c r="D1080" s="8">
        <v>15270.0</v>
      </c>
      <c r="E1080" s="9">
        <v>0.59</v>
      </c>
      <c r="F1080" s="10">
        <v>4.1</v>
      </c>
      <c r="G1080" s="11">
        <v>3233.0</v>
      </c>
      <c r="K1080" s="17">
        <v>4.1</v>
      </c>
    </row>
    <row r="1081">
      <c r="A1081" s="7" t="s">
        <v>1166</v>
      </c>
      <c r="B1081" s="7" t="s">
        <v>1139</v>
      </c>
      <c r="C1081" s="8">
        <v>3190.0</v>
      </c>
      <c r="D1081" s="8">
        <v>4195.0</v>
      </c>
      <c r="E1081" s="9">
        <v>0.24</v>
      </c>
      <c r="F1081" s="10">
        <v>4.0</v>
      </c>
      <c r="G1081" s="11">
        <v>1282.0</v>
      </c>
      <c r="K1081" s="17">
        <v>4.0</v>
      </c>
    </row>
    <row r="1082">
      <c r="A1082" s="7" t="s">
        <v>1167</v>
      </c>
      <c r="B1082" s="7" t="s">
        <v>1089</v>
      </c>
      <c r="C1082" s="8">
        <v>799.0</v>
      </c>
      <c r="D1082" s="8">
        <v>1989.0</v>
      </c>
      <c r="E1082" s="9">
        <v>0.6</v>
      </c>
      <c r="F1082" s="10">
        <v>4.3</v>
      </c>
      <c r="G1082" s="10">
        <v>70.0</v>
      </c>
      <c r="K1082" s="17">
        <v>4.3</v>
      </c>
    </row>
    <row r="1083">
      <c r="A1083" s="7" t="s">
        <v>1168</v>
      </c>
      <c r="B1083" s="7" t="s">
        <v>1144</v>
      </c>
      <c r="C1083" s="8">
        <v>2699.0</v>
      </c>
      <c r="D1083" s="8">
        <v>5000.0</v>
      </c>
      <c r="E1083" s="9">
        <v>0.46</v>
      </c>
      <c r="F1083" s="10">
        <v>4.0</v>
      </c>
      <c r="G1083" s="11">
        <v>26164.0</v>
      </c>
      <c r="K1083" s="17">
        <v>4.0</v>
      </c>
    </row>
    <row r="1084">
      <c r="A1084" s="7" t="s">
        <v>1169</v>
      </c>
      <c r="B1084" s="7" t="s">
        <v>1111</v>
      </c>
      <c r="C1084" s="8">
        <v>599.0</v>
      </c>
      <c r="D1084" s="8">
        <v>990.0</v>
      </c>
      <c r="E1084" s="9">
        <v>0.39</v>
      </c>
      <c r="F1084" s="10">
        <v>3.9</v>
      </c>
      <c r="G1084" s="11">
        <v>16166.0</v>
      </c>
      <c r="K1084" s="17">
        <v>3.9</v>
      </c>
    </row>
    <row r="1085">
      <c r="A1085" s="7" t="s">
        <v>1170</v>
      </c>
      <c r="B1085" s="7" t="s">
        <v>1121</v>
      </c>
      <c r="C1085" s="8">
        <v>749.0</v>
      </c>
      <c r="D1085" s="8">
        <v>1111.0</v>
      </c>
      <c r="E1085" s="9">
        <v>0.33</v>
      </c>
      <c r="F1085" s="10">
        <v>4.2</v>
      </c>
      <c r="G1085" s="11">
        <v>35693.0</v>
      </c>
      <c r="K1085" s="17">
        <v>4.2</v>
      </c>
    </row>
    <row r="1086">
      <c r="A1086" s="7" t="s">
        <v>1171</v>
      </c>
      <c r="B1086" s="7" t="s">
        <v>1123</v>
      </c>
      <c r="C1086" s="8">
        <v>6199.0</v>
      </c>
      <c r="D1086" s="8">
        <v>10400.0</v>
      </c>
      <c r="E1086" s="9">
        <v>0.4</v>
      </c>
      <c r="F1086" s="10">
        <v>4.1</v>
      </c>
      <c r="G1086" s="11">
        <v>14391.0</v>
      </c>
      <c r="K1086" s="17">
        <v>4.1</v>
      </c>
    </row>
    <row r="1087">
      <c r="A1087" s="7" t="s">
        <v>1172</v>
      </c>
      <c r="B1087" s="7" t="s">
        <v>1173</v>
      </c>
      <c r="C1087" s="8">
        <v>1819.0</v>
      </c>
      <c r="D1087" s="8">
        <v>2490.0</v>
      </c>
      <c r="E1087" s="9">
        <v>0.27</v>
      </c>
      <c r="F1087" s="10">
        <v>4.4</v>
      </c>
      <c r="G1087" s="11">
        <v>7946.0</v>
      </c>
      <c r="K1087" s="17">
        <v>4.4</v>
      </c>
    </row>
    <row r="1088">
      <c r="A1088" s="7" t="s">
        <v>1174</v>
      </c>
      <c r="B1088" s="7" t="s">
        <v>1121</v>
      </c>
      <c r="C1088" s="8">
        <v>1199.0</v>
      </c>
      <c r="D1088" s="8">
        <v>1900.0</v>
      </c>
      <c r="E1088" s="9">
        <v>0.37</v>
      </c>
      <c r="F1088" s="10">
        <v>4.0</v>
      </c>
      <c r="G1088" s="11">
        <v>1765.0</v>
      </c>
      <c r="K1088" s="17">
        <v>4.0</v>
      </c>
    </row>
    <row r="1089">
      <c r="A1089" s="7" t="s">
        <v>1175</v>
      </c>
      <c r="B1089" s="7" t="s">
        <v>1113</v>
      </c>
      <c r="C1089" s="8">
        <v>3249.0</v>
      </c>
      <c r="D1089" s="8">
        <v>6295.0</v>
      </c>
      <c r="E1089" s="9">
        <v>0.48</v>
      </c>
      <c r="F1089" s="10">
        <v>3.8</v>
      </c>
      <c r="G1089" s="11">
        <v>14062.0</v>
      </c>
      <c r="K1089" s="17">
        <v>3.8</v>
      </c>
    </row>
    <row r="1090">
      <c r="A1090" s="7" t="s">
        <v>1176</v>
      </c>
      <c r="B1090" s="7" t="s">
        <v>1155</v>
      </c>
      <c r="C1090" s="8">
        <v>349.0</v>
      </c>
      <c r="D1090" s="8">
        <v>999.0</v>
      </c>
      <c r="E1090" s="9">
        <v>0.65</v>
      </c>
      <c r="F1090" s="10">
        <v>4.0</v>
      </c>
      <c r="G1090" s="11">
        <v>15646.0</v>
      </c>
      <c r="K1090" s="17">
        <v>4.0</v>
      </c>
    </row>
    <row r="1091">
      <c r="A1091" s="7" t="s">
        <v>1177</v>
      </c>
      <c r="B1091" s="7" t="s">
        <v>1091</v>
      </c>
      <c r="C1091" s="8">
        <v>1049.0</v>
      </c>
      <c r="D1091" s="8">
        <v>1699.0</v>
      </c>
      <c r="E1091" s="9">
        <v>0.38</v>
      </c>
      <c r="F1091" s="10">
        <v>3.1</v>
      </c>
      <c r="G1091" s="10">
        <v>111.0</v>
      </c>
      <c r="K1091" s="17">
        <v>3.1</v>
      </c>
    </row>
    <row r="1092">
      <c r="A1092" s="7" t="s">
        <v>1178</v>
      </c>
      <c r="B1092" s="7" t="s">
        <v>1179</v>
      </c>
      <c r="C1092" s="8">
        <v>799.0</v>
      </c>
      <c r="D1092" s="8">
        <v>1500.0</v>
      </c>
      <c r="E1092" s="9">
        <v>0.47</v>
      </c>
      <c r="F1092" s="10">
        <v>4.3</v>
      </c>
      <c r="G1092" s="11">
        <v>9695.0</v>
      </c>
      <c r="K1092" s="17">
        <v>4.3</v>
      </c>
    </row>
    <row r="1093">
      <c r="A1093" s="7" t="s">
        <v>1180</v>
      </c>
      <c r="B1093" s="7" t="s">
        <v>1123</v>
      </c>
      <c r="C1093" s="8">
        <v>4999.0</v>
      </c>
      <c r="D1093" s="8">
        <v>9650.0</v>
      </c>
      <c r="E1093" s="9">
        <v>0.48</v>
      </c>
      <c r="F1093" s="10">
        <v>4.2</v>
      </c>
      <c r="G1093" s="11">
        <v>1772.0</v>
      </c>
      <c r="K1093" s="17">
        <v>4.2</v>
      </c>
    </row>
    <row r="1094">
      <c r="A1094" s="7" t="s">
        <v>1181</v>
      </c>
      <c r="B1094" s="7" t="s">
        <v>1113</v>
      </c>
      <c r="C1094" s="8">
        <v>6999.0</v>
      </c>
      <c r="D1094" s="8">
        <v>10590.0</v>
      </c>
      <c r="E1094" s="9">
        <v>0.34</v>
      </c>
      <c r="F1094" s="10">
        <v>4.4</v>
      </c>
      <c r="G1094" s="11">
        <v>11499.0</v>
      </c>
      <c r="K1094" s="17">
        <v>4.4</v>
      </c>
    </row>
    <row r="1095">
      <c r="A1095" s="7" t="s">
        <v>1182</v>
      </c>
      <c r="B1095" s="7" t="s">
        <v>1095</v>
      </c>
      <c r="C1095" s="8">
        <v>799.0</v>
      </c>
      <c r="D1095" s="8">
        <v>1999.0</v>
      </c>
      <c r="E1095" s="9">
        <v>0.6</v>
      </c>
      <c r="F1095" s="10">
        <v>4.1</v>
      </c>
      <c r="G1095" s="11">
        <v>2162.0</v>
      </c>
      <c r="K1095" s="17">
        <v>4.1</v>
      </c>
    </row>
    <row r="1096">
      <c r="A1096" s="7" t="s">
        <v>1183</v>
      </c>
      <c r="B1096" s="7" t="s">
        <v>1184</v>
      </c>
      <c r="C1096" s="8">
        <v>89.0</v>
      </c>
      <c r="D1096" s="8">
        <v>89.0</v>
      </c>
      <c r="E1096" s="9">
        <v>0.0</v>
      </c>
      <c r="F1096" s="10">
        <v>4.2</v>
      </c>
      <c r="G1096" s="11">
        <v>19621.0</v>
      </c>
      <c r="K1096" s="17">
        <v>4.2</v>
      </c>
    </row>
    <row r="1097">
      <c r="A1097" s="7" t="s">
        <v>1185</v>
      </c>
      <c r="B1097" s="7" t="s">
        <v>1186</v>
      </c>
      <c r="C1097" s="8">
        <v>1400.0</v>
      </c>
      <c r="D1097" s="8">
        <v>2485.0</v>
      </c>
      <c r="E1097" s="9">
        <v>0.44</v>
      </c>
      <c r="F1097" s="10">
        <v>4.1</v>
      </c>
      <c r="G1097" s="11">
        <v>19998.0</v>
      </c>
      <c r="K1097" s="17">
        <v>4.1</v>
      </c>
    </row>
    <row r="1098">
      <c r="A1098" s="7" t="s">
        <v>1187</v>
      </c>
      <c r="B1098" s="7" t="s">
        <v>1137</v>
      </c>
      <c r="C1098" s="8">
        <v>355.0</v>
      </c>
      <c r="D1098" s="8">
        <v>899.0</v>
      </c>
      <c r="E1098" s="9">
        <v>0.61</v>
      </c>
      <c r="F1098" s="10">
        <v>4.1</v>
      </c>
      <c r="G1098" s="11">
        <v>1051.0</v>
      </c>
      <c r="K1098" s="17">
        <v>4.1</v>
      </c>
    </row>
    <row r="1099">
      <c r="A1099" s="7" t="s">
        <v>1188</v>
      </c>
      <c r="B1099" s="7" t="s">
        <v>1089</v>
      </c>
      <c r="C1099" s="8">
        <v>2169.0</v>
      </c>
      <c r="D1099" s="8">
        <v>3279.0</v>
      </c>
      <c r="E1099" s="9">
        <v>0.34</v>
      </c>
      <c r="F1099" s="10">
        <v>4.1</v>
      </c>
      <c r="G1099" s="11">
        <v>1716.0</v>
      </c>
      <c r="K1099" s="17">
        <v>4.1</v>
      </c>
    </row>
    <row r="1100">
      <c r="A1100" s="7" t="s">
        <v>1189</v>
      </c>
      <c r="B1100" s="7" t="s">
        <v>1190</v>
      </c>
      <c r="C1100" s="8">
        <v>2799.0</v>
      </c>
      <c r="D1100" s="8">
        <v>3799.0</v>
      </c>
      <c r="E1100" s="9">
        <v>0.26</v>
      </c>
      <c r="F1100" s="10">
        <v>3.9</v>
      </c>
      <c r="G1100" s="11">
        <v>32931.0</v>
      </c>
      <c r="K1100" s="17">
        <v>3.9</v>
      </c>
    </row>
    <row r="1101">
      <c r="A1101" s="7" t="s">
        <v>1191</v>
      </c>
      <c r="B1101" s="7" t="s">
        <v>1086</v>
      </c>
      <c r="C1101" s="8">
        <v>899.0</v>
      </c>
      <c r="D1101" s="8">
        <v>1249.0</v>
      </c>
      <c r="E1101" s="9">
        <v>0.28</v>
      </c>
      <c r="F1101" s="10">
        <v>3.9</v>
      </c>
      <c r="G1101" s="11">
        <v>17424.0</v>
      </c>
      <c r="K1101" s="17">
        <v>3.9</v>
      </c>
    </row>
    <row r="1102">
      <c r="A1102" s="7" t="s">
        <v>1192</v>
      </c>
      <c r="B1102" s="7" t="s">
        <v>1117</v>
      </c>
      <c r="C1102" s="8">
        <v>2499.0</v>
      </c>
      <c r="D1102" s="8">
        <v>5000.0</v>
      </c>
      <c r="E1102" s="9">
        <v>0.5</v>
      </c>
      <c r="F1102" s="10">
        <v>3.8</v>
      </c>
      <c r="G1102" s="11">
        <v>1889.0</v>
      </c>
      <c r="K1102" s="17">
        <v>3.8</v>
      </c>
    </row>
    <row r="1103">
      <c r="A1103" s="7" t="s">
        <v>1193</v>
      </c>
      <c r="B1103" s="7" t="s">
        <v>1115</v>
      </c>
      <c r="C1103" s="8">
        <v>3599.0</v>
      </c>
      <c r="D1103" s="8">
        <v>7299.0</v>
      </c>
      <c r="E1103" s="9">
        <v>0.51</v>
      </c>
      <c r="F1103" s="10">
        <v>4.0</v>
      </c>
      <c r="G1103" s="11">
        <v>10324.0</v>
      </c>
      <c r="K1103" s="17">
        <v>4.0</v>
      </c>
    </row>
    <row r="1104">
      <c r="A1104" s="7" t="s">
        <v>1194</v>
      </c>
      <c r="B1104" s="7" t="s">
        <v>1111</v>
      </c>
      <c r="C1104" s="8">
        <v>499.0</v>
      </c>
      <c r="D1104" s="8">
        <v>625.0</v>
      </c>
      <c r="E1104" s="9">
        <v>0.2</v>
      </c>
      <c r="F1104" s="10">
        <v>4.2</v>
      </c>
      <c r="G1104" s="11">
        <v>5355.0</v>
      </c>
      <c r="K1104" s="17">
        <v>4.2</v>
      </c>
    </row>
    <row r="1105">
      <c r="A1105" s="7" t="s">
        <v>1195</v>
      </c>
      <c r="B1105" s="7" t="s">
        <v>1131</v>
      </c>
      <c r="C1105" s="8">
        <v>653.0</v>
      </c>
      <c r="D1105" s="8">
        <v>1020.0</v>
      </c>
      <c r="E1105" s="9">
        <v>0.36</v>
      </c>
      <c r="F1105" s="10">
        <v>4.1</v>
      </c>
      <c r="G1105" s="11">
        <v>3366.0</v>
      </c>
      <c r="K1105" s="17">
        <v>4.1</v>
      </c>
    </row>
    <row r="1106">
      <c r="A1106" s="7" t="s">
        <v>1196</v>
      </c>
      <c r="B1106" s="7" t="s">
        <v>1197</v>
      </c>
      <c r="C1106" s="8">
        <v>4789.0</v>
      </c>
      <c r="D1106" s="8">
        <v>8990.0</v>
      </c>
      <c r="E1106" s="9">
        <v>0.47</v>
      </c>
      <c r="F1106" s="10">
        <v>4.3</v>
      </c>
      <c r="G1106" s="11">
        <v>1017.0</v>
      </c>
      <c r="K1106" s="17">
        <v>4.3</v>
      </c>
    </row>
    <row r="1107">
      <c r="A1107" s="7" t="s">
        <v>1198</v>
      </c>
      <c r="B1107" s="7" t="s">
        <v>1199</v>
      </c>
      <c r="C1107" s="8">
        <v>1409.0</v>
      </c>
      <c r="D1107" s="8">
        <v>1639.0</v>
      </c>
      <c r="E1107" s="9">
        <v>0.14</v>
      </c>
      <c r="F1107" s="10">
        <v>3.7</v>
      </c>
      <c r="G1107" s="10">
        <v>787.0</v>
      </c>
      <c r="K1107" s="17">
        <v>3.7</v>
      </c>
    </row>
    <row r="1108">
      <c r="A1108" s="7" t="s">
        <v>1200</v>
      </c>
      <c r="B1108" s="7" t="s">
        <v>1109</v>
      </c>
      <c r="C1108" s="8">
        <v>753.0</v>
      </c>
      <c r="D1108" s="8">
        <v>899.0</v>
      </c>
      <c r="E1108" s="9">
        <v>0.16</v>
      </c>
      <c r="F1108" s="10">
        <v>4.2</v>
      </c>
      <c r="G1108" s="11">
        <v>18462.0</v>
      </c>
      <c r="K1108" s="17">
        <v>4.2</v>
      </c>
    </row>
    <row r="1109">
      <c r="A1109" s="7" t="s">
        <v>1201</v>
      </c>
      <c r="B1109" s="7" t="s">
        <v>1155</v>
      </c>
      <c r="C1109" s="8">
        <v>353.0</v>
      </c>
      <c r="D1109" s="8">
        <v>1199.0</v>
      </c>
      <c r="E1109" s="9">
        <v>0.71</v>
      </c>
      <c r="F1109" s="10">
        <v>4.3</v>
      </c>
      <c r="G1109" s="10">
        <v>629.0</v>
      </c>
      <c r="K1109" s="17">
        <v>4.3</v>
      </c>
    </row>
    <row r="1110">
      <c r="A1110" s="7" t="s">
        <v>1202</v>
      </c>
      <c r="B1110" s="7" t="s">
        <v>1095</v>
      </c>
      <c r="C1110" s="8">
        <v>1099.0</v>
      </c>
      <c r="D1110" s="8">
        <v>1899.0</v>
      </c>
      <c r="E1110" s="9">
        <v>0.42</v>
      </c>
      <c r="F1110" s="10">
        <v>4.3</v>
      </c>
      <c r="G1110" s="11">
        <v>15276.0</v>
      </c>
      <c r="K1110" s="17">
        <v>4.3</v>
      </c>
    </row>
    <row r="1111">
      <c r="A1111" s="7" t="s">
        <v>1203</v>
      </c>
      <c r="B1111" s="7" t="s">
        <v>1135</v>
      </c>
      <c r="C1111" s="8">
        <v>8799.0</v>
      </c>
      <c r="D1111" s="8">
        <v>11595.0</v>
      </c>
      <c r="E1111" s="9">
        <v>0.24</v>
      </c>
      <c r="F1111" s="10">
        <v>4.4</v>
      </c>
      <c r="G1111" s="11">
        <v>2981.0</v>
      </c>
      <c r="K1111" s="17">
        <v>4.4</v>
      </c>
    </row>
    <row r="1112">
      <c r="A1112" s="7" t="s">
        <v>1204</v>
      </c>
      <c r="B1112" s="7" t="s">
        <v>1086</v>
      </c>
      <c r="C1112" s="8">
        <v>1345.0</v>
      </c>
      <c r="D1112" s="8">
        <v>1750.0</v>
      </c>
      <c r="E1112" s="9">
        <v>0.23</v>
      </c>
      <c r="F1112" s="10">
        <v>3.8</v>
      </c>
      <c r="G1112" s="11">
        <v>2466.0</v>
      </c>
      <c r="K1112" s="17">
        <v>3.8</v>
      </c>
    </row>
    <row r="1113">
      <c r="A1113" s="7" t="s">
        <v>1205</v>
      </c>
      <c r="B1113" s="7" t="s">
        <v>1206</v>
      </c>
      <c r="C1113" s="8">
        <v>2095.0</v>
      </c>
      <c r="D1113" s="8">
        <v>2095.0</v>
      </c>
      <c r="E1113" s="9">
        <v>0.0</v>
      </c>
      <c r="F1113" s="10">
        <v>4.5</v>
      </c>
      <c r="G1113" s="11">
        <v>7949.0</v>
      </c>
      <c r="K1113" s="17">
        <v>4.5</v>
      </c>
    </row>
    <row r="1114">
      <c r="A1114" s="7" t="s">
        <v>1207</v>
      </c>
      <c r="B1114" s="7" t="s">
        <v>1089</v>
      </c>
      <c r="C1114" s="8">
        <v>1498.0</v>
      </c>
      <c r="D1114" s="8">
        <v>2300.0</v>
      </c>
      <c r="E1114" s="9">
        <v>0.35</v>
      </c>
      <c r="F1114" s="10">
        <v>3.8</v>
      </c>
      <c r="G1114" s="10">
        <v>95.0</v>
      </c>
      <c r="K1114" s="17">
        <v>3.8</v>
      </c>
    </row>
    <row r="1115">
      <c r="A1115" s="7" t="s">
        <v>1208</v>
      </c>
      <c r="B1115" s="7" t="s">
        <v>1209</v>
      </c>
      <c r="C1115" s="8">
        <v>2199.0</v>
      </c>
      <c r="D1115" s="8">
        <v>2990.0</v>
      </c>
      <c r="E1115" s="9">
        <v>0.26</v>
      </c>
      <c r="F1115" s="10">
        <v>3.8</v>
      </c>
      <c r="G1115" s="11">
        <v>1558.0</v>
      </c>
      <c r="K1115" s="17">
        <v>3.8</v>
      </c>
    </row>
    <row r="1116">
      <c r="A1116" s="7" t="s">
        <v>1210</v>
      </c>
      <c r="B1116" s="7" t="s">
        <v>1113</v>
      </c>
      <c r="C1116" s="8">
        <v>3699.0</v>
      </c>
      <c r="D1116" s="8">
        <v>4295.0</v>
      </c>
      <c r="E1116" s="9">
        <v>0.14</v>
      </c>
      <c r="F1116" s="10">
        <v>4.1</v>
      </c>
      <c r="G1116" s="11">
        <v>26543.0</v>
      </c>
      <c r="K1116" s="17">
        <v>4.1</v>
      </c>
    </row>
    <row r="1117">
      <c r="A1117" s="7" t="s">
        <v>1211</v>
      </c>
      <c r="B1117" s="7" t="s">
        <v>1137</v>
      </c>
      <c r="C1117" s="8">
        <v>177.0</v>
      </c>
      <c r="D1117" s="8">
        <v>199.0</v>
      </c>
      <c r="E1117" s="9">
        <v>0.11</v>
      </c>
      <c r="F1117" s="10">
        <v>4.1</v>
      </c>
      <c r="G1117" s="11">
        <v>3688.0</v>
      </c>
      <c r="K1117" s="17">
        <v>4.1</v>
      </c>
    </row>
    <row r="1118">
      <c r="A1118" s="7" t="s">
        <v>1212</v>
      </c>
      <c r="B1118" s="7" t="s">
        <v>1113</v>
      </c>
      <c r="C1118" s="8">
        <v>1149.0</v>
      </c>
      <c r="D1118" s="8">
        <v>2499.0</v>
      </c>
      <c r="E1118" s="9">
        <v>0.54</v>
      </c>
      <c r="F1118" s="10">
        <v>3.8</v>
      </c>
      <c r="G1118" s="11">
        <v>4383.0</v>
      </c>
      <c r="K1118" s="17">
        <v>3.8</v>
      </c>
    </row>
    <row r="1119">
      <c r="A1119" s="7" t="s">
        <v>1213</v>
      </c>
      <c r="B1119" s="7" t="s">
        <v>1214</v>
      </c>
      <c r="C1119" s="8">
        <v>244.0</v>
      </c>
      <c r="D1119" s="8">
        <v>499.0</v>
      </c>
      <c r="E1119" s="9">
        <v>0.51</v>
      </c>
      <c r="F1119" s="10">
        <v>3.3</v>
      </c>
      <c r="G1119" s="10">
        <v>478.0</v>
      </c>
      <c r="K1119" s="17">
        <v>3.3</v>
      </c>
    </row>
    <row r="1120">
      <c r="A1120" s="7" t="s">
        <v>1215</v>
      </c>
      <c r="B1120" s="7" t="s">
        <v>1089</v>
      </c>
      <c r="C1120" s="8">
        <v>1959.0</v>
      </c>
      <c r="D1120" s="8">
        <v>2400.0</v>
      </c>
      <c r="E1120" s="9">
        <v>0.18</v>
      </c>
      <c r="F1120" s="10">
        <v>4.0</v>
      </c>
      <c r="G1120" s="10">
        <v>237.0</v>
      </c>
      <c r="K1120" s="17">
        <v>4.0</v>
      </c>
    </row>
    <row r="1121">
      <c r="A1121" s="7" t="s">
        <v>1216</v>
      </c>
      <c r="B1121" s="7" t="s">
        <v>1093</v>
      </c>
      <c r="C1121" s="8">
        <v>319.0</v>
      </c>
      <c r="D1121" s="8">
        <v>749.0</v>
      </c>
      <c r="E1121" s="9">
        <v>0.57</v>
      </c>
      <c r="F1121" s="10">
        <v>4.6</v>
      </c>
      <c r="G1121" s="10">
        <v>124.0</v>
      </c>
      <c r="K1121" s="17">
        <v>4.6</v>
      </c>
    </row>
    <row r="1122">
      <c r="A1122" s="7" t="s">
        <v>1217</v>
      </c>
      <c r="B1122" s="7" t="s">
        <v>1086</v>
      </c>
      <c r="C1122" s="8">
        <v>1499.0</v>
      </c>
      <c r="D1122" s="8">
        <v>1775.0</v>
      </c>
      <c r="E1122" s="9">
        <v>0.16</v>
      </c>
      <c r="F1122" s="10">
        <v>3.9</v>
      </c>
      <c r="G1122" s="11">
        <v>14667.0</v>
      </c>
      <c r="K1122" s="17">
        <v>3.9</v>
      </c>
    </row>
    <row r="1123">
      <c r="A1123" s="7" t="s">
        <v>1218</v>
      </c>
      <c r="B1123" s="7" t="s">
        <v>1093</v>
      </c>
      <c r="C1123" s="8">
        <v>469.0</v>
      </c>
      <c r="D1123" s="8">
        <v>1599.0</v>
      </c>
      <c r="E1123" s="9">
        <v>0.71</v>
      </c>
      <c r="F1123" s="10">
        <v>3.7</v>
      </c>
      <c r="G1123" s="10">
        <v>6.0</v>
      </c>
      <c r="K1123" s="17">
        <v>3.7</v>
      </c>
    </row>
    <row r="1124">
      <c r="A1124" s="7" t="s">
        <v>1219</v>
      </c>
      <c r="B1124" s="7" t="s">
        <v>1206</v>
      </c>
      <c r="C1124" s="8">
        <v>1099.0</v>
      </c>
      <c r="D1124" s="8">
        <v>1795.0</v>
      </c>
      <c r="E1124" s="9">
        <v>0.39</v>
      </c>
      <c r="F1124" s="10">
        <v>4.2</v>
      </c>
      <c r="G1124" s="11">
        <v>4244.0</v>
      </c>
      <c r="K1124" s="17">
        <v>4.2</v>
      </c>
    </row>
    <row r="1125">
      <c r="A1125" s="7" t="s">
        <v>1220</v>
      </c>
      <c r="B1125" s="7" t="s">
        <v>1091</v>
      </c>
      <c r="C1125" s="8">
        <v>9590.0</v>
      </c>
      <c r="D1125" s="8">
        <v>15999.0</v>
      </c>
      <c r="E1125" s="9">
        <v>0.4</v>
      </c>
      <c r="F1125" s="10">
        <v>4.1</v>
      </c>
      <c r="G1125" s="11">
        <v>1017.0</v>
      </c>
      <c r="K1125" s="17">
        <v>4.1</v>
      </c>
    </row>
    <row r="1126">
      <c r="A1126" s="7" t="s">
        <v>1221</v>
      </c>
      <c r="B1126" s="7" t="s">
        <v>1222</v>
      </c>
      <c r="C1126" s="8">
        <v>999.0</v>
      </c>
      <c r="D1126" s="8">
        <v>1490.0</v>
      </c>
      <c r="E1126" s="9">
        <v>0.33</v>
      </c>
      <c r="F1126" s="10">
        <v>4.1</v>
      </c>
      <c r="G1126" s="11">
        <v>12999.0</v>
      </c>
      <c r="K1126" s="17">
        <v>4.1</v>
      </c>
    </row>
    <row r="1127">
      <c r="A1127" s="7" t="s">
        <v>1223</v>
      </c>
      <c r="B1127" s="7" t="s">
        <v>1121</v>
      </c>
      <c r="C1127" s="8">
        <v>1299.0</v>
      </c>
      <c r="D1127" s="8">
        <v>1999.0</v>
      </c>
      <c r="E1127" s="9">
        <v>0.35</v>
      </c>
      <c r="F1127" s="10">
        <v>3.8</v>
      </c>
      <c r="G1127" s="10">
        <v>311.0</v>
      </c>
      <c r="K1127" s="17">
        <v>3.8</v>
      </c>
    </row>
    <row r="1128">
      <c r="A1128" s="7" t="s">
        <v>1224</v>
      </c>
      <c r="B1128" s="7" t="s">
        <v>1225</v>
      </c>
      <c r="C1128" s="8">
        <v>292.0</v>
      </c>
      <c r="D1128" s="8">
        <v>499.0</v>
      </c>
      <c r="E1128" s="9">
        <v>0.41</v>
      </c>
      <c r="F1128" s="10">
        <v>4.1</v>
      </c>
      <c r="G1128" s="11">
        <v>4238.0</v>
      </c>
      <c r="K1128" s="17">
        <v>4.1</v>
      </c>
    </row>
    <row r="1129">
      <c r="A1129" s="7" t="s">
        <v>1226</v>
      </c>
      <c r="B1129" s="7" t="s">
        <v>1184</v>
      </c>
      <c r="C1129" s="8">
        <v>160.0</v>
      </c>
      <c r="D1129" s="8">
        <v>299.0</v>
      </c>
      <c r="E1129" s="9">
        <v>0.46</v>
      </c>
      <c r="F1129" s="10">
        <v>4.6</v>
      </c>
      <c r="G1129" s="11">
        <v>2781.0</v>
      </c>
      <c r="K1129" s="17">
        <v>4.6</v>
      </c>
    </row>
    <row r="1130">
      <c r="A1130" s="7" t="s">
        <v>1227</v>
      </c>
      <c r="B1130" s="7" t="s">
        <v>1228</v>
      </c>
      <c r="C1130" s="8">
        <v>600.0</v>
      </c>
      <c r="D1130" s="8">
        <v>600.0</v>
      </c>
      <c r="E1130" s="9">
        <v>0.0</v>
      </c>
      <c r="F1130" s="10">
        <v>4.1</v>
      </c>
      <c r="G1130" s="11">
        <v>10907.0</v>
      </c>
      <c r="K1130" s="17">
        <v>4.1</v>
      </c>
    </row>
    <row r="1131">
      <c r="A1131" s="7" t="s">
        <v>1229</v>
      </c>
      <c r="B1131" s="7" t="s">
        <v>1230</v>
      </c>
      <c r="C1131" s="8">
        <v>1130.0</v>
      </c>
      <c r="D1131" s="8">
        <v>1130.0</v>
      </c>
      <c r="E1131" s="9">
        <v>0.0</v>
      </c>
      <c r="F1131" s="10">
        <v>4.2</v>
      </c>
      <c r="G1131" s="11">
        <v>13250.0</v>
      </c>
      <c r="K1131" s="17">
        <v>4.2</v>
      </c>
    </row>
    <row r="1132">
      <c r="A1132" s="7" t="s">
        <v>1231</v>
      </c>
      <c r="B1132" s="7" t="s">
        <v>1113</v>
      </c>
      <c r="C1132" s="8">
        <v>3249.0</v>
      </c>
      <c r="D1132" s="8">
        <v>6295.0</v>
      </c>
      <c r="E1132" s="9">
        <v>0.48</v>
      </c>
      <c r="F1132" s="10">
        <v>3.9</v>
      </c>
      <c r="G1132" s="11">
        <v>43070.0</v>
      </c>
      <c r="K1132" s="17">
        <v>3.9</v>
      </c>
    </row>
    <row r="1133">
      <c r="A1133" s="7" t="s">
        <v>1232</v>
      </c>
      <c r="B1133" s="7" t="s">
        <v>1113</v>
      </c>
      <c r="C1133" s="8">
        <v>3599.0</v>
      </c>
      <c r="D1133" s="8">
        <v>9455.0</v>
      </c>
      <c r="E1133" s="9">
        <v>0.62</v>
      </c>
      <c r="F1133" s="10">
        <v>4.1</v>
      </c>
      <c r="G1133" s="11">
        <v>11828.0</v>
      </c>
      <c r="K1133" s="17">
        <v>4.1</v>
      </c>
    </row>
    <row r="1134">
      <c r="A1134" s="7" t="s">
        <v>1233</v>
      </c>
      <c r="B1134" s="7" t="s">
        <v>1155</v>
      </c>
      <c r="C1134" s="8">
        <v>368.0</v>
      </c>
      <c r="D1134" s="8">
        <v>699.0</v>
      </c>
      <c r="E1134" s="9">
        <v>0.47</v>
      </c>
      <c r="F1134" s="10">
        <v>4.1</v>
      </c>
      <c r="G1134" s="11">
        <v>1240.0</v>
      </c>
      <c r="K1134" s="17">
        <v>4.1</v>
      </c>
    </row>
    <row r="1135">
      <c r="A1135" s="7" t="s">
        <v>1234</v>
      </c>
      <c r="B1135" s="7" t="s">
        <v>1113</v>
      </c>
      <c r="C1135" s="8">
        <v>3199.0</v>
      </c>
      <c r="D1135" s="8">
        <v>4999.0</v>
      </c>
      <c r="E1135" s="9">
        <v>0.36</v>
      </c>
      <c r="F1135" s="10">
        <v>4.0</v>
      </c>
      <c r="G1135" s="11">
        <v>20869.0</v>
      </c>
      <c r="K1135" s="17">
        <v>4.0</v>
      </c>
    </row>
    <row r="1136">
      <c r="A1136" s="7" t="s">
        <v>1235</v>
      </c>
      <c r="B1136" s="7" t="s">
        <v>1236</v>
      </c>
      <c r="C1136" s="8">
        <v>1599.0</v>
      </c>
      <c r="D1136" s="8">
        <v>2900.0</v>
      </c>
      <c r="E1136" s="9">
        <v>0.45</v>
      </c>
      <c r="F1136" s="10">
        <v>3.7</v>
      </c>
      <c r="G1136" s="10">
        <v>441.0</v>
      </c>
      <c r="K1136" s="17">
        <v>3.7</v>
      </c>
    </row>
    <row r="1137">
      <c r="A1137" s="7" t="s">
        <v>1237</v>
      </c>
      <c r="B1137" s="7" t="s">
        <v>1109</v>
      </c>
      <c r="C1137" s="8">
        <v>1999.0</v>
      </c>
      <c r="D1137" s="8">
        <v>2499.0</v>
      </c>
      <c r="E1137" s="9">
        <v>0.2</v>
      </c>
      <c r="F1137" s="10">
        <v>4.1</v>
      </c>
      <c r="G1137" s="11">
        <v>1034.0</v>
      </c>
      <c r="K1137" s="17">
        <v>4.1</v>
      </c>
    </row>
    <row r="1138">
      <c r="A1138" s="7" t="s">
        <v>1238</v>
      </c>
      <c r="B1138" s="7" t="s">
        <v>1111</v>
      </c>
      <c r="C1138" s="8">
        <v>616.0</v>
      </c>
      <c r="D1138" s="8">
        <v>1190.0</v>
      </c>
      <c r="E1138" s="9">
        <v>0.48</v>
      </c>
      <c r="F1138" s="10">
        <v>4.1</v>
      </c>
      <c r="G1138" s="11">
        <v>37126.0</v>
      </c>
      <c r="K1138" s="17">
        <v>4.1</v>
      </c>
    </row>
    <row r="1139">
      <c r="A1139" s="7" t="s">
        <v>1239</v>
      </c>
      <c r="B1139" s="7" t="s">
        <v>1109</v>
      </c>
      <c r="C1139" s="8">
        <v>1499.0</v>
      </c>
      <c r="D1139" s="8">
        <v>2100.0</v>
      </c>
      <c r="E1139" s="9">
        <v>0.29</v>
      </c>
      <c r="F1139" s="10">
        <v>4.1</v>
      </c>
      <c r="G1139" s="11">
        <v>6355.0</v>
      </c>
      <c r="K1139" s="17">
        <v>4.1</v>
      </c>
    </row>
    <row r="1140">
      <c r="A1140" s="7" t="s">
        <v>1240</v>
      </c>
      <c r="B1140" s="7" t="s">
        <v>1184</v>
      </c>
      <c r="C1140" s="8">
        <v>199.0</v>
      </c>
      <c r="D1140" s="8">
        <v>499.0</v>
      </c>
      <c r="E1140" s="9">
        <v>0.6</v>
      </c>
      <c r="F1140" s="10">
        <v>3.3</v>
      </c>
      <c r="G1140" s="10">
        <v>12.0</v>
      </c>
      <c r="K1140" s="17">
        <v>3.3</v>
      </c>
    </row>
    <row r="1141">
      <c r="A1141" s="7" t="s">
        <v>1241</v>
      </c>
      <c r="B1141" s="7" t="s">
        <v>1131</v>
      </c>
      <c r="C1141" s="8">
        <v>610.0</v>
      </c>
      <c r="D1141" s="8">
        <v>825.0</v>
      </c>
      <c r="E1141" s="9">
        <v>0.26</v>
      </c>
      <c r="F1141" s="10">
        <v>4.1</v>
      </c>
      <c r="G1141" s="11">
        <v>13165.0</v>
      </c>
      <c r="K1141" s="17">
        <v>4.1</v>
      </c>
    </row>
    <row r="1142">
      <c r="A1142" s="7" t="s">
        <v>1242</v>
      </c>
      <c r="B1142" s="7" t="s">
        <v>1173</v>
      </c>
      <c r="C1142" s="8">
        <v>999.0</v>
      </c>
      <c r="D1142" s="8">
        <v>1499.0</v>
      </c>
      <c r="E1142" s="9">
        <v>0.33</v>
      </c>
      <c r="F1142" s="10">
        <v>4.1</v>
      </c>
      <c r="G1142" s="11">
        <v>1646.0</v>
      </c>
      <c r="K1142" s="17">
        <v>4.1</v>
      </c>
    </row>
    <row r="1143">
      <c r="A1143" s="7" t="s">
        <v>1243</v>
      </c>
      <c r="B1143" s="7" t="s">
        <v>1190</v>
      </c>
      <c r="C1143" s="8">
        <v>8999.0</v>
      </c>
      <c r="D1143" s="8">
        <v>9995.0</v>
      </c>
      <c r="E1143" s="9">
        <v>0.1</v>
      </c>
      <c r="F1143" s="10">
        <v>4.4</v>
      </c>
      <c r="G1143" s="11">
        <v>17994.0</v>
      </c>
      <c r="K1143" s="17">
        <v>4.4</v>
      </c>
    </row>
    <row r="1144">
      <c r="A1144" s="7" t="s">
        <v>1244</v>
      </c>
      <c r="B1144" s="7" t="s">
        <v>1093</v>
      </c>
      <c r="C1144" s="8">
        <v>453.0</v>
      </c>
      <c r="D1144" s="8">
        <v>999.0</v>
      </c>
      <c r="E1144" s="9">
        <v>0.55</v>
      </c>
      <c r="F1144" s="10">
        <v>4.3</v>
      </c>
      <c r="G1144" s="10">
        <v>610.0</v>
      </c>
      <c r="K1144" s="17">
        <v>4.3</v>
      </c>
    </row>
    <row r="1145">
      <c r="A1145" s="7" t="s">
        <v>1245</v>
      </c>
      <c r="B1145" s="7" t="s">
        <v>1113</v>
      </c>
      <c r="C1145" s="8">
        <v>2464.0</v>
      </c>
      <c r="D1145" s="8">
        <v>6000.0</v>
      </c>
      <c r="E1145" s="9">
        <v>0.59</v>
      </c>
      <c r="F1145" s="10">
        <v>4.1</v>
      </c>
      <c r="G1145" s="11">
        <v>8866.0</v>
      </c>
      <c r="K1145" s="17">
        <v>4.1</v>
      </c>
    </row>
    <row r="1146">
      <c r="A1146" s="7" t="s">
        <v>1246</v>
      </c>
      <c r="B1146" s="7" t="s">
        <v>1236</v>
      </c>
      <c r="C1146" s="8">
        <v>2719.0</v>
      </c>
      <c r="D1146" s="8">
        <v>3945.0</v>
      </c>
      <c r="E1146" s="9">
        <v>0.31</v>
      </c>
      <c r="F1146" s="10">
        <v>3.7</v>
      </c>
      <c r="G1146" s="11">
        <v>13406.0</v>
      </c>
      <c r="K1146" s="17">
        <v>3.7</v>
      </c>
    </row>
    <row r="1147">
      <c r="A1147" s="7" t="s">
        <v>1247</v>
      </c>
      <c r="B1147" s="7" t="s">
        <v>1115</v>
      </c>
      <c r="C1147" s="8">
        <v>1439.0</v>
      </c>
      <c r="D1147" s="8">
        <v>1999.0</v>
      </c>
      <c r="E1147" s="9">
        <v>0.28</v>
      </c>
      <c r="F1147" s="10">
        <v>4.8</v>
      </c>
      <c r="G1147" s="11">
        <v>53803.0</v>
      </c>
      <c r="K1147" s="17">
        <v>4.8</v>
      </c>
    </row>
    <row r="1148">
      <c r="A1148" s="7" t="s">
        <v>1248</v>
      </c>
      <c r="B1148" s="7" t="s">
        <v>1109</v>
      </c>
      <c r="C1148" s="8">
        <v>2799.0</v>
      </c>
      <c r="D1148" s="8">
        <v>3499.0</v>
      </c>
      <c r="E1148" s="9">
        <v>0.2</v>
      </c>
      <c r="F1148" s="10">
        <v>4.5</v>
      </c>
      <c r="G1148" s="10">
        <v>546.0</v>
      </c>
      <c r="K1148" s="17">
        <v>4.5</v>
      </c>
    </row>
    <row r="1149">
      <c r="A1149" s="7" t="s">
        <v>1249</v>
      </c>
      <c r="B1149" s="7" t="s">
        <v>1115</v>
      </c>
      <c r="C1149" s="8">
        <v>2088.0</v>
      </c>
      <c r="D1149" s="8">
        <v>5550.0</v>
      </c>
      <c r="E1149" s="9">
        <v>0.62</v>
      </c>
      <c r="F1149" s="10">
        <v>4.0</v>
      </c>
      <c r="G1149" s="11">
        <v>5292.0</v>
      </c>
      <c r="K1149" s="17">
        <v>4.0</v>
      </c>
    </row>
    <row r="1150">
      <c r="A1150" s="7" t="s">
        <v>1250</v>
      </c>
      <c r="B1150" s="7" t="s">
        <v>1115</v>
      </c>
      <c r="C1150" s="8">
        <v>2399.0</v>
      </c>
      <c r="D1150" s="8">
        <v>4590.0</v>
      </c>
      <c r="E1150" s="9">
        <v>0.48</v>
      </c>
      <c r="F1150" s="10">
        <v>4.1</v>
      </c>
      <c r="G1150" s="10">
        <v>444.0</v>
      </c>
      <c r="K1150" s="17">
        <v>4.1</v>
      </c>
    </row>
    <row r="1151">
      <c r="A1151" s="7" t="s">
        <v>1251</v>
      </c>
      <c r="B1151" s="7" t="s">
        <v>1095</v>
      </c>
      <c r="C1151" s="8">
        <v>308.0</v>
      </c>
      <c r="D1151" s="8">
        <v>499.0</v>
      </c>
      <c r="E1151" s="9">
        <v>0.38</v>
      </c>
      <c r="F1151" s="10">
        <v>3.9</v>
      </c>
      <c r="G1151" s="11">
        <v>4584.0</v>
      </c>
      <c r="K1151" s="17">
        <v>3.9</v>
      </c>
    </row>
    <row r="1152">
      <c r="A1152" s="7" t="s">
        <v>1252</v>
      </c>
      <c r="B1152" s="7" t="s">
        <v>1115</v>
      </c>
      <c r="C1152" s="8">
        <v>2599.0</v>
      </c>
      <c r="D1152" s="8">
        <v>4400.0</v>
      </c>
      <c r="E1152" s="9">
        <v>0.41</v>
      </c>
      <c r="F1152" s="10">
        <v>4.1</v>
      </c>
      <c r="G1152" s="11">
        <v>14947.0</v>
      </c>
      <c r="K1152" s="17">
        <v>4.1</v>
      </c>
    </row>
    <row r="1153">
      <c r="A1153" s="7" t="s">
        <v>1253</v>
      </c>
      <c r="B1153" s="7" t="s">
        <v>1111</v>
      </c>
      <c r="C1153" s="8">
        <v>479.0</v>
      </c>
      <c r="D1153" s="8">
        <v>1000.0</v>
      </c>
      <c r="E1153" s="9">
        <v>0.52</v>
      </c>
      <c r="F1153" s="10">
        <v>4.2</v>
      </c>
      <c r="G1153" s="11">
        <v>1559.0</v>
      </c>
      <c r="K1153" s="17">
        <v>4.2</v>
      </c>
    </row>
    <row r="1154">
      <c r="A1154" s="7" t="s">
        <v>1254</v>
      </c>
      <c r="B1154" s="7" t="s">
        <v>1093</v>
      </c>
      <c r="C1154" s="8">
        <v>245.0</v>
      </c>
      <c r="D1154" s="8">
        <v>299.0</v>
      </c>
      <c r="E1154" s="9">
        <v>0.18</v>
      </c>
      <c r="F1154" s="10">
        <v>4.1</v>
      </c>
      <c r="G1154" s="11">
        <v>1660.0</v>
      </c>
      <c r="K1154" s="17">
        <v>4.1</v>
      </c>
    </row>
    <row r="1155">
      <c r="A1155" s="7" t="s">
        <v>1255</v>
      </c>
      <c r="B1155" s="7" t="s">
        <v>1093</v>
      </c>
      <c r="C1155" s="8">
        <v>179.0</v>
      </c>
      <c r="D1155" s="8">
        <v>799.0</v>
      </c>
      <c r="E1155" s="9">
        <v>0.78</v>
      </c>
      <c r="F1155" s="10">
        <v>3.5</v>
      </c>
      <c r="G1155" s="10">
        <v>132.0</v>
      </c>
      <c r="K1155" s="17">
        <v>3.5</v>
      </c>
    </row>
    <row r="1156">
      <c r="A1156" s="7" t="s">
        <v>1256</v>
      </c>
      <c r="B1156" s="7" t="s">
        <v>1186</v>
      </c>
      <c r="C1156" s="8">
        <v>3569.0</v>
      </c>
      <c r="D1156" s="8">
        <v>5190.0</v>
      </c>
      <c r="E1156" s="9">
        <v>0.31</v>
      </c>
      <c r="F1156" s="10">
        <v>4.3</v>
      </c>
      <c r="G1156" s="11">
        <v>28629.0</v>
      </c>
      <c r="K1156" s="17">
        <v>4.3</v>
      </c>
    </row>
    <row r="1157">
      <c r="A1157" s="7" t="s">
        <v>1257</v>
      </c>
      <c r="B1157" s="7" t="s">
        <v>1086</v>
      </c>
      <c r="C1157" s="8">
        <v>699.0</v>
      </c>
      <c r="D1157" s="8">
        <v>1345.0</v>
      </c>
      <c r="E1157" s="9">
        <v>0.48</v>
      </c>
      <c r="F1157" s="10">
        <v>3.9</v>
      </c>
      <c r="G1157" s="11">
        <v>8446.0</v>
      </c>
      <c r="K1157" s="17">
        <v>3.9</v>
      </c>
    </row>
    <row r="1158">
      <c r="A1158" s="7" t="s">
        <v>1258</v>
      </c>
      <c r="B1158" s="7" t="s">
        <v>1104</v>
      </c>
      <c r="C1158" s="8">
        <v>2089.0</v>
      </c>
      <c r="D1158" s="8">
        <v>4000.0</v>
      </c>
      <c r="E1158" s="9">
        <v>0.48</v>
      </c>
      <c r="F1158" s="10">
        <v>4.2</v>
      </c>
      <c r="G1158" s="11">
        <v>11199.0</v>
      </c>
      <c r="K1158" s="17">
        <v>4.2</v>
      </c>
    </row>
    <row r="1159">
      <c r="A1159" s="7" t="s">
        <v>1259</v>
      </c>
      <c r="B1159" s="7" t="s">
        <v>1260</v>
      </c>
      <c r="C1159" s="8">
        <v>2339.0</v>
      </c>
      <c r="D1159" s="8">
        <v>4000.0</v>
      </c>
      <c r="E1159" s="9">
        <v>0.42</v>
      </c>
      <c r="F1159" s="10">
        <v>3.8</v>
      </c>
      <c r="G1159" s="11">
        <v>1118.0</v>
      </c>
      <c r="K1159" s="17">
        <v>3.8</v>
      </c>
    </row>
    <row r="1160">
      <c r="A1160" s="7" t="s">
        <v>1261</v>
      </c>
      <c r="B1160" s="7" t="s">
        <v>1091</v>
      </c>
      <c r="C1160" s="8">
        <v>784.0</v>
      </c>
      <c r="D1160" s="8">
        <v>1599.0</v>
      </c>
      <c r="E1160" s="9">
        <v>0.51</v>
      </c>
      <c r="F1160" s="10">
        <v>4.5</v>
      </c>
      <c r="G1160" s="10">
        <v>11.0</v>
      </c>
      <c r="K1160" s="17">
        <v>4.5</v>
      </c>
    </row>
    <row r="1161">
      <c r="A1161" s="7" t="s">
        <v>1262</v>
      </c>
      <c r="B1161" s="7" t="s">
        <v>1263</v>
      </c>
      <c r="C1161" s="8">
        <v>5499.0</v>
      </c>
      <c r="D1161" s="8">
        <v>9999.0</v>
      </c>
      <c r="E1161" s="9">
        <v>0.45</v>
      </c>
      <c r="F1161" s="10">
        <v>3.8</v>
      </c>
      <c r="G1161" s="11">
        <v>4353.0</v>
      </c>
      <c r="K1161" s="17">
        <v>3.8</v>
      </c>
    </row>
    <row r="1162">
      <c r="A1162" s="7" t="s">
        <v>1264</v>
      </c>
      <c r="B1162" s="7" t="s">
        <v>1091</v>
      </c>
      <c r="C1162" s="8">
        <v>899.0</v>
      </c>
      <c r="D1162" s="8">
        <v>1990.0</v>
      </c>
      <c r="E1162" s="9">
        <v>0.55</v>
      </c>
      <c r="F1162" s="10">
        <v>4.1</v>
      </c>
      <c r="G1162" s="10">
        <v>185.0</v>
      </c>
      <c r="K1162" s="17">
        <v>4.1</v>
      </c>
    </row>
    <row r="1163">
      <c r="A1163" s="7" t="s">
        <v>1265</v>
      </c>
      <c r="B1163" s="7" t="s">
        <v>1109</v>
      </c>
      <c r="C1163" s="8">
        <v>1695.0</v>
      </c>
      <c r="D1163" s="8">
        <v>1695.0</v>
      </c>
      <c r="E1163" s="9">
        <v>0.0</v>
      </c>
      <c r="F1163" s="10">
        <v>4.2</v>
      </c>
      <c r="G1163" s="11">
        <v>14290.0</v>
      </c>
      <c r="K1163" s="17">
        <v>4.2</v>
      </c>
    </row>
    <row r="1164">
      <c r="A1164" s="7" t="s">
        <v>1266</v>
      </c>
      <c r="B1164" s="7" t="s">
        <v>1111</v>
      </c>
      <c r="C1164" s="8">
        <v>499.0</v>
      </c>
      <c r="D1164" s="8">
        <v>940.0</v>
      </c>
      <c r="E1164" s="9">
        <v>0.47</v>
      </c>
      <c r="F1164" s="10">
        <v>4.1</v>
      </c>
      <c r="G1164" s="11">
        <v>3036.0</v>
      </c>
      <c r="K1164" s="17">
        <v>4.1</v>
      </c>
    </row>
    <row r="1165">
      <c r="A1165" s="7" t="s">
        <v>1267</v>
      </c>
      <c r="B1165" s="7" t="s">
        <v>1115</v>
      </c>
      <c r="C1165" s="8">
        <v>2699.0</v>
      </c>
      <c r="D1165" s="8">
        <v>4700.0</v>
      </c>
      <c r="E1165" s="9">
        <v>0.43</v>
      </c>
      <c r="F1165" s="10">
        <v>4.2</v>
      </c>
      <c r="G1165" s="11">
        <v>1296.0</v>
      </c>
      <c r="K1165" s="17">
        <v>4.2</v>
      </c>
    </row>
    <row r="1166">
      <c r="A1166" s="7" t="s">
        <v>1268</v>
      </c>
      <c r="B1166" s="7" t="s">
        <v>1115</v>
      </c>
      <c r="C1166" s="8">
        <v>1448.0</v>
      </c>
      <c r="D1166" s="8">
        <v>2999.0</v>
      </c>
      <c r="E1166" s="9">
        <v>0.52</v>
      </c>
      <c r="F1166" s="10">
        <v>4.5</v>
      </c>
      <c r="G1166" s="10">
        <v>19.0</v>
      </c>
      <c r="K1166" s="17">
        <v>4.5</v>
      </c>
    </row>
    <row r="1167">
      <c r="A1167" s="7" t="s">
        <v>1269</v>
      </c>
      <c r="B1167" s="7" t="s">
        <v>1184</v>
      </c>
      <c r="C1167" s="8">
        <v>79.0</v>
      </c>
      <c r="D1167" s="8">
        <v>79.0</v>
      </c>
      <c r="E1167" s="9">
        <v>0.0</v>
      </c>
      <c r="F1167" s="10">
        <v>4.0</v>
      </c>
      <c r="G1167" s="10">
        <v>97.0</v>
      </c>
      <c r="K1167" s="17">
        <v>4.0</v>
      </c>
    </row>
    <row r="1168">
      <c r="A1168" s="7" t="s">
        <v>1270</v>
      </c>
      <c r="B1168" s="7" t="s">
        <v>1123</v>
      </c>
      <c r="C1168" s="8">
        <v>6990.0</v>
      </c>
      <c r="D1168" s="8">
        <v>14290.0</v>
      </c>
      <c r="E1168" s="9">
        <v>0.51</v>
      </c>
      <c r="F1168" s="10">
        <v>4.4</v>
      </c>
      <c r="G1168" s="11">
        <v>1771.0</v>
      </c>
      <c r="K1168" s="17">
        <v>4.4</v>
      </c>
    </row>
    <row r="1169">
      <c r="A1169" s="7" t="s">
        <v>1271</v>
      </c>
      <c r="B1169" s="7" t="s">
        <v>1104</v>
      </c>
      <c r="C1169" s="8">
        <v>2698.0</v>
      </c>
      <c r="D1169" s="8">
        <v>3945.0</v>
      </c>
      <c r="E1169" s="9">
        <v>0.32</v>
      </c>
      <c r="F1169" s="10">
        <v>4.0</v>
      </c>
      <c r="G1169" s="11">
        <v>15034.0</v>
      </c>
      <c r="K1169" s="17">
        <v>4.0</v>
      </c>
    </row>
    <row r="1170">
      <c r="A1170" s="7" t="s">
        <v>1272</v>
      </c>
      <c r="B1170" s="7" t="s">
        <v>1263</v>
      </c>
      <c r="C1170" s="8">
        <v>3199.0</v>
      </c>
      <c r="D1170" s="8">
        <v>5999.0</v>
      </c>
      <c r="E1170" s="9">
        <v>0.47</v>
      </c>
      <c r="F1170" s="10">
        <v>4.0</v>
      </c>
      <c r="G1170" s="11">
        <v>3242.0</v>
      </c>
      <c r="K1170" s="17">
        <v>4.0</v>
      </c>
    </row>
    <row r="1171">
      <c r="A1171" s="7" t="s">
        <v>1273</v>
      </c>
      <c r="B1171" s="7" t="s">
        <v>1121</v>
      </c>
      <c r="C1171" s="8">
        <v>1199.0</v>
      </c>
      <c r="D1171" s="8">
        <v>1950.0</v>
      </c>
      <c r="E1171" s="9">
        <v>0.39</v>
      </c>
      <c r="F1171" s="10">
        <v>3.9</v>
      </c>
      <c r="G1171" s="11">
        <v>2832.0</v>
      </c>
      <c r="K1171" s="17">
        <v>3.9</v>
      </c>
    </row>
    <row r="1172">
      <c r="A1172" s="7" t="s">
        <v>1274</v>
      </c>
      <c r="B1172" s="7" t="s">
        <v>1173</v>
      </c>
      <c r="C1172" s="8">
        <v>1414.0</v>
      </c>
      <c r="D1172" s="8">
        <v>2799.0</v>
      </c>
      <c r="E1172" s="9">
        <v>0.49</v>
      </c>
      <c r="F1172" s="10">
        <v>4.0</v>
      </c>
      <c r="G1172" s="11">
        <v>1498.0</v>
      </c>
      <c r="K1172" s="17">
        <v>4.0</v>
      </c>
    </row>
    <row r="1173">
      <c r="A1173" s="7" t="s">
        <v>1275</v>
      </c>
      <c r="B1173" s="7" t="s">
        <v>1086</v>
      </c>
      <c r="C1173" s="8">
        <v>999.0</v>
      </c>
      <c r="D1173" s="8">
        <v>1950.0</v>
      </c>
      <c r="E1173" s="9">
        <v>0.49</v>
      </c>
      <c r="F1173" s="10">
        <v>3.8</v>
      </c>
      <c r="G1173" s="10">
        <v>305.0</v>
      </c>
      <c r="K1173" s="17">
        <v>3.8</v>
      </c>
    </row>
    <row r="1174">
      <c r="A1174" s="7" t="s">
        <v>1276</v>
      </c>
      <c r="B1174" s="7" t="s">
        <v>1190</v>
      </c>
      <c r="C1174" s="8">
        <v>5999.0</v>
      </c>
      <c r="D1174" s="8">
        <v>9999.0</v>
      </c>
      <c r="E1174" s="9">
        <v>0.4</v>
      </c>
      <c r="F1174" s="10">
        <v>4.2</v>
      </c>
      <c r="G1174" s="11">
        <v>1191.0</v>
      </c>
      <c r="K1174" s="17">
        <v>4.2</v>
      </c>
    </row>
    <row r="1175">
      <c r="A1175" s="7" t="s">
        <v>1277</v>
      </c>
      <c r="B1175" s="7" t="s">
        <v>1278</v>
      </c>
      <c r="C1175" s="8">
        <v>9970.0</v>
      </c>
      <c r="D1175" s="8">
        <v>12999.0</v>
      </c>
      <c r="E1175" s="9">
        <v>0.23</v>
      </c>
      <c r="F1175" s="10">
        <v>4.3</v>
      </c>
      <c r="G1175" s="11">
        <v>4049.0</v>
      </c>
      <c r="K1175" s="17">
        <v>4.3</v>
      </c>
    </row>
    <row r="1176">
      <c r="A1176" s="7" t="s">
        <v>1279</v>
      </c>
      <c r="B1176" s="7" t="s">
        <v>1280</v>
      </c>
      <c r="C1176" s="8">
        <v>698.0</v>
      </c>
      <c r="D1176" s="8">
        <v>699.0</v>
      </c>
      <c r="E1176" s="9">
        <v>0.0</v>
      </c>
      <c r="F1176" s="10">
        <v>4.2</v>
      </c>
      <c r="G1176" s="11">
        <v>3160.0</v>
      </c>
      <c r="K1176" s="17">
        <v>4.2</v>
      </c>
    </row>
    <row r="1177">
      <c r="A1177" s="7" t="s">
        <v>1281</v>
      </c>
      <c r="B1177" s="7" t="s">
        <v>1186</v>
      </c>
      <c r="C1177" s="8">
        <v>2199.0</v>
      </c>
      <c r="D1177" s="8">
        <v>3190.0</v>
      </c>
      <c r="E1177" s="9">
        <v>0.31</v>
      </c>
      <c r="F1177" s="10">
        <v>4.3</v>
      </c>
      <c r="G1177" s="11">
        <v>9650.0</v>
      </c>
      <c r="K1177" s="17">
        <v>4.3</v>
      </c>
    </row>
    <row r="1178">
      <c r="A1178" s="7" t="s">
        <v>1282</v>
      </c>
      <c r="B1178" s="7" t="s">
        <v>1283</v>
      </c>
      <c r="C1178" s="8">
        <v>320.0</v>
      </c>
      <c r="D1178" s="8">
        <v>799.0</v>
      </c>
      <c r="E1178" s="9">
        <v>0.6</v>
      </c>
      <c r="F1178" s="10">
        <v>4.2</v>
      </c>
      <c r="G1178" s="11">
        <v>3846.0</v>
      </c>
      <c r="K1178" s="17">
        <v>4.2</v>
      </c>
    </row>
    <row r="1179">
      <c r="A1179" s="7" t="s">
        <v>1284</v>
      </c>
      <c r="B1179" s="7" t="s">
        <v>1093</v>
      </c>
      <c r="C1179" s="8">
        <v>298.0</v>
      </c>
      <c r="D1179" s="8">
        <v>499.0</v>
      </c>
      <c r="E1179" s="9">
        <v>0.4</v>
      </c>
      <c r="F1179" s="10">
        <v>4.4</v>
      </c>
      <c r="G1179" s="10">
        <v>290.0</v>
      </c>
      <c r="K1179" s="17">
        <v>4.4</v>
      </c>
    </row>
    <row r="1180">
      <c r="A1180" s="7" t="s">
        <v>1285</v>
      </c>
      <c r="B1180" s="7" t="s">
        <v>1144</v>
      </c>
      <c r="C1180" s="8">
        <v>1199.0</v>
      </c>
      <c r="D1180" s="8">
        <v>1499.0</v>
      </c>
      <c r="E1180" s="9">
        <v>0.2</v>
      </c>
      <c r="F1180" s="10">
        <v>3.8</v>
      </c>
      <c r="G1180" s="11">
        <v>2206.0</v>
      </c>
      <c r="K1180" s="17">
        <v>3.8</v>
      </c>
    </row>
    <row r="1181">
      <c r="A1181" s="7" t="s">
        <v>1286</v>
      </c>
      <c r="B1181" s="7" t="s">
        <v>1186</v>
      </c>
      <c r="C1181" s="8">
        <v>1399.0</v>
      </c>
      <c r="D1181" s="8">
        <v>2660.0</v>
      </c>
      <c r="E1181" s="9">
        <v>0.47</v>
      </c>
      <c r="F1181" s="10">
        <v>4.1</v>
      </c>
      <c r="G1181" s="11">
        <v>9349.0</v>
      </c>
      <c r="K1181" s="17">
        <v>4.1</v>
      </c>
    </row>
    <row r="1182">
      <c r="A1182" s="7" t="s">
        <v>1287</v>
      </c>
      <c r="B1182" s="7" t="s">
        <v>1095</v>
      </c>
      <c r="C1182" s="8">
        <v>599.0</v>
      </c>
      <c r="D1182" s="8">
        <v>2799.0</v>
      </c>
      <c r="E1182" s="9">
        <v>0.79</v>
      </c>
      <c r="F1182" s="10">
        <v>3.9</v>
      </c>
      <c r="G1182" s="10">
        <v>578.0</v>
      </c>
      <c r="K1182" s="17">
        <v>3.9</v>
      </c>
    </row>
    <row r="1183">
      <c r="A1183" s="7" t="s">
        <v>1288</v>
      </c>
      <c r="B1183" s="7" t="s">
        <v>1206</v>
      </c>
      <c r="C1183" s="8">
        <v>1499.0</v>
      </c>
      <c r="D1183" s="8">
        <v>1499.0</v>
      </c>
      <c r="E1183" s="9">
        <v>0.0</v>
      </c>
      <c r="F1183" s="10">
        <v>4.3</v>
      </c>
      <c r="G1183" s="11">
        <v>9331.0</v>
      </c>
      <c r="K1183" s="17">
        <v>4.3</v>
      </c>
    </row>
    <row r="1184">
      <c r="A1184" s="7" t="s">
        <v>1289</v>
      </c>
      <c r="B1184" s="7" t="s">
        <v>1278</v>
      </c>
      <c r="C1184" s="8">
        <v>14400.0</v>
      </c>
      <c r="D1184" s="8">
        <v>59900.0</v>
      </c>
      <c r="E1184" s="9">
        <v>0.76</v>
      </c>
      <c r="F1184" s="10">
        <v>4.4</v>
      </c>
      <c r="G1184" s="11">
        <v>3837.0</v>
      </c>
      <c r="K1184" s="17">
        <v>4.4</v>
      </c>
    </row>
    <row r="1185">
      <c r="A1185" s="7" t="s">
        <v>1290</v>
      </c>
      <c r="B1185" s="7" t="s">
        <v>1280</v>
      </c>
      <c r="C1185" s="8">
        <v>1699.0</v>
      </c>
      <c r="D1185" s="8">
        <v>1900.0</v>
      </c>
      <c r="E1185" s="9">
        <v>0.11</v>
      </c>
      <c r="F1185" s="10">
        <v>3.6</v>
      </c>
      <c r="G1185" s="11">
        <v>11456.0</v>
      </c>
      <c r="K1185" s="17">
        <v>3.6</v>
      </c>
    </row>
    <row r="1186">
      <c r="A1186" s="7" t="s">
        <v>1291</v>
      </c>
      <c r="B1186" s="7" t="s">
        <v>1089</v>
      </c>
      <c r="C1186" s="8">
        <v>649.0</v>
      </c>
      <c r="D1186" s="8">
        <v>999.0</v>
      </c>
      <c r="E1186" s="9">
        <v>0.35</v>
      </c>
      <c r="F1186" s="10">
        <v>3.8</v>
      </c>
      <c r="G1186" s="10">
        <v>49.0</v>
      </c>
      <c r="K1186" s="17">
        <v>3.8</v>
      </c>
    </row>
    <row r="1187">
      <c r="A1187" s="7" t="s">
        <v>1292</v>
      </c>
      <c r="B1187" s="7" t="s">
        <v>1113</v>
      </c>
      <c r="C1187" s="8">
        <v>3249.0</v>
      </c>
      <c r="D1187" s="8">
        <v>6375.0</v>
      </c>
      <c r="E1187" s="9">
        <v>0.49</v>
      </c>
      <c r="F1187" s="10">
        <v>4.0</v>
      </c>
      <c r="G1187" s="11">
        <v>4978.0</v>
      </c>
      <c r="K1187" s="17">
        <v>4.0</v>
      </c>
    </row>
    <row r="1188">
      <c r="A1188" s="7" t="s">
        <v>1293</v>
      </c>
      <c r="B1188" s="7" t="s">
        <v>1137</v>
      </c>
      <c r="C1188" s="8">
        <v>199.0</v>
      </c>
      <c r="D1188" s="8">
        <v>499.0</v>
      </c>
      <c r="E1188" s="9">
        <v>0.6</v>
      </c>
      <c r="F1188" s="10">
        <v>4.1</v>
      </c>
      <c r="G1188" s="11">
        <v>1996.0</v>
      </c>
      <c r="K1188" s="17">
        <v>4.1</v>
      </c>
    </row>
    <row r="1189">
      <c r="A1189" s="7" t="s">
        <v>1294</v>
      </c>
      <c r="B1189" s="7" t="s">
        <v>1155</v>
      </c>
      <c r="C1189" s="8">
        <v>1099.0</v>
      </c>
      <c r="D1189" s="8">
        <v>1899.0</v>
      </c>
      <c r="E1189" s="9">
        <v>0.42</v>
      </c>
      <c r="F1189" s="10">
        <v>4.3</v>
      </c>
      <c r="G1189" s="11">
        <v>1811.0</v>
      </c>
      <c r="K1189" s="17">
        <v>4.3</v>
      </c>
    </row>
    <row r="1190">
      <c r="A1190" s="7" t="s">
        <v>1295</v>
      </c>
      <c r="B1190" s="7" t="s">
        <v>1086</v>
      </c>
      <c r="C1190" s="8">
        <v>664.0</v>
      </c>
      <c r="D1190" s="8">
        <v>1490.0</v>
      </c>
      <c r="E1190" s="9">
        <v>0.55</v>
      </c>
      <c r="F1190" s="10">
        <v>4.0</v>
      </c>
      <c r="G1190" s="11">
        <v>2198.0</v>
      </c>
      <c r="K1190" s="17">
        <v>4.0</v>
      </c>
    </row>
    <row r="1191">
      <c r="A1191" s="7" t="s">
        <v>1296</v>
      </c>
      <c r="B1191" s="7" t="s">
        <v>1159</v>
      </c>
      <c r="C1191" s="8">
        <v>260.0</v>
      </c>
      <c r="D1191" s="8">
        <v>350.0</v>
      </c>
      <c r="E1191" s="9">
        <v>0.26</v>
      </c>
      <c r="F1191" s="10">
        <v>3.9</v>
      </c>
      <c r="G1191" s="11">
        <v>13127.0</v>
      </c>
      <c r="K1191" s="17">
        <v>3.9</v>
      </c>
    </row>
    <row r="1192">
      <c r="A1192" s="7" t="s">
        <v>1297</v>
      </c>
      <c r="B1192" s="7" t="s">
        <v>1123</v>
      </c>
      <c r="C1192" s="8">
        <v>6499.0</v>
      </c>
      <c r="D1192" s="8">
        <v>8500.0</v>
      </c>
      <c r="E1192" s="9">
        <v>0.24</v>
      </c>
      <c r="F1192" s="10">
        <v>4.4</v>
      </c>
      <c r="G1192" s="11">
        <v>5865.0</v>
      </c>
      <c r="K1192" s="17">
        <v>4.4</v>
      </c>
    </row>
    <row r="1193">
      <c r="A1193" s="7" t="s">
        <v>1298</v>
      </c>
      <c r="B1193" s="7" t="s">
        <v>1299</v>
      </c>
      <c r="C1193" s="8">
        <v>1484.0</v>
      </c>
      <c r="D1193" s="8">
        <v>2499.0</v>
      </c>
      <c r="E1193" s="9">
        <v>0.41</v>
      </c>
      <c r="F1193" s="10">
        <v>3.7</v>
      </c>
      <c r="G1193" s="11">
        <v>1067.0</v>
      </c>
      <c r="K1193" s="17">
        <v>3.7</v>
      </c>
    </row>
    <row r="1194">
      <c r="A1194" s="7" t="s">
        <v>1300</v>
      </c>
      <c r="B1194" s="7" t="s">
        <v>1139</v>
      </c>
      <c r="C1194" s="8">
        <v>999.0</v>
      </c>
      <c r="D1194" s="8">
        <v>1560.0</v>
      </c>
      <c r="E1194" s="9">
        <v>0.36</v>
      </c>
      <c r="F1194" s="10">
        <v>3.6</v>
      </c>
      <c r="G1194" s="11">
        <v>4881.0</v>
      </c>
      <c r="K1194" s="17">
        <v>3.6</v>
      </c>
    </row>
    <row r="1195">
      <c r="A1195" s="7" t="s">
        <v>1301</v>
      </c>
      <c r="B1195" s="7" t="s">
        <v>1144</v>
      </c>
      <c r="C1195" s="8">
        <v>3299.0</v>
      </c>
      <c r="D1195" s="8">
        <v>6500.0</v>
      </c>
      <c r="E1195" s="9">
        <v>0.49</v>
      </c>
      <c r="F1195" s="10">
        <v>3.7</v>
      </c>
      <c r="G1195" s="11">
        <v>11217.0</v>
      </c>
      <c r="K1195" s="17">
        <v>3.7</v>
      </c>
    </row>
    <row r="1196">
      <c r="A1196" s="7" t="s">
        <v>1302</v>
      </c>
      <c r="B1196" s="7" t="s">
        <v>1109</v>
      </c>
      <c r="C1196" s="8">
        <v>259.0</v>
      </c>
      <c r="D1196" s="8">
        <v>999.0</v>
      </c>
      <c r="E1196" s="9">
        <v>0.74</v>
      </c>
      <c r="F1196" s="10">
        <v>4.0</v>
      </c>
      <c r="G1196" s="10">
        <v>43.0</v>
      </c>
      <c r="K1196" s="17">
        <v>4.0</v>
      </c>
    </row>
    <row r="1197">
      <c r="A1197" s="7" t="s">
        <v>1303</v>
      </c>
      <c r="B1197" s="7" t="s">
        <v>1113</v>
      </c>
      <c r="C1197" s="8">
        <v>3249.0</v>
      </c>
      <c r="D1197" s="8">
        <v>7795.0</v>
      </c>
      <c r="E1197" s="9">
        <v>0.58</v>
      </c>
      <c r="F1197" s="10">
        <v>4.2</v>
      </c>
      <c r="G1197" s="11">
        <v>4664.0</v>
      </c>
      <c r="K1197" s="17">
        <v>4.2</v>
      </c>
    </row>
    <row r="1198">
      <c r="A1198" s="7" t="s">
        <v>1304</v>
      </c>
      <c r="B1198" s="7" t="s">
        <v>1139</v>
      </c>
      <c r="C1198" s="8">
        <v>4280.0</v>
      </c>
      <c r="D1198" s="8">
        <v>5995.0</v>
      </c>
      <c r="E1198" s="9">
        <v>0.29</v>
      </c>
      <c r="F1198" s="10">
        <v>3.8</v>
      </c>
      <c r="G1198" s="11">
        <v>2112.0</v>
      </c>
      <c r="K1198" s="17">
        <v>3.8</v>
      </c>
    </row>
    <row r="1199">
      <c r="A1199" s="7" t="s">
        <v>1305</v>
      </c>
      <c r="B1199" s="7" t="s">
        <v>1306</v>
      </c>
      <c r="C1199" s="8">
        <v>189.0</v>
      </c>
      <c r="D1199" s="8">
        <v>299.0</v>
      </c>
      <c r="E1199" s="9">
        <v>0.37</v>
      </c>
      <c r="F1199" s="10">
        <v>4.2</v>
      </c>
      <c r="G1199" s="11">
        <v>2737.0</v>
      </c>
      <c r="K1199" s="17">
        <v>4.2</v>
      </c>
    </row>
    <row r="1200">
      <c r="A1200" s="7" t="s">
        <v>1307</v>
      </c>
      <c r="B1200" s="7" t="s">
        <v>1186</v>
      </c>
      <c r="C1200" s="8">
        <v>1449.0</v>
      </c>
      <c r="D1200" s="8">
        <v>2349.0</v>
      </c>
      <c r="E1200" s="9">
        <v>0.38</v>
      </c>
      <c r="F1200" s="10">
        <v>3.9</v>
      </c>
      <c r="G1200" s="11">
        <v>9019.0</v>
      </c>
      <c r="K1200" s="17">
        <v>3.9</v>
      </c>
    </row>
    <row r="1201">
      <c r="A1201" s="7" t="s">
        <v>1308</v>
      </c>
      <c r="B1201" s="7" t="s">
        <v>1137</v>
      </c>
      <c r="C1201" s="8">
        <v>199.0</v>
      </c>
      <c r="D1201" s="8">
        <v>499.0</v>
      </c>
      <c r="E1201" s="9">
        <v>0.6</v>
      </c>
      <c r="F1201" s="10">
        <v>4.0</v>
      </c>
      <c r="G1201" s="11">
        <v>10234.0</v>
      </c>
      <c r="K1201" s="17">
        <v>4.0</v>
      </c>
    </row>
    <row r="1202">
      <c r="A1202" s="7" t="s">
        <v>1309</v>
      </c>
      <c r="B1202" s="7" t="s">
        <v>1310</v>
      </c>
      <c r="C1202" s="8">
        <v>474.0</v>
      </c>
      <c r="D1202" s="8">
        <v>1299.0</v>
      </c>
      <c r="E1202" s="9">
        <v>0.64</v>
      </c>
      <c r="F1202" s="10">
        <v>4.1</v>
      </c>
      <c r="G1202" s="10">
        <v>550.0</v>
      </c>
      <c r="K1202" s="17">
        <v>4.1</v>
      </c>
    </row>
    <row r="1203">
      <c r="A1203" s="7" t="s">
        <v>1311</v>
      </c>
      <c r="B1203" s="7" t="s">
        <v>1109</v>
      </c>
      <c r="C1203" s="8">
        <v>279.0</v>
      </c>
      <c r="D1203" s="8">
        <v>499.0</v>
      </c>
      <c r="E1203" s="9">
        <v>0.44</v>
      </c>
      <c r="F1203" s="10">
        <v>4.8</v>
      </c>
      <c r="G1203" s="10">
        <v>28.0</v>
      </c>
      <c r="K1203" s="17">
        <v>4.8</v>
      </c>
    </row>
    <row r="1204">
      <c r="A1204" s="7" t="s">
        <v>1312</v>
      </c>
      <c r="B1204" s="7" t="s">
        <v>1186</v>
      </c>
      <c r="C1204" s="8">
        <v>1999.0</v>
      </c>
      <c r="D1204" s="8">
        <v>4775.0</v>
      </c>
      <c r="E1204" s="9">
        <v>0.58</v>
      </c>
      <c r="F1204" s="10">
        <v>4.2</v>
      </c>
      <c r="G1204" s="11">
        <v>1353.0</v>
      </c>
      <c r="K1204" s="17">
        <v>4.2</v>
      </c>
    </row>
    <row r="1205">
      <c r="A1205" s="7" t="s">
        <v>1313</v>
      </c>
      <c r="B1205" s="7" t="s">
        <v>1093</v>
      </c>
      <c r="C1205" s="8">
        <v>799.0</v>
      </c>
      <c r="D1205" s="8">
        <v>1230.0</v>
      </c>
      <c r="E1205" s="9">
        <v>0.35</v>
      </c>
      <c r="F1205" s="10">
        <v>4.1</v>
      </c>
      <c r="G1205" s="11">
        <v>2138.0</v>
      </c>
      <c r="K1205" s="17">
        <v>4.1</v>
      </c>
    </row>
    <row r="1206">
      <c r="A1206" s="7" t="s">
        <v>1314</v>
      </c>
      <c r="B1206" s="7" t="s">
        <v>1173</v>
      </c>
      <c r="C1206" s="8">
        <v>949.0</v>
      </c>
      <c r="D1206" s="8">
        <v>1999.0</v>
      </c>
      <c r="E1206" s="9">
        <v>0.53</v>
      </c>
      <c r="F1206" s="10">
        <v>4.0</v>
      </c>
      <c r="G1206" s="11">
        <v>1679.0</v>
      </c>
      <c r="K1206" s="17">
        <v>4.0</v>
      </c>
    </row>
    <row r="1207">
      <c r="A1207" s="7" t="s">
        <v>1315</v>
      </c>
      <c r="B1207" s="7" t="s">
        <v>1316</v>
      </c>
      <c r="C1207" s="8">
        <v>3657.66</v>
      </c>
      <c r="D1207" s="8">
        <v>5156.0</v>
      </c>
      <c r="E1207" s="9">
        <v>0.29</v>
      </c>
      <c r="F1207" s="10">
        <v>3.9</v>
      </c>
      <c r="G1207" s="11">
        <v>12837.0</v>
      </c>
      <c r="K1207" s="17">
        <v>3.9</v>
      </c>
    </row>
    <row r="1208">
      <c r="A1208" s="7" t="s">
        <v>1317</v>
      </c>
      <c r="B1208" s="7" t="s">
        <v>1318</v>
      </c>
      <c r="C1208" s="8">
        <v>1699.0</v>
      </c>
      <c r="D1208" s="8">
        <v>1999.0</v>
      </c>
      <c r="E1208" s="9">
        <v>0.15</v>
      </c>
      <c r="F1208" s="10">
        <v>4.1</v>
      </c>
      <c r="G1208" s="11">
        <v>8873.0</v>
      </c>
      <c r="K1208" s="17">
        <v>4.1</v>
      </c>
    </row>
    <row r="1209">
      <c r="A1209" s="7" t="s">
        <v>1319</v>
      </c>
      <c r="B1209" s="7" t="s">
        <v>1139</v>
      </c>
      <c r="C1209" s="8">
        <v>1849.0</v>
      </c>
      <c r="D1209" s="8">
        <v>2095.0</v>
      </c>
      <c r="E1209" s="9">
        <v>0.12</v>
      </c>
      <c r="F1209" s="10">
        <v>4.3</v>
      </c>
      <c r="G1209" s="11">
        <v>7681.0</v>
      </c>
      <c r="K1209" s="17">
        <v>4.3</v>
      </c>
    </row>
    <row r="1210">
      <c r="A1210" s="7" t="s">
        <v>1320</v>
      </c>
      <c r="B1210" s="7" t="s">
        <v>1091</v>
      </c>
      <c r="C1210" s="8">
        <v>12499.0</v>
      </c>
      <c r="D1210" s="8">
        <v>19825.0</v>
      </c>
      <c r="E1210" s="9">
        <v>0.37</v>
      </c>
      <c r="F1210" s="10">
        <v>4.1</v>
      </c>
      <c r="G1210" s="10">
        <v>322.0</v>
      </c>
      <c r="K1210" s="17">
        <v>4.1</v>
      </c>
    </row>
    <row r="1211">
      <c r="A1211" s="7" t="s">
        <v>1321</v>
      </c>
      <c r="B1211" s="7" t="s">
        <v>1111</v>
      </c>
      <c r="C1211" s="8">
        <v>1099.0</v>
      </c>
      <c r="D1211" s="8">
        <v>1920.0</v>
      </c>
      <c r="E1211" s="9">
        <v>0.43</v>
      </c>
      <c r="F1211" s="10">
        <v>4.2</v>
      </c>
      <c r="G1211" s="11">
        <v>9772.0</v>
      </c>
      <c r="K1211" s="17">
        <v>4.2</v>
      </c>
    </row>
    <row r="1212">
      <c r="A1212" s="7" t="s">
        <v>1322</v>
      </c>
      <c r="B1212" s="7" t="s">
        <v>1280</v>
      </c>
      <c r="C1212" s="8">
        <v>8199.0</v>
      </c>
      <c r="D1212" s="8">
        <v>16000.0</v>
      </c>
      <c r="E1212" s="9">
        <v>0.49</v>
      </c>
      <c r="F1212" s="10">
        <v>3.9</v>
      </c>
      <c r="G1212" s="11">
        <v>18497.0</v>
      </c>
      <c r="K1212" s="17">
        <v>3.9</v>
      </c>
    </row>
    <row r="1213">
      <c r="A1213" s="7" t="s">
        <v>1323</v>
      </c>
      <c r="B1213" s="7" t="s">
        <v>1144</v>
      </c>
      <c r="C1213" s="8">
        <v>499.0</v>
      </c>
      <c r="D1213" s="8">
        <v>2199.0</v>
      </c>
      <c r="E1213" s="9">
        <v>0.77</v>
      </c>
      <c r="F1213" s="10">
        <v>3.7</v>
      </c>
      <c r="G1213" s="10">
        <v>53.0</v>
      </c>
      <c r="K1213" s="17">
        <v>3.7</v>
      </c>
    </row>
    <row r="1214">
      <c r="A1214" s="7" t="s">
        <v>1324</v>
      </c>
      <c r="B1214" s="7" t="s">
        <v>1148</v>
      </c>
      <c r="C1214" s="8">
        <v>6999.0</v>
      </c>
      <c r="D1214" s="8">
        <v>14999.0</v>
      </c>
      <c r="E1214" s="9">
        <v>0.53</v>
      </c>
      <c r="F1214" s="10">
        <v>4.1</v>
      </c>
      <c r="G1214" s="11">
        <v>1728.0</v>
      </c>
      <c r="K1214" s="17">
        <v>4.1</v>
      </c>
    </row>
    <row r="1215">
      <c r="A1215" s="7" t="s">
        <v>1325</v>
      </c>
      <c r="B1215" s="7" t="s">
        <v>1184</v>
      </c>
      <c r="C1215" s="8">
        <v>1595.0</v>
      </c>
      <c r="D1215" s="8">
        <v>1799.0</v>
      </c>
      <c r="E1215" s="9">
        <v>0.11</v>
      </c>
      <c r="F1215" s="10">
        <v>4.0</v>
      </c>
      <c r="G1215" s="11">
        <v>2877.0</v>
      </c>
      <c r="K1215" s="17">
        <v>4.0</v>
      </c>
    </row>
    <row r="1216">
      <c r="A1216" s="7" t="s">
        <v>1326</v>
      </c>
      <c r="B1216" s="7" t="s">
        <v>1111</v>
      </c>
      <c r="C1216" s="8">
        <v>1049.0</v>
      </c>
      <c r="D1216" s="8">
        <v>1950.0</v>
      </c>
      <c r="E1216" s="9">
        <v>0.46</v>
      </c>
      <c r="F1216" s="10">
        <v>3.8</v>
      </c>
      <c r="G1216" s="10">
        <v>250.0</v>
      </c>
      <c r="K1216" s="17">
        <v>3.8</v>
      </c>
    </row>
    <row r="1217">
      <c r="A1217" s="7" t="s">
        <v>1327</v>
      </c>
      <c r="B1217" s="7" t="s">
        <v>1121</v>
      </c>
      <c r="C1217" s="8">
        <v>1182.0</v>
      </c>
      <c r="D1217" s="8">
        <v>2995.0</v>
      </c>
      <c r="E1217" s="9">
        <v>0.61</v>
      </c>
      <c r="F1217" s="10">
        <v>4.2</v>
      </c>
      <c r="G1217" s="11">
        <v>5178.0</v>
      </c>
      <c r="K1217" s="17">
        <v>4.2</v>
      </c>
    </row>
    <row r="1218">
      <c r="A1218" s="7" t="s">
        <v>1328</v>
      </c>
      <c r="B1218" s="7" t="s">
        <v>1093</v>
      </c>
      <c r="C1218" s="8">
        <v>499.0</v>
      </c>
      <c r="D1218" s="8">
        <v>999.0</v>
      </c>
      <c r="E1218" s="9">
        <v>0.5</v>
      </c>
      <c r="F1218" s="10">
        <v>4.6</v>
      </c>
      <c r="G1218" s="10">
        <v>79.0</v>
      </c>
      <c r="K1218" s="17">
        <v>4.6</v>
      </c>
    </row>
    <row r="1219">
      <c r="A1219" s="7" t="s">
        <v>1329</v>
      </c>
      <c r="B1219" s="7" t="s">
        <v>1278</v>
      </c>
      <c r="C1219" s="8">
        <v>8799.0</v>
      </c>
      <c r="D1219" s="8">
        <v>11995.0</v>
      </c>
      <c r="E1219" s="9">
        <v>0.27</v>
      </c>
      <c r="F1219" s="10">
        <v>4.1</v>
      </c>
      <c r="G1219" s="11">
        <v>4157.0</v>
      </c>
      <c r="K1219" s="17">
        <v>4.1</v>
      </c>
    </row>
    <row r="1220">
      <c r="A1220" s="7" t="s">
        <v>1330</v>
      </c>
      <c r="B1220" s="7" t="s">
        <v>1089</v>
      </c>
      <c r="C1220" s="8">
        <v>1529.0</v>
      </c>
      <c r="D1220" s="8">
        <v>2999.0</v>
      </c>
      <c r="E1220" s="9">
        <v>0.49</v>
      </c>
      <c r="F1220" s="10">
        <v>3.3</v>
      </c>
      <c r="G1220" s="10">
        <v>29.0</v>
      </c>
      <c r="K1220" s="17">
        <v>3.3</v>
      </c>
    </row>
    <row r="1221">
      <c r="A1221" s="7" t="s">
        <v>1331</v>
      </c>
      <c r="B1221" s="7" t="s">
        <v>1111</v>
      </c>
      <c r="C1221" s="8">
        <v>1199.0</v>
      </c>
      <c r="D1221" s="8">
        <v>1690.0</v>
      </c>
      <c r="E1221" s="9">
        <v>0.29</v>
      </c>
      <c r="F1221" s="10">
        <v>4.2</v>
      </c>
      <c r="G1221" s="11">
        <v>4580.0</v>
      </c>
      <c r="K1221" s="17">
        <v>4.2</v>
      </c>
    </row>
    <row r="1222">
      <c r="A1222" s="7" t="s">
        <v>1332</v>
      </c>
      <c r="B1222" s="7" t="s">
        <v>1155</v>
      </c>
      <c r="C1222" s="8">
        <v>1052.0</v>
      </c>
      <c r="D1222" s="8">
        <v>1790.0</v>
      </c>
      <c r="E1222" s="9">
        <v>0.41</v>
      </c>
      <c r="F1222" s="10">
        <v>4.3</v>
      </c>
      <c r="G1222" s="11">
        <v>1404.0</v>
      </c>
      <c r="K1222" s="17">
        <v>4.3</v>
      </c>
    </row>
    <row r="1223">
      <c r="A1223" s="7" t="s">
        <v>1333</v>
      </c>
      <c r="B1223" s="7" t="s">
        <v>1334</v>
      </c>
      <c r="C1223" s="8">
        <v>6499.0</v>
      </c>
      <c r="D1223" s="8">
        <v>8995.0</v>
      </c>
      <c r="E1223" s="9">
        <v>0.28</v>
      </c>
      <c r="F1223" s="10">
        <v>4.3</v>
      </c>
      <c r="G1223" s="11">
        <v>2810.0</v>
      </c>
      <c r="K1223" s="17">
        <v>4.3</v>
      </c>
    </row>
    <row r="1224">
      <c r="A1224" s="7" t="s">
        <v>1335</v>
      </c>
      <c r="B1224" s="7" t="s">
        <v>1179</v>
      </c>
      <c r="C1224" s="8">
        <v>239.0</v>
      </c>
      <c r="D1224" s="8">
        <v>239.0</v>
      </c>
      <c r="E1224" s="9">
        <v>0.0</v>
      </c>
      <c r="F1224" s="10">
        <v>4.3</v>
      </c>
      <c r="G1224" s="10">
        <v>7.0</v>
      </c>
      <c r="K1224" s="17">
        <v>4.3</v>
      </c>
    </row>
    <row r="1225">
      <c r="A1225" s="7" t="s">
        <v>1336</v>
      </c>
      <c r="B1225" s="7" t="s">
        <v>1109</v>
      </c>
      <c r="C1225" s="8">
        <v>699.0</v>
      </c>
      <c r="D1225" s="8">
        <v>1599.0</v>
      </c>
      <c r="E1225" s="9">
        <v>0.56</v>
      </c>
      <c r="F1225" s="10">
        <v>4.7</v>
      </c>
      <c r="G1225" s="11">
        <v>1729.0</v>
      </c>
      <c r="K1225" s="17">
        <v>4.7</v>
      </c>
    </row>
    <row r="1226">
      <c r="A1226" s="7" t="s">
        <v>1337</v>
      </c>
      <c r="B1226" s="7" t="s">
        <v>1338</v>
      </c>
      <c r="C1226" s="8">
        <v>2599.0</v>
      </c>
      <c r="D1226" s="8">
        <v>4290.0</v>
      </c>
      <c r="E1226" s="9">
        <v>0.39</v>
      </c>
      <c r="F1226" s="10">
        <v>4.4</v>
      </c>
      <c r="G1226" s="11">
        <v>2116.0</v>
      </c>
      <c r="K1226" s="17">
        <v>4.4</v>
      </c>
    </row>
    <row r="1227">
      <c r="A1227" s="7" t="s">
        <v>1339</v>
      </c>
      <c r="B1227" s="7" t="s">
        <v>1148</v>
      </c>
      <c r="C1227" s="8">
        <v>1547.0</v>
      </c>
      <c r="D1227" s="8">
        <v>2890.0</v>
      </c>
      <c r="E1227" s="9">
        <v>0.46</v>
      </c>
      <c r="F1227" s="10">
        <v>3.9</v>
      </c>
      <c r="G1227" s="10">
        <v>463.0</v>
      </c>
      <c r="K1227" s="17">
        <v>3.9</v>
      </c>
    </row>
    <row r="1228">
      <c r="A1228" s="7" t="s">
        <v>1340</v>
      </c>
      <c r="B1228" s="7" t="s">
        <v>1109</v>
      </c>
      <c r="C1228" s="8">
        <v>499.0</v>
      </c>
      <c r="D1228" s="8">
        <v>1299.0</v>
      </c>
      <c r="E1228" s="9">
        <v>0.62</v>
      </c>
      <c r="F1228" s="10">
        <v>4.7</v>
      </c>
      <c r="G1228" s="10">
        <v>54.0</v>
      </c>
      <c r="K1228" s="17">
        <v>4.7</v>
      </c>
    </row>
    <row r="1229">
      <c r="A1229" s="7" t="s">
        <v>1341</v>
      </c>
      <c r="B1229" s="7" t="s">
        <v>1131</v>
      </c>
      <c r="C1229" s="8">
        <v>510.0</v>
      </c>
      <c r="D1229" s="8">
        <v>640.0</v>
      </c>
      <c r="E1229" s="9">
        <v>0.2</v>
      </c>
      <c r="F1229" s="10">
        <v>4.1</v>
      </c>
      <c r="G1229" s="11">
        <v>7229.0</v>
      </c>
      <c r="K1229" s="17">
        <v>4.1</v>
      </c>
    </row>
    <row r="1230">
      <c r="A1230" s="7" t="s">
        <v>1342</v>
      </c>
      <c r="B1230" s="7" t="s">
        <v>1115</v>
      </c>
      <c r="C1230" s="8">
        <v>1899.0</v>
      </c>
      <c r="D1230" s="8">
        <v>3790.0</v>
      </c>
      <c r="E1230" s="9">
        <v>0.5</v>
      </c>
      <c r="F1230" s="10">
        <v>3.8</v>
      </c>
      <c r="G1230" s="11">
        <v>3842.0</v>
      </c>
      <c r="K1230" s="17">
        <v>3.8</v>
      </c>
    </row>
    <row r="1231">
      <c r="A1231" s="7" t="s">
        <v>1343</v>
      </c>
      <c r="B1231" s="7" t="s">
        <v>1115</v>
      </c>
      <c r="C1231" s="8">
        <v>2599.0</v>
      </c>
      <c r="D1231" s="8">
        <v>4560.0</v>
      </c>
      <c r="E1231" s="9">
        <v>0.43</v>
      </c>
      <c r="F1231" s="10">
        <v>4.4</v>
      </c>
      <c r="G1231" s="10">
        <v>646.0</v>
      </c>
      <c r="K1231" s="17">
        <v>4.4</v>
      </c>
    </row>
    <row r="1232">
      <c r="A1232" s="7" t="s">
        <v>1344</v>
      </c>
      <c r="B1232" s="7" t="s">
        <v>1155</v>
      </c>
      <c r="C1232" s="8">
        <v>1199.0</v>
      </c>
      <c r="D1232" s="8">
        <v>3500.0</v>
      </c>
      <c r="E1232" s="9">
        <v>0.66</v>
      </c>
      <c r="F1232" s="10">
        <v>4.3</v>
      </c>
      <c r="G1232" s="11">
        <v>1802.0</v>
      </c>
      <c r="K1232" s="17">
        <v>4.3</v>
      </c>
    </row>
    <row r="1233">
      <c r="A1233" s="7" t="s">
        <v>1345</v>
      </c>
      <c r="B1233" s="7" t="s">
        <v>1115</v>
      </c>
      <c r="C1233" s="8">
        <v>999.0</v>
      </c>
      <c r="D1233" s="8">
        <v>2600.0</v>
      </c>
      <c r="E1233" s="9">
        <v>0.62</v>
      </c>
      <c r="F1233" s="10">
        <v>3.4</v>
      </c>
      <c r="G1233" s="10">
        <v>252.0</v>
      </c>
      <c r="K1233" s="17">
        <v>3.4</v>
      </c>
    </row>
    <row r="1234">
      <c r="A1234" s="7" t="s">
        <v>1346</v>
      </c>
      <c r="B1234" s="7" t="s">
        <v>1104</v>
      </c>
      <c r="C1234" s="8">
        <v>1999.0</v>
      </c>
      <c r="D1234" s="8">
        <v>3300.0</v>
      </c>
      <c r="E1234" s="9">
        <v>0.39</v>
      </c>
      <c r="F1234" s="10">
        <v>4.2</v>
      </c>
      <c r="G1234" s="10">
        <v>780.0</v>
      </c>
      <c r="K1234" s="17">
        <v>4.2</v>
      </c>
    </row>
    <row r="1235">
      <c r="A1235" s="7" t="s">
        <v>1347</v>
      </c>
      <c r="B1235" s="7" t="s">
        <v>1109</v>
      </c>
      <c r="C1235" s="8">
        <v>210.0</v>
      </c>
      <c r="D1235" s="8">
        <v>699.0</v>
      </c>
      <c r="E1235" s="9">
        <v>0.7</v>
      </c>
      <c r="F1235" s="10">
        <v>3.7</v>
      </c>
      <c r="G1235" s="10">
        <v>74.0</v>
      </c>
      <c r="K1235" s="17">
        <v>3.7</v>
      </c>
    </row>
    <row r="1236">
      <c r="A1236" s="7" t="s">
        <v>1348</v>
      </c>
      <c r="B1236" s="7" t="s">
        <v>1278</v>
      </c>
      <c r="C1236" s="8">
        <v>14499.0</v>
      </c>
      <c r="D1236" s="8">
        <v>23559.0</v>
      </c>
      <c r="E1236" s="9">
        <v>0.38</v>
      </c>
      <c r="F1236" s="10">
        <v>4.3</v>
      </c>
      <c r="G1236" s="11">
        <v>2026.0</v>
      </c>
      <c r="K1236" s="17">
        <v>4.3</v>
      </c>
    </row>
    <row r="1237">
      <c r="A1237" s="7" t="s">
        <v>1349</v>
      </c>
      <c r="B1237" s="7" t="s">
        <v>1137</v>
      </c>
      <c r="C1237" s="8">
        <v>950.0</v>
      </c>
      <c r="D1237" s="8">
        <v>1599.0</v>
      </c>
      <c r="E1237" s="9">
        <v>0.41</v>
      </c>
      <c r="F1237" s="10">
        <v>4.3</v>
      </c>
      <c r="G1237" s="11">
        <v>5911.0</v>
      </c>
      <c r="K1237" s="17">
        <v>4.3</v>
      </c>
    </row>
    <row r="1238">
      <c r="A1238" s="7" t="s">
        <v>1350</v>
      </c>
      <c r="B1238" s="7" t="s">
        <v>1135</v>
      </c>
      <c r="C1238" s="8">
        <v>7199.0</v>
      </c>
      <c r="D1238" s="8">
        <v>9995.0</v>
      </c>
      <c r="E1238" s="9">
        <v>0.28</v>
      </c>
      <c r="F1238" s="10">
        <v>4.4</v>
      </c>
      <c r="G1238" s="11">
        <v>1964.0</v>
      </c>
      <c r="K1238" s="17">
        <v>4.4</v>
      </c>
    </row>
    <row r="1239">
      <c r="A1239" s="7" t="s">
        <v>1351</v>
      </c>
      <c r="B1239" s="7" t="s">
        <v>1089</v>
      </c>
      <c r="C1239" s="8">
        <v>2439.0</v>
      </c>
      <c r="D1239" s="8">
        <v>2545.0</v>
      </c>
      <c r="E1239" s="9">
        <v>0.04</v>
      </c>
      <c r="F1239" s="10">
        <v>4.1</v>
      </c>
      <c r="G1239" s="10">
        <v>25.0</v>
      </c>
      <c r="K1239" s="17">
        <v>4.1</v>
      </c>
    </row>
    <row r="1240">
      <c r="A1240" s="7" t="s">
        <v>1352</v>
      </c>
      <c r="B1240" s="7" t="s">
        <v>1139</v>
      </c>
      <c r="C1240" s="8">
        <v>7799.0</v>
      </c>
      <c r="D1240" s="8">
        <v>8995.0</v>
      </c>
      <c r="E1240" s="9">
        <v>0.13</v>
      </c>
      <c r="F1240" s="10">
        <v>4.0</v>
      </c>
      <c r="G1240" s="11">
        <v>3160.0</v>
      </c>
      <c r="K1240" s="17">
        <v>4.0</v>
      </c>
    </row>
    <row r="1241">
      <c r="A1241" s="7" t="s">
        <v>1353</v>
      </c>
      <c r="B1241" s="7" t="s">
        <v>1173</v>
      </c>
      <c r="C1241" s="8">
        <v>1599.0</v>
      </c>
      <c r="D1241" s="8">
        <v>1999.0</v>
      </c>
      <c r="E1241" s="9">
        <v>0.2</v>
      </c>
      <c r="F1241" s="10">
        <v>4.4</v>
      </c>
      <c r="G1241" s="11">
        <v>1558.0</v>
      </c>
      <c r="K1241" s="17">
        <v>4.4</v>
      </c>
    </row>
    <row r="1242">
      <c r="A1242" s="7" t="s">
        <v>1354</v>
      </c>
      <c r="B1242" s="7" t="s">
        <v>1113</v>
      </c>
      <c r="C1242" s="8">
        <v>2899.0</v>
      </c>
      <c r="D1242" s="8">
        <v>5500.0</v>
      </c>
      <c r="E1242" s="9">
        <v>0.47</v>
      </c>
      <c r="F1242" s="10">
        <v>3.8</v>
      </c>
      <c r="G1242" s="11">
        <v>8958.0</v>
      </c>
      <c r="K1242" s="17">
        <v>3.8</v>
      </c>
    </row>
    <row r="1243">
      <c r="A1243" s="7" t="s">
        <v>1355</v>
      </c>
      <c r="B1243" s="7" t="s">
        <v>1299</v>
      </c>
      <c r="C1243" s="8">
        <v>9799.0</v>
      </c>
      <c r="D1243" s="8">
        <v>12150.0</v>
      </c>
      <c r="E1243" s="9">
        <v>0.19</v>
      </c>
      <c r="F1243" s="10">
        <v>4.3</v>
      </c>
      <c r="G1243" s="11">
        <v>13251.0</v>
      </c>
      <c r="K1243" s="17">
        <v>4.3</v>
      </c>
    </row>
    <row r="1244">
      <c r="A1244" s="7" t="s">
        <v>1356</v>
      </c>
      <c r="B1244" s="7" t="s">
        <v>1139</v>
      </c>
      <c r="C1244" s="8">
        <v>3299.0</v>
      </c>
      <c r="D1244" s="8">
        <v>4995.0</v>
      </c>
      <c r="E1244" s="9">
        <v>0.34</v>
      </c>
      <c r="F1244" s="10">
        <v>3.8</v>
      </c>
      <c r="G1244" s="11">
        <v>1393.0</v>
      </c>
      <c r="K1244" s="17">
        <v>3.8</v>
      </c>
    </row>
    <row r="1245">
      <c r="A1245" s="7" t="s">
        <v>1357</v>
      </c>
      <c r="B1245" s="7" t="s">
        <v>1109</v>
      </c>
      <c r="C1245" s="8">
        <v>669.0</v>
      </c>
      <c r="D1245" s="8">
        <v>1499.0</v>
      </c>
      <c r="E1245" s="9">
        <v>0.55</v>
      </c>
      <c r="F1245" s="10">
        <v>2.3</v>
      </c>
      <c r="G1245" s="10">
        <v>13.0</v>
      </c>
      <c r="K1245" s="17">
        <v>2.3</v>
      </c>
    </row>
    <row r="1246">
      <c r="A1246" s="7" t="s">
        <v>1358</v>
      </c>
      <c r="B1246" s="7" t="s">
        <v>1144</v>
      </c>
      <c r="C1246" s="8">
        <v>5890.0</v>
      </c>
      <c r="D1246" s="8">
        <v>7506.0</v>
      </c>
      <c r="E1246" s="9">
        <v>0.22</v>
      </c>
      <c r="F1246" s="10">
        <v>4.5</v>
      </c>
      <c r="G1246" s="11">
        <v>7241.0</v>
      </c>
      <c r="K1246" s="17">
        <v>4.5</v>
      </c>
    </row>
    <row r="1247">
      <c r="A1247" s="7" t="s">
        <v>1359</v>
      </c>
      <c r="B1247" s="7" t="s">
        <v>1280</v>
      </c>
      <c r="C1247" s="8">
        <v>9199.0</v>
      </c>
      <c r="D1247" s="8">
        <v>18000.0</v>
      </c>
      <c r="E1247" s="9">
        <v>0.49</v>
      </c>
      <c r="F1247" s="10">
        <v>4.0</v>
      </c>
      <c r="G1247" s="11">
        <v>16020.0</v>
      </c>
      <c r="K1247" s="17">
        <v>4.0</v>
      </c>
    </row>
    <row r="1248">
      <c r="A1248" s="7" t="s">
        <v>1360</v>
      </c>
      <c r="B1248" s="7" t="s">
        <v>1137</v>
      </c>
      <c r="C1248" s="8">
        <v>351.0</v>
      </c>
      <c r="D1248" s="8">
        <v>1099.0</v>
      </c>
      <c r="E1248" s="9">
        <v>0.68</v>
      </c>
      <c r="F1248" s="10">
        <v>3.7</v>
      </c>
      <c r="G1248" s="11">
        <v>1470.0</v>
      </c>
      <c r="K1248" s="17">
        <v>3.7</v>
      </c>
    </row>
    <row r="1249">
      <c r="A1249" s="7" t="s">
        <v>1361</v>
      </c>
      <c r="B1249" s="7" t="s">
        <v>1362</v>
      </c>
      <c r="C1249" s="8">
        <v>899.0</v>
      </c>
      <c r="D1249" s="8">
        <v>1900.0</v>
      </c>
      <c r="E1249" s="9">
        <v>0.53</v>
      </c>
      <c r="F1249" s="10">
        <v>4.0</v>
      </c>
      <c r="G1249" s="11">
        <v>3663.0</v>
      </c>
      <c r="K1249" s="17">
        <v>4.0</v>
      </c>
    </row>
    <row r="1250">
      <c r="A1250" s="7" t="s">
        <v>1363</v>
      </c>
      <c r="B1250" s="7" t="s">
        <v>1121</v>
      </c>
      <c r="C1250" s="8">
        <v>1349.0</v>
      </c>
      <c r="D1250" s="8">
        <v>1850.0</v>
      </c>
      <c r="E1250" s="9">
        <v>0.27</v>
      </c>
      <c r="F1250" s="10">
        <v>4.4</v>
      </c>
      <c r="G1250" s="10">
        <v>638.0</v>
      </c>
      <c r="K1250" s="17">
        <v>4.4</v>
      </c>
    </row>
    <row r="1251">
      <c r="A1251" s="7" t="s">
        <v>1364</v>
      </c>
      <c r="B1251" s="7" t="s">
        <v>1263</v>
      </c>
      <c r="C1251" s="8">
        <v>6236.0</v>
      </c>
      <c r="D1251" s="8">
        <v>9999.0</v>
      </c>
      <c r="E1251" s="9">
        <v>0.38</v>
      </c>
      <c r="F1251" s="10">
        <v>4.1</v>
      </c>
      <c r="G1251" s="11">
        <v>3552.0</v>
      </c>
      <c r="K1251" s="17">
        <v>4.1</v>
      </c>
    </row>
    <row r="1252">
      <c r="A1252" s="7" t="s">
        <v>1365</v>
      </c>
      <c r="B1252" s="7" t="s">
        <v>1109</v>
      </c>
      <c r="C1252" s="8">
        <v>2742.0</v>
      </c>
      <c r="D1252" s="8">
        <v>3995.0</v>
      </c>
      <c r="E1252" s="9">
        <v>0.31</v>
      </c>
      <c r="F1252" s="10">
        <v>4.4</v>
      </c>
      <c r="G1252" s="11">
        <v>11148.0</v>
      </c>
      <c r="K1252" s="17">
        <v>4.4</v>
      </c>
    </row>
    <row r="1253">
      <c r="A1253" s="7" t="s">
        <v>1366</v>
      </c>
      <c r="B1253" s="7" t="s">
        <v>1299</v>
      </c>
      <c r="C1253" s="8">
        <v>721.0</v>
      </c>
      <c r="D1253" s="8">
        <v>1499.0</v>
      </c>
      <c r="E1253" s="9">
        <v>0.52</v>
      </c>
      <c r="F1253" s="10">
        <v>3.1</v>
      </c>
      <c r="G1253" s="11">
        <v>2449.0</v>
      </c>
      <c r="K1253" s="17">
        <v>3.1</v>
      </c>
    </row>
    <row r="1254">
      <c r="A1254" s="7" t="s">
        <v>1367</v>
      </c>
      <c r="B1254" s="7" t="s">
        <v>1139</v>
      </c>
      <c r="C1254" s="8">
        <v>2903.0</v>
      </c>
      <c r="D1254" s="8">
        <v>3295.0</v>
      </c>
      <c r="E1254" s="9">
        <v>0.12</v>
      </c>
      <c r="F1254" s="10">
        <v>4.3</v>
      </c>
      <c r="G1254" s="11">
        <v>2299.0</v>
      </c>
      <c r="K1254" s="17">
        <v>4.3</v>
      </c>
    </row>
    <row r="1255">
      <c r="A1255" s="7" t="s">
        <v>1368</v>
      </c>
      <c r="B1255" s="7" t="s">
        <v>1173</v>
      </c>
      <c r="C1255" s="8">
        <v>1656.0</v>
      </c>
      <c r="D1255" s="8">
        <v>2695.0</v>
      </c>
      <c r="E1255" s="9">
        <v>0.39</v>
      </c>
      <c r="F1255" s="10">
        <v>4.4</v>
      </c>
      <c r="G1255" s="11">
        <v>6027.0</v>
      </c>
      <c r="K1255" s="17">
        <v>4.4</v>
      </c>
    </row>
    <row r="1256">
      <c r="A1256" s="7" t="s">
        <v>1369</v>
      </c>
      <c r="B1256" s="7" t="s">
        <v>1155</v>
      </c>
      <c r="C1256" s="8">
        <v>1399.0</v>
      </c>
      <c r="D1256" s="8">
        <v>2290.0</v>
      </c>
      <c r="E1256" s="9">
        <v>0.39</v>
      </c>
      <c r="F1256" s="10">
        <v>4.4</v>
      </c>
      <c r="G1256" s="10">
        <v>461.0</v>
      </c>
      <c r="K1256" s="17">
        <v>4.4</v>
      </c>
    </row>
    <row r="1257">
      <c r="A1257" s="7" t="s">
        <v>1370</v>
      </c>
      <c r="B1257" s="7" t="s">
        <v>1159</v>
      </c>
      <c r="C1257" s="8">
        <v>2079.0</v>
      </c>
      <c r="D1257" s="8">
        <v>3099.0</v>
      </c>
      <c r="E1257" s="9">
        <v>0.33</v>
      </c>
      <c r="F1257" s="10">
        <v>4.1</v>
      </c>
      <c r="G1257" s="10">
        <v>282.0</v>
      </c>
      <c r="K1257" s="17">
        <v>4.1</v>
      </c>
    </row>
    <row r="1258">
      <c r="A1258" s="7" t="s">
        <v>1371</v>
      </c>
      <c r="B1258" s="7" t="s">
        <v>1131</v>
      </c>
      <c r="C1258" s="8">
        <v>999.0</v>
      </c>
      <c r="D1258" s="8">
        <v>1075.0</v>
      </c>
      <c r="E1258" s="9">
        <v>0.07</v>
      </c>
      <c r="F1258" s="10">
        <v>4.1</v>
      </c>
      <c r="G1258" s="11">
        <v>9275.0</v>
      </c>
      <c r="K1258" s="17">
        <v>4.1</v>
      </c>
    </row>
    <row r="1259">
      <c r="A1259" s="7" t="s">
        <v>1372</v>
      </c>
      <c r="B1259" s="7" t="s">
        <v>1148</v>
      </c>
      <c r="C1259" s="8">
        <v>3179.0</v>
      </c>
      <c r="D1259" s="8">
        <v>6999.0</v>
      </c>
      <c r="E1259" s="9">
        <v>0.55</v>
      </c>
      <c r="F1259" s="10">
        <v>4.0</v>
      </c>
      <c r="G1259" s="10">
        <v>743.0</v>
      </c>
      <c r="K1259" s="17">
        <v>4.0</v>
      </c>
    </row>
    <row r="1260">
      <c r="A1260" s="7" t="s">
        <v>1373</v>
      </c>
      <c r="B1260" s="7" t="s">
        <v>1115</v>
      </c>
      <c r="C1260" s="8">
        <v>1049.0</v>
      </c>
      <c r="D1260" s="8">
        <v>2499.0</v>
      </c>
      <c r="E1260" s="9">
        <v>0.58</v>
      </c>
      <c r="F1260" s="10">
        <v>3.6</v>
      </c>
      <c r="G1260" s="10">
        <v>328.0</v>
      </c>
      <c r="K1260" s="17">
        <v>3.6</v>
      </c>
    </row>
    <row r="1261">
      <c r="A1261" s="7" t="s">
        <v>1374</v>
      </c>
      <c r="B1261" s="7" t="s">
        <v>1115</v>
      </c>
      <c r="C1261" s="8">
        <v>3599.0</v>
      </c>
      <c r="D1261" s="8">
        <v>7290.0</v>
      </c>
      <c r="E1261" s="9">
        <v>0.51</v>
      </c>
      <c r="F1261" s="10">
        <v>3.9</v>
      </c>
      <c r="G1261" s="10">
        <v>942.0</v>
      </c>
      <c r="K1261" s="17">
        <v>3.9</v>
      </c>
    </row>
    <row r="1262">
      <c r="A1262" s="7" t="s">
        <v>1375</v>
      </c>
      <c r="B1262" s="7" t="s">
        <v>1376</v>
      </c>
      <c r="C1262" s="8">
        <v>4799.0</v>
      </c>
      <c r="D1262" s="8">
        <v>5795.0</v>
      </c>
      <c r="E1262" s="9">
        <v>0.17</v>
      </c>
      <c r="F1262" s="10">
        <v>3.9</v>
      </c>
      <c r="G1262" s="11">
        <v>3815.0</v>
      </c>
      <c r="K1262" s="17">
        <v>3.9</v>
      </c>
    </row>
    <row r="1263">
      <c r="A1263" s="7" t="s">
        <v>1377</v>
      </c>
      <c r="B1263" s="7" t="s">
        <v>1113</v>
      </c>
      <c r="C1263" s="8">
        <v>1699.0</v>
      </c>
      <c r="D1263" s="8">
        <v>3398.0</v>
      </c>
      <c r="E1263" s="9">
        <v>0.5</v>
      </c>
      <c r="F1263" s="10">
        <v>3.8</v>
      </c>
      <c r="G1263" s="11">
        <v>7988.0</v>
      </c>
      <c r="K1263" s="17">
        <v>3.8</v>
      </c>
    </row>
    <row r="1264">
      <c r="A1264" s="7" t="s">
        <v>1378</v>
      </c>
      <c r="B1264" s="7" t="s">
        <v>1121</v>
      </c>
      <c r="C1264" s="8">
        <v>664.0</v>
      </c>
      <c r="D1264" s="8">
        <v>1490.0</v>
      </c>
      <c r="E1264" s="9">
        <v>0.55</v>
      </c>
      <c r="F1264" s="10">
        <v>4.1</v>
      </c>
      <c r="G1264" s="10">
        <v>925.0</v>
      </c>
      <c r="K1264" s="17">
        <v>4.1</v>
      </c>
    </row>
    <row r="1265">
      <c r="A1265" s="7" t="s">
        <v>1379</v>
      </c>
      <c r="B1265" s="7" t="s">
        <v>1380</v>
      </c>
      <c r="C1265" s="8">
        <v>948.0</v>
      </c>
      <c r="D1265" s="8">
        <v>1620.0</v>
      </c>
      <c r="E1265" s="9">
        <v>0.41</v>
      </c>
      <c r="F1265" s="10">
        <v>4.1</v>
      </c>
      <c r="G1265" s="11">
        <v>4370.0</v>
      </c>
      <c r="K1265" s="17">
        <v>4.1</v>
      </c>
    </row>
    <row r="1266">
      <c r="A1266" s="7" t="s">
        <v>1381</v>
      </c>
      <c r="B1266" s="7" t="s">
        <v>1111</v>
      </c>
      <c r="C1266" s="8">
        <v>850.0</v>
      </c>
      <c r="D1266" s="8">
        <v>1000.0</v>
      </c>
      <c r="E1266" s="9">
        <v>0.15</v>
      </c>
      <c r="F1266" s="10">
        <v>4.1</v>
      </c>
      <c r="G1266" s="11">
        <v>7619.0</v>
      </c>
      <c r="K1266" s="17">
        <v>4.1</v>
      </c>
    </row>
    <row r="1267">
      <c r="A1267" s="7" t="s">
        <v>1382</v>
      </c>
      <c r="B1267" s="7" t="s">
        <v>1230</v>
      </c>
      <c r="C1267" s="8">
        <v>600.0</v>
      </c>
      <c r="D1267" s="8">
        <v>640.0</v>
      </c>
      <c r="E1267" s="9">
        <v>0.06</v>
      </c>
      <c r="F1267" s="10">
        <v>3.8</v>
      </c>
      <c r="G1267" s="11">
        <v>2593.0</v>
      </c>
      <c r="K1267" s="17">
        <v>3.8</v>
      </c>
    </row>
    <row r="1268">
      <c r="A1268" s="7" t="s">
        <v>1383</v>
      </c>
      <c r="B1268" s="7" t="s">
        <v>1089</v>
      </c>
      <c r="C1268" s="8">
        <v>3711.0</v>
      </c>
      <c r="D1268" s="8">
        <v>4495.0</v>
      </c>
      <c r="E1268" s="9">
        <v>0.17</v>
      </c>
      <c r="F1268" s="10">
        <v>4.3</v>
      </c>
      <c r="G1268" s="10">
        <v>356.0</v>
      </c>
      <c r="K1268" s="17">
        <v>4.3</v>
      </c>
    </row>
    <row r="1269">
      <c r="A1269" s="7" t="s">
        <v>1384</v>
      </c>
      <c r="B1269" s="7" t="s">
        <v>1095</v>
      </c>
      <c r="C1269" s="8">
        <v>799.0</v>
      </c>
      <c r="D1269" s="8">
        <v>2999.0</v>
      </c>
      <c r="E1269" s="9">
        <v>0.73</v>
      </c>
      <c r="F1269" s="10">
        <v>4.5</v>
      </c>
      <c r="G1269" s="10">
        <v>63.0</v>
      </c>
      <c r="K1269" s="17">
        <v>4.5</v>
      </c>
    </row>
    <row r="1270">
      <c r="A1270" s="7" t="s">
        <v>1385</v>
      </c>
      <c r="B1270" s="7" t="s">
        <v>1228</v>
      </c>
      <c r="C1270" s="8">
        <v>980.0</v>
      </c>
      <c r="D1270" s="8">
        <v>980.0</v>
      </c>
      <c r="E1270" s="9">
        <v>0.0</v>
      </c>
      <c r="F1270" s="10">
        <v>4.2</v>
      </c>
      <c r="G1270" s="11">
        <v>4740.0</v>
      </c>
      <c r="K1270" s="17">
        <v>4.2</v>
      </c>
    </row>
    <row r="1271">
      <c r="A1271" s="7" t="s">
        <v>1386</v>
      </c>
      <c r="B1271" s="7" t="s">
        <v>1137</v>
      </c>
      <c r="C1271" s="8">
        <v>351.0</v>
      </c>
      <c r="D1271" s="8">
        <v>899.0</v>
      </c>
      <c r="E1271" s="9">
        <v>0.61</v>
      </c>
      <c r="F1271" s="10">
        <v>3.9</v>
      </c>
      <c r="G1271" s="10">
        <v>296.0</v>
      </c>
      <c r="K1271" s="17">
        <v>3.9</v>
      </c>
    </row>
    <row r="1272">
      <c r="A1272" s="7" t="s">
        <v>1387</v>
      </c>
      <c r="B1272" s="7" t="s">
        <v>1388</v>
      </c>
      <c r="C1272" s="8">
        <v>229.0</v>
      </c>
      <c r="D1272" s="8">
        <v>499.0</v>
      </c>
      <c r="E1272" s="9">
        <v>0.54</v>
      </c>
      <c r="F1272" s="10">
        <v>3.5</v>
      </c>
      <c r="G1272" s="10">
        <v>185.0</v>
      </c>
      <c r="K1272" s="17">
        <v>3.5</v>
      </c>
    </row>
    <row r="1273">
      <c r="A1273" s="7" t="s">
        <v>1389</v>
      </c>
      <c r="B1273" s="7" t="s">
        <v>1139</v>
      </c>
      <c r="C1273" s="8">
        <v>3349.0</v>
      </c>
      <c r="D1273" s="8">
        <v>3995.0</v>
      </c>
      <c r="E1273" s="9">
        <v>0.16</v>
      </c>
      <c r="F1273" s="10">
        <v>4.3</v>
      </c>
      <c r="G1273" s="11">
        <v>1954.0</v>
      </c>
      <c r="K1273" s="17">
        <v>4.3</v>
      </c>
    </row>
    <row r="1274">
      <c r="A1274" s="7" t="s">
        <v>1390</v>
      </c>
      <c r="B1274" s="7" t="s">
        <v>1123</v>
      </c>
      <c r="C1274" s="8">
        <v>5499.0</v>
      </c>
      <c r="D1274" s="8">
        <v>11500.0</v>
      </c>
      <c r="E1274" s="9">
        <v>0.52</v>
      </c>
      <c r="F1274" s="10">
        <v>3.9</v>
      </c>
      <c r="G1274" s="10">
        <v>959.0</v>
      </c>
      <c r="K1274" s="17">
        <v>3.9</v>
      </c>
    </row>
    <row r="1275">
      <c r="A1275" s="7" t="s">
        <v>1391</v>
      </c>
      <c r="B1275" s="7" t="s">
        <v>1093</v>
      </c>
      <c r="C1275" s="8">
        <v>299.0</v>
      </c>
      <c r="D1275" s="8">
        <v>499.0</v>
      </c>
      <c r="E1275" s="9">
        <v>0.4</v>
      </c>
      <c r="F1275" s="10">
        <v>3.9</v>
      </c>
      <c r="G1275" s="11">
        <v>1015.0</v>
      </c>
      <c r="K1275" s="17">
        <v>3.9</v>
      </c>
    </row>
    <row r="1276">
      <c r="A1276" s="7" t="s">
        <v>1392</v>
      </c>
      <c r="B1276" s="7" t="s">
        <v>1393</v>
      </c>
      <c r="C1276" s="8">
        <v>2249.0</v>
      </c>
      <c r="D1276" s="8">
        <v>3550.0</v>
      </c>
      <c r="E1276" s="9">
        <v>0.37</v>
      </c>
      <c r="F1276" s="10">
        <v>4.0</v>
      </c>
      <c r="G1276" s="11">
        <v>3973.0</v>
      </c>
      <c r="K1276" s="17">
        <v>4.0</v>
      </c>
    </row>
    <row r="1277">
      <c r="A1277" s="7" t="s">
        <v>1394</v>
      </c>
      <c r="B1277" s="7" t="s">
        <v>1155</v>
      </c>
      <c r="C1277" s="8">
        <v>699.0</v>
      </c>
      <c r="D1277" s="8">
        <v>1599.0</v>
      </c>
      <c r="E1277" s="9">
        <v>0.56</v>
      </c>
      <c r="F1277" s="10">
        <v>4.7</v>
      </c>
      <c r="G1277" s="11">
        <v>2300.0</v>
      </c>
      <c r="K1277" s="17">
        <v>4.7</v>
      </c>
    </row>
    <row r="1278">
      <c r="A1278" s="7" t="s">
        <v>1395</v>
      </c>
      <c r="B1278" s="7" t="s">
        <v>1089</v>
      </c>
      <c r="C1278" s="8">
        <v>1235.0</v>
      </c>
      <c r="D1278" s="8">
        <v>1499.0</v>
      </c>
      <c r="E1278" s="9">
        <v>0.18</v>
      </c>
      <c r="F1278" s="10">
        <v>4.1</v>
      </c>
      <c r="G1278" s="10">
        <v>203.0</v>
      </c>
      <c r="K1278" s="17">
        <v>4.1</v>
      </c>
    </row>
    <row r="1279">
      <c r="A1279" s="7" t="s">
        <v>1396</v>
      </c>
      <c r="B1279" s="7" t="s">
        <v>1173</v>
      </c>
      <c r="C1279" s="8">
        <v>1349.0</v>
      </c>
      <c r="D1279" s="8">
        <v>2999.0</v>
      </c>
      <c r="E1279" s="9">
        <v>0.55</v>
      </c>
      <c r="F1279" s="10">
        <v>3.8</v>
      </c>
      <c r="G1279" s="10">
        <v>441.0</v>
      </c>
      <c r="K1279" s="17">
        <v>3.8</v>
      </c>
    </row>
    <row r="1280">
      <c r="A1280" s="7" t="s">
        <v>1397</v>
      </c>
      <c r="B1280" s="7" t="s">
        <v>1123</v>
      </c>
      <c r="C1280" s="8">
        <v>6800.0</v>
      </c>
      <c r="D1280" s="8">
        <v>11500.0</v>
      </c>
      <c r="E1280" s="9">
        <v>0.41</v>
      </c>
      <c r="F1280" s="10">
        <v>4.1</v>
      </c>
      <c r="G1280" s="11">
        <v>10308.0</v>
      </c>
      <c r="K1280" s="17">
        <v>4.1</v>
      </c>
    </row>
    <row r="1281">
      <c r="A1281" s="7" t="s">
        <v>1398</v>
      </c>
      <c r="B1281" s="7" t="s">
        <v>1148</v>
      </c>
      <c r="C1281" s="8">
        <v>2099.0</v>
      </c>
      <c r="D1281" s="8">
        <v>2499.0</v>
      </c>
      <c r="E1281" s="9">
        <v>0.16</v>
      </c>
      <c r="F1281" s="7" t="s">
        <v>1399</v>
      </c>
      <c r="G1281" s="10">
        <v>992.0</v>
      </c>
      <c r="K1281" s="17" t="s">
        <v>1399</v>
      </c>
    </row>
    <row r="1282">
      <c r="A1282" s="7" t="s">
        <v>1400</v>
      </c>
      <c r="B1282" s="7" t="s">
        <v>1159</v>
      </c>
      <c r="C1282" s="8">
        <v>1699.0</v>
      </c>
      <c r="D1282" s="8">
        <v>1975.0</v>
      </c>
      <c r="E1282" s="9">
        <v>0.14</v>
      </c>
      <c r="F1282" s="10">
        <v>4.1</v>
      </c>
      <c r="G1282" s="11">
        <v>4716.0</v>
      </c>
      <c r="K1282" s="17">
        <v>4.1</v>
      </c>
    </row>
    <row r="1283">
      <c r="A1283" s="7" t="s">
        <v>1401</v>
      </c>
      <c r="B1283" s="7" t="s">
        <v>1091</v>
      </c>
      <c r="C1283" s="8">
        <v>1069.0</v>
      </c>
      <c r="D1283" s="8">
        <v>1699.0</v>
      </c>
      <c r="E1283" s="9">
        <v>0.37</v>
      </c>
      <c r="F1283" s="10">
        <v>3.9</v>
      </c>
      <c r="G1283" s="10">
        <v>313.0</v>
      </c>
      <c r="K1283" s="17">
        <v>3.9</v>
      </c>
    </row>
    <row r="1284">
      <c r="A1284" s="7" t="s">
        <v>1402</v>
      </c>
      <c r="B1284" s="7" t="s">
        <v>1091</v>
      </c>
      <c r="C1284" s="8">
        <v>1349.0</v>
      </c>
      <c r="D1284" s="8">
        <v>2495.0</v>
      </c>
      <c r="E1284" s="9">
        <v>0.46</v>
      </c>
      <c r="F1284" s="10">
        <v>3.8</v>
      </c>
      <c r="G1284" s="10">
        <v>166.0</v>
      </c>
      <c r="K1284" s="17">
        <v>3.8</v>
      </c>
    </row>
    <row r="1285">
      <c r="A1285" s="7" t="s">
        <v>1403</v>
      </c>
      <c r="B1285" s="7" t="s">
        <v>1131</v>
      </c>
      <c r="C1285" s="8">
        <v>1499.0</v>
      </c>
      <c r="D1285" s="8">
        <v>3500.0</v>
      </c>
      <c r="E1285" s="9">
        <v>0.57</v>
      </c>
      <c r="F1285" s="10">
        <v>4.1</v>
      </c>
      <c r="G1285" s="10">
        <v>303.0</v>
      </c>
      <c r="K1285" s="17">
        <v>4.1</v>
      </c>
    </row>
    <row r="1286">
      <c r="A1286" s="7" t="s">
        <v>1404</v>
      </c>
      <c r="B1286" s="7" t="s">
        <v>1159</v>
      </c>
      <c r="C1286" s="8">
        <v>2092.0</v>
      </c>
      <c r="D1286" s="8">
        <v>4600.0</v>
      </c>
      <c r="E1286" s="9">
        <v>0.55</v>
      </c>
      <c r="F1286" s="10">
        <v>4.3</v>
      </c>
      <c r="G1286" s="10">
        <v>562.0</v>
      </c>
      <c r="K1286" s="17">
        <v>4.3</v>
      </c>
    </row>
    <row r="1287">
      <c r="A1287" s="7" t="s">
        <v>1405</v>
      </c>
      <c r="B1287" s="7" t="s">
        <v>1263</v>
      </c>
      <c r="C1287" s="8">
        <v>3859.0</v>
      </c>
      <c r="D1287" s="8">
        <v>10295.0</v>
      </c>
      <c r="E1287" s="9">
        <v>0.63</v>
      </c>
      <c r="F1287" s="10">
        <v>3.9</v>
      </c>
      <c r="G1287" s="11">
        <v>8095.0</v>
      </c>
      <c r="K1287" s="17">
        <v>3.9</v>
      </c>
    </row>
    <row r="1288">
      <c r="A1288" s="7" t="s">
        <v>1406</v>
      </c>
      <c r="B1288" s="7" t="s">
        <v>1144</v>
      </c>
      <c r="C1288" s="8">
        <v>499.0</v>
      </c>
      <c r="D1288" s="8">
        <v>2199.0</v>
      </c>
      <c r="E1288" s="9">
        <v>0.77</v>
      </c>
      <c r="F1288" s="10">
        <v>2.8</v>
      </c>
      <c r="G1288" s="10">
        <v>109.0</v>
      </c>
      <c r="K1288" s="17">
        <v>2.8</v>
      </c>
    </row>
    <row r="1289">
      <c r="A1289" s="7" t="s">
        <v>1407</v>
      </c>
      <c r="B1289" s="7" t="s">
        <v>1186</v>
      </c>
      <c r="C1289" s="8">
        <v>1804.0</v>
      </c>
      <c r="D1289" s="8">
        <v>2380.0</v>
      </c>
      <c r="E1289" s="9">
        <v>0.24</v>
      </c>
      <c r="F1289" s="10">
        <v>4.0</v>
      </c>
      <c r="G1289" s="11">
        <v>15382.0</v>
      </c>
      <c r="K1289" s="17">
        <v>4.0</v>
      </c>
    </row>
    <row r="1290">
      <c r="A1290" s="7" t="s">
        <v>1408</v>
      </c>
      <c r="B1290" s="7" t="s">
        <v>1144</v>
      </c>
      <c r="C1290" s="8">
        <v>6525.0</v>
      </c>
      <c r="D1290" s="8">
        <v>8820.0</v>
      </c>
      <c r="E1290" s="9">
        <v>0.26</v>
      </c>
      <c r="F1290" s="10">
        <v>4.5</v>
      </c>
      <c r="G1290" s="11">
        <v>5137.0</v>
      </c>
      <c r="K1290" s="17">
        <v>4.5</v>
      </c>
    </row>
    <row r="1291">
      <c r="A1291" s="7" t="s">
        <v>1409</v>
      </c>
      <c r="B1291" s="7" t="s">
        <v>1280</v>
      </c>
      <c r="C1291" s="8">
        <v>4999.0</v>
      </c>
      <c r="D1291" s="8">
        <v>24999.0</v>
      </c>
      <c r="E1291" s="9">
        <v>0.8</v>
      </c>
      <c r="F1291" s="10">
        <v>4.6</v>
      </c>
      <c r="G1291" s="10">
        <v>124.0</v>
      </c>
      <c r="K1291" s="17">
        <v>4.6</v>
      </c>
    </row>
    <row r="1292">
      <c r="A1292" s="7" t="s">
        <v>1410</v>
      </c>
      <c r="B1292" s="7" t="s">
        <v>1225</v>
      </c>
      <c r="C1292" s="8">
        <v>1189.0</v>
      </c>
      <c r="D1292" s="8">
        <v>2400.0</v>
      </c>
      <c r="E1292" s="9">
        <v>0.5</v>
      </c>
      <c r="F1292" s="10">
        <v>4.1</v>
      </c>
      <c r="G1292" s="10">
        <v>618.0</v>
      </c>
      <c r="K1292" s="17">
        <v>4.1</v>
      </c>
    </row>
    <row r="1293">
      <c r="A1293" s="7" t="s">
        <v>1411</v>
      </c>
      <c r="B1293" s="7" t="s">
        <v>1091</v>
      </c>
      <c r="C1293" s="8">
        <v>2590.0</v>
      </c>
      <c r="D1293" s="8">
        <v>4200.0</v>
      </c>
      <c r="E1293" s="9">
        <v>0.38</v>
      </c>
      <c r="F1293" s="10">
        <v>4.1</v>
      </c>
      <c r="G1293" s="10">
        <v>63.0</v>
      </c>
      <c r="K1293" s="17">
        <v>4.1</v>
      </c>
    </row>
    <row r="1294">
      <c r="A1294" s="7" t="s">
        <v>1412</v>
      </c>
      <c r="B1294" s="7" t="s">
        <v>1091</v>
      </c>
      <c r="C1294" s="8">
        <v>899.0</v>
      </c>
      <c r="D1294" s="8">
        <v>1599.0</v>
      </c>
      <c r="E1294" s="9">
        <v>0.44</v>
      </c>
      <c r="F1294" s="10">
        <v>3.4</v>
      </c>
      <c r="G1294" s="10">
        <v>15.0</v>
      </c>
      <c r="K1294" s="17">
        <v>3.4</v>
      </c>
    </row>
    <row r="1295">
      <c r="A1295" s="7" t="s">
        <v>1413</v>
      </c>
      <c r="B1295" s="7" t="s">
        <v>1091</v>
      </c>
      <c r="C1295" s="8">
        <v>998.0</v>
      </c>
      <c r="D1295" s="8">
        <v>2999.0</v>
      </c>
      <c r="E1295" s="9">
        <v>0.67</v>
      </c>
      <c r="F1295" s="10">
        <v>4.6</v>
      </c>
      <c r="G1295" s="10">
        <v>9.0</v>
      </c>
      <c r="K1295" s="17">
        <v>4.6</v>
      </c>
    </row>
    <row r="1296">
      <c r="A1296" s="7" t="s">
        <v>1414</v>
      </c>
      <c r="B1296" s="7" t="s">
        <v>1137</v>
      </c>
      <c r="C1296" s="8">
        <v>998.06</v>
      </c>
      <c r="D1296" s="8">
        <v>1282.0</v>
      </c>
      <c r="E1296" s="9">
        <v>0.22</v>
      </c>
      <c r="F1296" s="10">
        <v>4.2</v>
      </c>
      <c r="G1296" s="11">
        <v>7274.0</v>
      </c>
      <c r="K1296" s="17">
        <v>4.2</v>
      </c>
    </row>
    <row r="1297">
      <c r="A1297" s="7" t="s">
        <v>1415</v>
      </c>
      <c r="B1297" s="7" t="s">
        <v>1186</v>
      </c>
      <c r="C1297" s="8">
        <v>1099.0</v>
      </c>
      <c r="D1297" s="8">
        <v>1990.0</v>
      </c>
      <c r="E1297" s="9">
        <v>0.45</v>
      </c>
      <c r="F1297" s="10">
        <v>3.9</v>
      </c>
      <c r="G1297" s="11">
        <v>5911.0</v>
      </c>
      <c r="K1297" s="17">
        <v>3.9</v>
      </c>
    </row>
    <row r="1298">
      <c r="A1298" s="7" t="s">
        <v>1416</v>
      </c>
      <c r="B1298" s="7" t="s">
        <v>1197</v>
      </c>
      <c r="C1298" s="8">
        <v>5999.0</v>
      </c>
      <c r="D1298" s="8">
        <v>9999.0</v>
      </c>
      <c r="E1298" s="9">
        <v>0.4</v>
      </c>
      <c r="F1298" s="10">
        <v>4.2</v>
      </c>
      <c r="G1298" s="10">
        <v>170.0</v>
      </c>
      <c r="K1298" s="17">
        <v>4.2</v>
      </c>
    </row>
    <row r="1299">
      <c r="A1299" s="7" t="s">
        <v>1417</v>
      </c>
      <c r="B1299" s="7" t="s">
        <v>1263</v>
      </c>
      <c r="C1299" s="8">
        <v>8886.0</v>
      </c>
      <c r="D1299" s="8">
        <v>11850.0</v>
      </c>
      <c r="E1299" s="9">
        <v>0.25</v>
      </c>
      <c r="F1299" s="10">
        <v>4.2</v>
      </c>
      <c r="G1299" s="11">
        <v>3065.0</v>
      </c>
      <c r="K1299" s="17">
        <v>4.2</v>
      </c>
    </row>
    <row r="1300">
      <c r="A1300" s="7" t="s">
        <v>1418</v>
      </c>
      <c r="B1300" s="7" t="s">
        <v>1093</v>
      </c>
      <c r="C1300" s="8">
        <v>475.0</v>
      </c>
      <c r="D1300" s="8">
        <v>999.0</v>
      </c>
      <c r="E1300" s="9">
        <v>0.52</v>
      </c>
      <c r="F1300" s="10">
        <v>4.1</v>
      </c>
      <c r="G1300" s="11">
        <v>1021.0</v>
      </c>
      <c r="K1300" s="17">
        <v>4.1</v>
      </c>
    </row>
    <row r="1301">
      <c r="A1301" s="7" t="s">
        <v>1419</v>
      </c>
      <c r="B1301" s="7" t="s">
        <v>1135</v>
      </c>
      <c r="C1301" s="8">
        <v>4995.0</v>
      </c>
      <c r="D1301" s="8">
        <v>20049.0</v>
      </c>
      <c r="E1301" s="9">
        <v>0.75</v>
      </c>
      <c r="F1301" s="10">
        <v>4.8</v>
      </c>
      <c r="G1301" s="11">
        <v>3964.0</v>
      </c>
      <c r="K1301" s="17">
        <v>4.8</v>
      </c>
    </row>
    <row r="1302">
      <c r="A1302" s="7" t="s">
        <v>1420</v>
      </c>
      <c r="B1302" s="7" t="s">
        <v>1280</v>
      </c>
      <c r="C1302" s="8">
        <v>13999.0</v>
      </c>
      <c r="D1302" s="8">
        <v>24850.0</v>
      </c>
      <c r="E1302" s="9">
        <v>0.44</v>
      </c>
      <c r="F1302" s="10">
        <v>4.4</v>
      </c>
      <c r="G1302" s="11">
        <v>8948.0</v>
      </c>
      <c r="K1302" s="17">
        <v>4.4</v>
      </c>
    </row>
    <row r="1303">
      <c r="A1303" s="7" t="s">
        <v>1421</v>
      </c>
      <c r="B1303" s="7" t="s">
        <v>1280</v>
      </c>
      <c r="C1303" s="8">
        <v>8499.0</v>
      </c>
      <c r="D1303" s="8">
        <v>16490.0</v>
      </c>
      <c r="E1303" s="9">
        <v>0.48</v>
      </c>
      <c r="F1303" s="10">
        <v>4.3</v>
      </c>
      <c r="G1303" s="10">
        <v>97.0</v>
      </c>
      <c r="K1303" s="17">
        <v>4.3</v>
      </c>
    </row>
    <row r="1304">
      <c r="A1304" s="7" t="s">
        <v>1422</v>
      </c>
      <c r="B1304" s="7" t="s">
        <v>1111</v>
      </c>
      <c r="C1304" s="8">
        <v>949.0</v>
      </c>
      <c r="D1304" s="8">
        <v>975.0</v>
      </c>
      <c r="E1304" s="9">
        <v>0.03</v>
      </c>
      <c r="F1304" s="10">
        <v>4.3</v>
      </c>
      <c r="G1304" s="11">
        <v>7223.0</v>
      </c>
      <c r="K1304" s="17">
        <v>4.3</v>
      </c>
    </row>
    <row r="1305">
      <c r="A1305" s="7" t="s">
        <v>1423</v>
      </c>
      <c r="B1305" s="7" t="s">
        <v>1137</v>
      </c>
      <c r="C1305" s="8">
        <v>395.0</v>
      </c>
      <c r="D1305" s="8">
        <v>499.0</v>
      </c>
      <c r="E1305" s="9">
        <v>0.21</v>
      </c>
      <c r="F1305" s="10">
        <v>4.0</v>
      </c>
      <c r="G1305" s="10">
        <v>330.0</v>
      </c>
      <c r="K1305" s="17">
        <v>4.0</v>
      </c>
    </row>
    <row r="1306">
      <c r="A1306" s="7" t="s">
        <v>1424</v>
      </c>
      <c r="B1306" s="7" t="s">
        <v>1425</v>
      </c>
      <c r="C1306" s="8">
        <v>635.0</v>
      </c>
      <c r="D1306" s="8">
        <v>635.0</v>
      </c>
      <c r="E1306" s="9">
        <v>0.0</v>
      </c>
      <c r="F1306" s="10">
        <v>4.3</v>
      </c>
      <c r="G1306" s="11">
        <v>4570.0</v>
      </c>
      <c r="K1306" s="17">
        <v>4.3</v>
      </c>
    </row>
    <row r="1307">
      <c r="A1307" s="7" t="s">
        <v>1426</v>
      </c>
      <c r="B1307" s="7" t="s">
        <v>1111</v>
      </c>
      <c r="C1307" s="8">
        <v>717.0</v>
      </c>
      <c r="D1307" s="8">
        <v>1390.0</v>
      </c>
      <c r="E1307" s="9">
        <v>0.48</v>
      </c>
      <c r="F1307" s="10">
        <v>4.0</v>
      </c>
      <c r="G1307" s="11">
        <v>4867.0</v>
      </c>
      <c r="K1307" s="17">
        <v>4.0</v>
      </c>
    </row>
    <row r="1308">
      <c r="A1308" s="7" t="s">
        <v>1427</v>
      </c>
      <c r="B1308" s="7" t="s">
        <v>1428</v>
      </c>
      <c r="C1308" s="8">
        <v>27900.0</v>
      </c>
      <c r="D1308" s="8">
        <v>59900.0</v>
      </c>
      <c r="E1308" s="9">
        <v>0.53</v>
      </c>
      <c r="F1308" s="10">
        <v>4.4</v>
      </c>
      <c r="G1308" s="11">
        <v>5298.0</v>
      </c>
      <c r="K1308" s="17">
        <v>4.4</v>
      </c>
    </row>
    <row r="1309">
      <c r="A1309" s="7" t="s">
        <v>1429</v>
      </c>
      <c r="B1309" s="7" t="s">
        <v>1230</v>
      </c>
      <c r="C1309" s="8">
        <v>649.0</v>
      </c>
      <c r="D1309" s="8">
        <v>670.0</v>
      </c>
      <c r="E1309" s="9">
        <v>0.03</v>
      </c>
      <c r="F1309" s="10">
        <v>4.1</v>
      </c>
      <c r="G1309" s="11">
        <v>7786.0</v>
      </c>
      <c r="K1309" s="17">
        <v>4.1</v>
      </c>
    </row>
    <row r="1310">
      <c r="A1310" s="7" t="s">
        <v>1430</v>
      </c>
      <c r="B1310" s="7" t="s">
        <v>1228</v>
      </c>
      <c r="C1310" s="8">
        <v>193.0</v>
      </c>
      <c r="D1310" s="8">
        <v>399.0</v>
      </c>
      <c r="E1310" s="9">
        <v>0.52</v>
      </c>
      <c r="F1310" s="10">
        <v>3.6</v>
      </c>
      <c r="G1310" s="10">
        <v>37.0</v>
      </c>
      <c r="K1310" s="17">
        <v>3.6</v>
      </c>
    </row>
    <row r="1311">
      <c r="A1311" s="7" t="s">
        <v>1431</v>
      </c>
      <c r="B1311" s="7" t="s">
        <v>1091</v>
      </c>
      <c r="C1311" s="8">
        <v>1299.0</v>
      </c>
      <c r="D1311" s="8">
        <v>2495.0</v>
      </c>
      <c r="E1311" s="9">
        <v>0.48</v>
      </c>
      <c r="F1311" s="10">
        <v>2.0</v>
      </c>
      <c r="G1311" s="10">
        <v>2.0</v>
      </c>
      <c r="K1311" s="17">
        <v>2.0</v>
      </c>
    </row>
    <row r="1312">
      <c r="A1312" s="7" t="s">
        <v>1432</v>
      </c>
      <c r="B1312" s="7" t="s">
        <v>1113</v>
      </c>
      <c r="C1312" s="8">
        <v>2449.0</v>
      </c>
      <c r="D1312" s="8">
        <v>3390.0</v>
      </c>
      <c r="E1312" s="9">
        <v>0.28</v>
      </c>
      <c r="F1312" s="10">
        <v>4.0</v>
      </c>
      <c r="G1312" s="11">
        <v>5206.0</v>
      </c>
      <c r="K1312" s="17">
        <v>4.0</v>
      </c>
    </row>
    <row r="1313">
      <c r="A1313" s="7" t="s">
        <v>1433</v>
      </c>
      <c r="B1313" s="7" t="s">
        <v>1115</v>
      </c>
      <c r="C1313" s="8">
        <v>1049.0</v>
      </c>
      <c r="D1313" s="8">
        <v>2499.0</v>
      </c>
      <c r="E1313" s="9">
        <v>0.58</v>
      </c>
      <c r="F1313" s="10">
        <v>3.7</v>
      </c>
      <c r="G1313" s="10">
        <v>638.0</v>
      </c>
      <c r="K1313" s="17">
        <v>3.7</v>
      </c>
    </row>
    <row r="1314">
      <c r="A1314" s="7" t="s">
        <v>1434</v>
      </c>
      <c r="B1314" s="7" t="s">
        <v>1380</v>
      </c>
      <c r="C1314" s="8">
        <v>2399.0</v>
      </c>
      <c r="D1314" s="8">
        <v>4200.0</v>
      </c>
      <c r="E1314" s="9">
        <v>0.43</v>
      </c>
      <c r="F1314" s="10">
        <v>3.8</v>
      </c>
      <c r="G1314" s="10">
        <v>397.0</v>
      </c>
      <c r="K1314" s="17">
        <v>3.8</v>
      </c>
    </row>
    <row r="1315">
      <c r="A1315" s="7" t="s">
        <v>1435</v>
      </c>
      <c r="B1315" s="7" t="s">
        <v>1148</v>
      </c>
      <c r="C1315" s="8">
        <v>2286.0</v>
      </c>
      <c r="D1315" s="8">
        <v>4495.0</v>
      </c>
      <c r="E1315" s="9">
        <v>0.49</v>
      </c>
      <c r="F1315" s="10">
        <v>3.9</v>
      </c>
      <c r="G1315" s="10">
        <v>326.0</v>
      </c>
      <c r="K1315" s="17">
        <v>3.9</v>
      </c>
    </row>
    <row r="1316">
      <c r="A1316" s="7" t="s">
        <v>1436</v>
      </c>
      <c r="B1316" s="7" t="s">
        <v>1334</v>
      </c>
      <c r="C1316" s="8">
        <v>499.0</v>
      </c>
      <c r="D1316" s="8">
        <v>2199.0</v>
      </c>
      <c r="E1316" s="9">
        <v>0.77</v>
      </c>
      <c r="F1316" s="10">
        <v>3.1</v>
      </c>
      <c r="G1316" s="11">
        <v>3527.0</v>
      </c>
      <c r="K1316" s="17">
        <v>3.1</v>
      </c>
    </row>
    <row r="1317">
      <c r="A1317" s="7" t="s">
        <v>1437</v>
      </c>
      <c r="B1317" s="7" t="s">
        <v>1184</v>
      </c>
      <c r="C1317" s="8">
        <v>429.0</v>
      </c>
      <c r="D1317" s="8">
        <v>999.0</v>
      </c>
      <c r="E1317" s="9">
        <v>0.57</v>
      </c>
      <c r="F1317" s="10">
        <v>3.0</v>
      </c>
      <c r="G1317" s="10">
        <v>617.0</v>
      </c>
      <c r="K1317" s="17">
        <v>3.0</v>
      </c>
    </row>
    <row r="1318">
      <c r="A1318" s="7" t="s">
        <v>1438</v>
      </c>
      <c r="B1318" s="7" t="s">
        <v>1159</v>
      </c>
      <c r="C1318" s="8">
        <v>299.0</v>
      </c>
      <c r="D1318" s="8">
        <v>595.0</v>
      </c>
      <c r="E1318" s="9">
        <v>0.5</v>
      </c>
      <c r="F1318" s="10">
        <v>4.0</v>
      </c>
      <c r="G1318" s="10">
        <v>314.0</v>
      </c>
      <c r="K1318" s="17">
        <v>4.0</v>
      </c>
    </row>
    <row r="1319">
      <c r="A1319" s="7" t="s">
        <v>1439</v>
      </c>
      <c r="B1319" s="7" t="s">
        <v>1280</v>
      </c>
      <c r="C1319" s="8">
        <v>5395.0</v>
      </c>
      <c r="D1319" s="8">
        <v>19990.0</v>
      </c>
      <c r="E1319" s="9">
        <v>0.73</v>
      </c>
      <c r="F1319" s="10">
        <v>4.4</v>
      </c>
      <c r="G1319" s="10">
        <v>535.0</v>
      </c>
      <c r="K1319" s="17">
        <v>4.4</v>
      </c>
    </row>
    <row r="1320">
      <c r="A1320" s="7" t="s">
        <v>1440</v>
      </c>
      <c r="B1320" s="7" t="s">
        <v>1111</v>
      </c>
      <c r="C1320" s="8">
        <v>559.0</v>
      </c>
      <c r="D1320" s="8">
        <v>1010.0</v>
      </c>
      <c r="E1320" s="9">
        <v>0.45</v>
      </c>
      <c r="F1320" s="10">
        <v>4.1</v>
      </c>
      <c r="G1320" s="11">
        <v>17325.0</v>
      </c>
      <c r="K1320" s="17">
        <v>4.1</v>
      </c>
    </row>
    <row r="1321">
      <c r="A1321" s="7" t="s">
        <v>1441</v>
      </c>
      <c r="B1321" s="7" t="s">
        <v>1111</v>
      </c>
      <c r="C1321" s="8">
        <v>660.0</v>
      </c>
      <c r="D1321" s="8">
        <v>1100.0</v>
      </c>
      <c r="E1321" s="9">
        <v>0.4</v>
      </c>
      <c r="F1321" s="10">
        <v>3.6</v>
      </c>
      <c r="G1321" s="10">
        <v>91.0</v>
      </c>
      <c r="K1321" s="17">
        <v>3.6</v>
      </c>
    </row>
    <row r="1322">
      <c r="A1322" s="7" t="s">
        <v>1442</v>
      </c>
      <c r="B1322" s="7" t="s">
        <v>1155</v>
      </c>
      <c r="C1322" s="8">
        <v>419.0</v>
      </c>
      <c r="D1322" s="8">
        <v>999.0</v>
      </c>
      <c r="E1322" s="9">
        <v>0.58</v>
      </c>
      <c r="F1322" s="10">
        <v>4.4</v>
      </c>
      <c r="G1322" s="10">
        <v>227.0</v>
      </c>
      <c r="K1322" s="17">
        <v>4.4</v>
      </c>
    </row>
    <row r="1323">
      <c r="A1323" s="7" t="s">
        <v>1443</v>
      </c>
      <c r="B1323" s="7" t="s">
        <v>1123</v>
      </c>
      <c r="C1323" s="8">
        <v>7349.0</v>
      </c>
      <c r="D1323" s="8">
        <v>10900.0</v>
      </c>
      <c r="E1323" s="9">
        <v>0.33</v>
      </c>
      <c r="F1323" s="10">
        <v>4.2</v>
      </c>
      <c r="G1323" s="11">
        <v>11957.0</v>
      </c>
      <c r="K1323" s="17">
        <v>4.2</v>
      </c>
    </row>
    <row r="1324">
      <c r="A1324" s="7" t="s">
        <v>1444</v>
      </c>
      <c r="B1324" s="7" t="s">
        <v>1186</v>
      </c>
      <c r="C1324" s="8">
        <v>2899.0</v>
      </c>
      <c r="D1324" s="8">
        <v>4005.0</v>
      </c>
      <c r="E1324" s="9">
        <v>0.28</v>
      </c>
      <c r="F1324" s="10">
        <v>4.3</v>
      </c>
      <c r="G1324" s="11">
        <v>7140.0</v>
      </c>
      <c r="K1324" s="17">
        <v>4.3</v>
      </c>
    </row>
    <row r="1325">
      <c r="A1325" s="7" t="s">
        <v>1445</v>
      </c>
      <c r="B1325" s="7" t="s">
        <v>1148</v>
      </c>
      <c r="C1325" s="8">
        <v>1799.0</v>
      </c>
      <c r="D1325" s="8">
        <v>3295.0</v>
      </c>
      <c r="E1325" s="9">
        <v>0.45</v>
      </c>
      <c r="F1325" s="10">
        <v>3.8</v>
      </c>
      <c r="G1325" s="10">
        <v>687.0</v>
      </c>
      <c r="K1325" s="17">
        <v>3.8</v>
      </c>
    </row>
    <row r="1326">
      <c r="A1326" s="7" t="s">
        <v>1446</v>
      </c>
      <c r="B1326" s="7" t="s">
        <v>1159</v>
      </c>
      <c r="C1326" s="8">
        <v>1474.0</v>
      </c>
      <c r="D1326" s="8">
        <v>4650.0</v>
      </c>
      <c r="E1326" s="9">
        <v>0.68</v>
      </c>
      <c r="F1326" s="10">
        <v>4.1</v>
      </c>
      <c r="G1326" s="11">
        <v>1045.0</v>
      </c>
      <c r="K1326" s="17">
        <v>4.1</v>
      </c>
    </row>
    <row r="1327">
      <c r="A1327" s="7" t="s">
        <v>1447</v>
      </c>
      <c r="B1327" s="7" t="s">
        <v>1280</v>
      </c>
      <c r="C1327" s="8">
        <v>15999.0</v>
      </c>
      <c r="D1327" s="8">
        <v>24500.0</v>
      </c>
      <c r="E1327" s="9">
        <v>0.35</v>
      </c>
      <c r="F1327" s="10">
        <v>4.0</v>
      </c>
      <c r="G1327" s="11">
        <v>11206.0</v>
      </c>
      <c r="K1327" s="17">
        <v>4.0</v>
      </c>
    </row>
    <row r="1328">
      <c r="A1328" s="7" t="s">
        <v>1448</v>
      </c>
      <c r="B1328" s="7" t="s">
        <v>1115</v>
      </c>
      <c r="C1328" s="8">
        <v>3645.0</v>
      </c>
      <c r="D1328" s="8">
        <v>6070.0</v>
      </c>
      <c r="E1328" s="9">
        <v>0.4</v>
      </c>
      <c r="F1328" s="10">
        <v>4.2</v>
      </c>
      <c r="G1328" s="10">
        <v>561.0</v>
      </c>
      <c r="K1328" s="17">
        <v>4.2</v>
      </c>
    </row>
    <row r="1329">
      <c r="A1329" s="7" t="s">
        <v>1449</v>
      </c>
      <c r="B1329" s="7" t="s">
        <v>1109</v>
      </c>
      <c r="C1329" s="8">
        <v>375.0</v>
      </c>
      <c r="D1329" s="8">
        <v>999.0</v>
      </c>
      <c r="E1329" s="9">
        <v>0.62</v>
      </c>
      <c r="F1329" s="10">
        <v>3.6</v>
      </c>
      <c r="G1329" s="11">
        <v>1988.0</v>
      </c>
      <c r="K1329" s="17">
        <v>3.6</v>
      </c>
    </row>
    <row r="1330">
      <c r="A1330" s="7" t="s">
        <v>1450</v>
      </c>
      <c r="B1330" s="7" t="s">
        <v>1236</v>
      </c>
      <c r="C1330" s="8">
        <v>2976.0</v>
      </c>
      <c r="D1330" s="8">
        <v>3945.0</v>
      </c>
      <c r="E1330" s="9">
        <v>0.25</v>
      </c>
      <c r="F1330" s="10">
        <v>4.2</v>
      </c>
      <c r="G1330" s="11">
        <v>3740.0</v>
      </c>
      <c r="K1330" s="17">
        <v>4.2</v>
      </c>
    </row>
    <row r="1331">
      <c r="A1331" s="7" t="s">
        <v>1451</v>
      </c>
      <c r="B1331" s="7" t="s">
        <v>1388</v>
      </c>
      <c r="C1331" s="8">
        <v>1099.0</v>
      </c>
      <c r="D1331" s="8">
        <v>1499.0</v>
      </c>
      <c r="E1331" s="9">
        <v>0.27</v>
      </c>
      <c r="F1331" s="10">
        <v>4.1</v>
      </c>
      <c r="G1331" s="11">
        <v>4401.0</v>
      </c>
      <c r="K1331" s="17">
        <v>4.1</v>
      </c>
    </row>
    <row r="1332">
      <c r="A1332" s="7" t="s">
        <v>1452</v>
      </c>
      <c r="B1332" s="7" t="s">
        <v>1139</v>
      </c>
      <c r="C1332" s="8">
        <v>2575.0</v>
      </c>
      <c r="D1332" s="8">
        <v>6700.0</v>
      </c>
      <c r="E1332" s="9">
        <v>0.62</v>
      </c>
      <c r="F1332" s="10">
        <v>4.2</v>
      </c>
      <c r="G1332" s="10">
        <v>611.0</v>
      </c>
      <c r="K1332" s="17">
        <v>4.2</v>
      </c>
    </row>
    <row r="1333">
      <c r="A1333" s="7" t="s">
        <v>1453</v>
      </c>
      <c r="B1333" s="7" t="s">
        <v>1113</v>
      </c>
      <c r="C1333" s="8">
        <v>1649.0</v>
      </c>
      <c r="D1333" s="8">
        <v>2800.0</v>
      </c>
      <c r="E1333" s="9">
        <v>0.41</v>
      </c>
      <c r="F1333" s="10">
        <v>3.9</v>
      </c>
      <c r="G1333" s="11">
        <v>2162.0</v>
      </c>
      <c r="K1333" s="17">
        <v>3.9</v>
      </c>
    </row>
    <row r="1334">
      <c r="A1334" s="7" t="s">
        <v>1454</v>
      </c>
      <c r="B1334" s="7" t="s">
        <v>1109</v>
      </c>
      <c r="C1334" s="8">
        <v>799.0</v>
      </c>
      <c r="D1334" s="8">
        <v>1699.0</v>
      </c>
      <c r="E1334" s="9">
        <v>0.53</v>
      </c>
      <c r="F1334" s="10">
        <v>4.0</v>
      </c>
      <c r="G1334" s="10">
        <v>97.0</v>
      </c>
      <c r="K1334" s="17">
        <v>4.0</v>
      </c>
    </row>
    <row r="1335">
      <c r="A1335" s="7" t="s">
        <v>1455</v>
      </c>
      <c r="B1335" s="7" t="s">
        <v>1109</v>
      </c>
      <c r="C1335" s="8">
        <v>765.0</v>
      </c>
      <c r="D1335" s="8">
        <v>970.0</v>
      </c>
      <c r="E1335" s="9">
        <v>0.21</v>
      </c>
      <c r="F1335" s="10">
        <v>4.2</v>
      </c>
      <c r="G1335" s="11">
        <v>6055.0</v>
      </c>
      <c r="K1335" s="17">
        <v>4.2</v>
      </c>
    </row>
    <row r="1336">
      <c r="A1336" s="7" t="s">
        <v>1456</v>
      </c>
      <c r="B1336" s="7" t="s">
        <v>1093</v>
      </c>
      <c r="C1336" s="8">
        <v>999.0</v>
      </c>
      <c r="D1336" s="8">
        <v>1500.0</v>
      </c>
      <c r="E1336" s="9">
        <v>0.33</v>
      </c>
      <c r="F1336" s="10">
        <v>4.2</v>
      </c>
      <c r="G1336" s="10">
        <v>386.0</v>
      </c>
      <c r="K1336" s="17">
        <v>4.2</v>
      </c>
    </row>
    <row r="1337">
      <c r="A1337" s="7" t="s">
        <v>1457</v>
      </c>
      <c r="B1337" s="7" t="s">
        <v>1458</v>
      </c>
      <c r="C1337" s="8">
        <v>587.0</v>
      </c>
      <c r="D1337" s="8">
        <v>1295.0</v>
      </c>
      <c r="E1337" s="9">
        <v>0.55</v>
      </c>
      <c r="F1337" s="10">
        <v>4.1</v>
      </c>
      <c r="G1337" s="10">
        <v>557.0</v>
      </c>
      <c r="K1337" s="17">
        <v>4.1</v>
      </c>
    </row>
    <row r="1338">
      <c r="A1338" s="7" t="s">
        <v>1459</v>
      </c>
      <c r="B1338" s="7" t="s">
        <v>1460</v>
      </c>
      <c r="C1338" s="8">
        <v>12609.0</v>
      </c>
      <c r="D1338" s="8">
        <v>23999.0</v>
      </c>
      <c r="E1338" s="9">
        <v>0.47</v>
      </c>
      <c r="F1338" s="10">
        <v>4.4</v>
      </c>
      <c r="G1338" s="11">
        <v>2288.0</v>
      </c>
      <c r="K1338" s="17">
        <v>4.4</v>
      </c>
    </row>
    <row r="1339">
      <c r="A1339" s="7" t="s">
        <v>1461</v>
      </c>
      <c r="B1339" s="7" t="s">
        <v>1111</v>
      </c>
      <c r="C1339" s="8">
        <v>699.0</v>
      </c>
      <c r="D1339" s="8">
        <v>850.0</v>
      </c>
      <c r="E1339" s="9">
        <v>0.18</v>
      </c>
      <c r="F1339" s="10">
        <v>4.1</v>
      </c>
      <c r="G1339" s="11">
        <v>1106.0</v>
      </c>
      <c r="K1339" s="17">
        <v>4.1</v>
      </c>
    </row>
    <row r="1340">
      <c r="A1340" s="7" t="s">
        <v>1462</v>
      </c>
      <c r="B1340" s="7" t="s">
        <v>1190</v>
      </c>
      <c r="C1340" s="8">
        <v>3799.0</v>
      </c>
      <c r="D1340" s="8">
        <v>6000.0</v>
      </c>
      <c r="E1340" s="9">
        <v>0.37</v>
      </c>
      <c r="F1340" s="10">
        <v>4.2</v>
      </c>
      <c r="G1340" s="11">
        <v>11935.0</v>
      </c>
      <c r="K1340" s="17">
        <v>4.2</v>
      </c>
    </row>
    <row r="1341">
      <c r="A1341" s="7" t="s">
        <v>1463</v>
      </c>
      <c r="B1341" s="7" t="s">
        <v>1131</v>
      </c>
      <c r="C1341" s="8">
        <v>640.0</v>
      </c>
      <c r="D1341" s="8">
        <v>1020.0</v>
      </c>
      <c r="E1341" s="9">
        <v>0.37</v>
      </c>
      <c r="F1341" s="10">
        <v>4.1</v>
      </c>
      <c r="G1341" s="11">
        <v>5059.0</v>
      </c>
      <c r="K1341" s="17">
        <v>4.1</v>
      </c>
    </row>
    <row r="1342">
      <c r="A1342" s="7" t="s">
        <v>1464</v>
      </c>
      <c r="B1342" s="7" t="s">
        <v>1091</v>
      </c>
      <c r="C1342" s="8">
        <v>979.0</v>
      </c>
      <c r="D1342" s="8">
        <v>1999.0</v>
      </c>
      <c r="E1342" s="9">
        <v>0.51</v>
      </c>
      <c r="F1342" s="10">
        <v>3.9</v>
      </c>
      <c r="G1342" s="10">
        <v>157.0</v>
      </c>
      <c r="K1342" s="17">
        <v>3.9</v>
      </c>
    </row>
    <row r="1343">
      <c r="A1343" s="7" t="s">
        <v>1465</v>
      </c>
      <c r="B1343" s="7" t="s">
        <v>1115</v>
      </c>
      <c r="C1343" s="8">
        <v>5365.0</v>
      </c>
      <c r="D1343" s="8">
        <v>7445.0</v>
      </c>
      <c r="E1343" s="9">
        <v>0.28</v>
      </c>
      <c r="F1343" s="10">
        <v>3.9</v>
      </c>
      <c r="G1343" s="11">
        <v>3584.0</v>
      </c>
      <c r="K1343" s="17">
        <v>3.9</v>
      </c>
    </row>
    <row r="1344">
      <c r="A1344" s="7" t="s">
        <v>1466</v>
      </c>
      <c r="B1344" s="7" t="s">
        <v>1139</v>
      </c>
      <c r="C1344" s="8">
        <v>3199.0</v>
      </c>
      <c r="D1344" s="8">
        <v>3500.0</v>
      </c>
      <c r="E1344" s="9">
        <v>0.09</v>
      </c>
      <c r="F1344" s="10">
        <v>4.2</v>
      </c>
      <c r="G1344" s="11">
        <v>1899.0</v>
      </c>
      <c r="K1344" s="17">
        <v>4.2</v>
      </c>
    </row>
    <row r="1345">
      <c r="A1345" s="7" t="s">
        <v>1467</v>
      </c>
      <c r="B1345" s="7" t="s">
        <v>1310</v>
      </c>
      <c r="C1345" s="8">
        <v>979.0</v>
      </c>
      <c r="D1345" s="8">
        <v>1395.0</v>
      </c>
      <c r="E1345" s="9">
        <v>0.3</v>
      </c>
      <c r="F1345" s="10">
        <v>4.2</v>
      </c>
      <c r="G1345" s="11">
        <v>15252.0</v>
      </c>
      <c r="K1345" s="17">
        <v>4.2</v>
      </c>
    </row>
    <row r="1346">
      <c r="A1346" s="7" t="s">
        <v>1468</v>
      </c>
      <c r="B1346" s="7" t="s">
        <v>1089</v>
      </c>
      <c r="C1346" s="8">
        <v>929.0</v>
      </c>
      <c r="D1346" s="8">
        <v>2199.0</v>
      </c>
      <c r="E1346" s="9">
        <v>0.58</v>
      </c>
      <c r="F1346" s="10">
        <v>3.7</v>
      </c>
      <c r="G1346" s="10">
        <v>4.0</v>
      </c>
      <c r="K1346" s="17">
        <v>3.7</v>
      </c>
    </row>
    <row r="1347">
      <c r="A1347" s="7" t="s">
        <v>1469</v>
      </c>
      <c r="B1347" s="7" t="s">
        <v>1316</v>
      </c>
      <c r="C1347" s="8">
        <v>3710.0</v>
      </c>
      <c r="D1347" s="8">
        <v>4330.0</v>
      </c>
      <c r="E1347" s="9">
        <v>0.14</v>
      </c>
      <c r="F1347" s="10">
        <v>3.7</v>
      </c>
      <c r="G1347" s="11">
        <v>1662.0</v>
      </c>
      <c r="K1347" s="17">
        <v>3.7</v>
      </c>
    </row>
    <row r="1348">
      <c r="A1348" s="7" t="s">
        <v>1470</v>
      </c>
      <c r="B1348" s="7" t="s">
        <v>1113</v>
      </c>
      <c r="C1348" s="8">
        <v>2033.0</v>
      </c>
      <c r="D1348" s="8">
        <v>4295.0</v>
      </c>
      <c r="E1348" s="9">
        <v>0.53</v>
      </c>
      <c r="F1348" s="10">
        <v>3.4</v>
      </c>
      <c r="G1348" s="10">
        <v>422.0</v>
      </c>
      <c r="K1348" s="17">
        <v>3.4</v>
      </c>
    </row>
    <row r="1349">
      <c r="A1349" s="7" t="s">
        <v>1471</v>
      </c>
      <c r="B1349" s="7" t="s">
        <v>1089</v>
      </c>
      <c r="C1349" s="8">
        <v>9495.0</v>
      </c>
      <c r="D1349" s="8">
        <v>18990.0</v>
      </c>
      <c r="E1349" s="9">
        <v>0.5</v>
      </c>
      <c r="F1349" s="10">
        <v>4.2</v>
      </c>
      <c r="G1349" s="10">
        <v>79.0</v>
      </c>
      <c r="K1349" s="17">
        <v>4.2</v>
      </c>
    </row>
    <row r="1350">
      <c r="A1350" s="7" t="s">
        <v>1472</v>
      </c>
      <c r="B1350" s="7" t="s">
        <v>1123</v>
      </c>
      <c r="C1350" s="8">
        <v>7799.0</v>
      </c>
      <c r="D1350" s="8">
        <v>12500.0</v>
      </c>
      <c r="E1350" s="9">
        <v>0.38</v>
      </c>
      <c r="F1350" s="10">
        <v>4.0</v>
      </c>
      <c r="G1350" s="11">
        <v>5160.0</v>
      </c>
      <c r="K1350" s="17">
        <v>4.0</v>
      </c>
    </row>
    <row r="1351">
      <c r="A1351" s="7" t="s">
        <v>1473</v>
      </c>
      <c r="B1351" s="7" t="s">
        <v>1086</v>
      </c>
      <c r="C1351" s="8">
        <v>949.0</v>
      </c>
      <c r="D1351" s="8">
        <v>2385.0</v>
      </c>
      <c r="E1351" s="9">
        <v>0.6</v>
      </c>
      <c r="F1351" s="10">
        <v>4.1</v>
      </c>
      <c r="G1351" s="11">
        <v>2311.0</v>
      </c>
      <c r="K1351" s="17">
        <v>4.1</v>
      </c>
    </row>
    <row r="1352">
      <c r="A1352" s="7" t="s">
        <v>1474</v>
      </c>
      <c r="B1352" s="7" t="s">
        <v>1115</v>
      </c>
      <c r="C1352" s="8">
        <v>2790.0</v>
      </c>
      <c r="D1352" s="8">
        <v>4890.0</v>
      </c>
      <c r="E1352" s="9">
        <v>0.43</v>
      </c>
      <c r="F1352" s="10">
        <v>3.9</v>
      </c>
      <c r="G1352" s="10">
        <v>588.0</v>
      </c>
      <c r="K1352" s="17">
        <v>3.9</v>
      </c>
    </row>
    <row r="1353">
      <c r="A1353" s="7" t="s">
        <v>1475</v>
      </c>
      <c r="B1353" s="7" t="s">
        <v>1111</v>
      </c>
      <c r="C1353" s="8">
        <v>645.0</v>
      </c>
      <c r="D1353" s="8">
        <v>1100.0</v>
      </c>
      <c r="E1353" s="9">
        <v>0.41</v>
      </c>
      <c r="F1353" s="10">
        <v>4.0</v>
      </c>
      <c r="G1353" s="11">
        <v>3271.0</v>
      </c>
      <c r="K1353" s="17">
        <v>4.0</v>
      </c>
    </row>
    <row r="1354">
      <c r="A1354" s="7" t="s">
        <v>1476</v>
      </c>
      <c r="B1354" s="7" t="s">
        <v>1113</v>
      </c>
      <c r="C1354" s="8">
        <v>2237.81</v>
      </c>
      <c r="D1354" s="8">
        <v>3899.0</v>
      </c>
      <c r="E1354" s="9">
        <v>0.43</v>
      </c>
      <c r="F1354" s="10">
        <v>3.9</v>
      </c>
      <c r="G1354" s="11">
        <v>11004.0</v>
      </c>
      <c r="K1354" s="17">
        <v>3.9</v>
      </c>
    </row>
    <row r="1355">
      <c r="A1355" s="7" t="s">
        <v>1477</v>
      </c>
      <c r="B1355" s="7" t="s">
        <v>1123</v>
      </c>
      <c r="C1355" s="8">
        <v>8699.0</v>
      </c>
      <c r="D1355" s="8">
        <v>16899.0</v>
      </c>
      <c r="E1355" s="9">
        <v>0.49</v>
      </c>
      <c r="F1355" s="10">
        <v>4.2</v>
      </c>
      <c r="G1355" s="11">
        <v>3195.0</v>
      </c>
      <c r="K1355" s="17">
        <v>4.2</v>
      </c>
    </row>
    <row r="1356">
      <c r="A1356" s="7" t="s">
        <v>1478</v>
      </c>
      <c r="B1356" s="7" t="s">
        <v>1479</v>
      </c>
      <c r="C1356" s="8">
        <v>42990.0</v>
      </c>
      <c r="D1356" s="8">
        <v>75990.0</v>
      </c>
      <c r="E1356" s="9">
        <v>0.43</v>
      </c>
      <c r="F1356" s="10">
        <v>4.3</v>
      </c>
      <c r="G1356" s="11">
        <v>3231.0</v>
      </c>
      <c r="K1356" s="17">
        <v>4.3</v>
      </c>
    </row>
    <row r="1357">
      <c r="A1357" s="7" t="s">
        <v>1480</v>
      </c>
      <c r="B1357" s="7" t="s">
        <v>1228</v>
      </c>
      <c r="C1357" s="8">
        <v>825.0</v>
      </c>
      <c r="D1357" s="8">
        <v>825.0</v>
      </c>
      <c r="E1357" s="9">
        <v>0.0</v>
      </c>
      <c r="F1357" s="10">
        <v>4.0</v>
      </c>
      <c r="G1357" s="11">
        <v>3246.0</v>
      </c>
      <c r="K1357" s="17">
        <v>4.0</v>
      </c>
    </row>
    <row r="1358">
      <c r="A1358" s="7" t="s">
        <v>1481</v>
      </c>
      <c r="B1358" s="7" t="s">
        <v>1184</v>
      </c>
      <c r="C1358" s="8">
        <v>161.0</v>
      </c>
      <c r="D1358" s="8">
        <v>300.0</v>
      </c>
      <c r="E1358" s="9">
        <v>0.46</v>
      </c>
      <c r="F1358" s="10">
        <v>2.6</v>
      </c>
      <c r="G1358" s="10">
        <v>24.0</v>
      </c>
      <c r="K1358" s="17">
        <v>2.6</v>
      </c>
    </row>
    <row r="1359">
      <c r="A1359" s="7" t="s">
        <v>1482</v>
      </c>
      <c r="B1359" s="7" t="s">
        <v>1104</v>
      </c>
      <c r="C1359" s="8">
        <v>697.0</v>
      </c>
      <c r="D1359" s="8">
        <v>1499.0</v>
      </c>
      <c r="E1359" s="9">
        <v>0.54</v>
      </c>
      <c r="F1359" s="10">
        <v>3.8</v>
      </c>
      <c r="G1359" s="10">
        <v>144.0</v>
      </c>
      <c r="K1359" s="17">
        <v>3.8</v>
      </c>
    </row>
    <row r="1360">
      <c r="A1360" s="7" t="s">
        <v>1483</v>
      </c>
      <c r="B1360" s="7" t="s">
        <v>1484</v>
      </c>
      <c r="C1360" s="8">
        <v>688.0</v>
      </c>
      <c r="D1360" s="8">
        <v>747.0</v>
      </c>
      <c r="E1360" s="9">
        <v>0.08</v>
      </c>
      <c r="F1360" s="10">
        <v>4.5</v>
      </c>
      <c r="G1360" s="11">
        <v>2280.0</v>
      </c>
      <c r="K1360" s="17">
        <v>4.5</v>
      </c>
    </row>
    <row r="1361">
      <c r="A1361" s="7" t="s">
        <v>1485</v>
      </c>
      <c r="B1361" s="7" t="s">
        <v>1199</v>
      </c>
      <c r="C1361" s="8">
        <v>2199.0</v>
      </c>
      <c r="D1361" s="8">
        <v>3999.0</v>
      </c>
      <c r="E1361" s="9">
        <v>0.45</v>
      </c>
      <c r="F1361" s="10">
        <v>3.5</v>
      </c>
      <c r="G1361" s="10">
        <v>340.0</v>
      </c>
      <c r="K1361" s="17">
        <v>3.5</v>
      </c>
    </row>
    <row r="1362">
      <c r="A1362" s="7" t="s">
        <v>1486</v>
      </c>
      <c r="B1362" s="7" t="s">
        <v>1091</v>
      </c>
      <c r="C1362" s="8">
        <v>6850.0</v>
      </c>
      <c r="D1362" s="8">
        <v>11990.0</v>
      </c>
      <c r="E1362" s="9">
        <v>0.43</v>
      </c>
      <c r="F1362" s="10">
        <v>3.9</v>
      </c>
      <c r="G1362" s="10">
        <v>144.0</v>
      </c>
      <c r="K1362" s="17">
        <v>3.9</v>
      </c>
    </row>
    <row r="1363">
      <c r="A1363" s="7" t="s">
        <v>1487</v>
      </c>
      <c r="B1363" s="7" t="s">
        <v>1115</v>
      </c>
      <c r="C1363" s="8">
        <v>2699.0</v>
      </c>
      <c r="D1363" s="8">
        <v>3799.0</v>
      </c>
      <c r="E1363" s="9">
        <v>0.29</v>
      </c>
      <c r="F1363" s="10">
        <v>4.0</v>
      </c>
      <c r="G1363" s="10">
        <v>727.0</v>
      </c>
      <c r="K1363" s="17">
        <v>4.0</v>
      </c>
    </row>
    <row r="1364">
      <c r="A1364" s="7" t="s">
        <v>1488</v>
      </c>
      <c r="B1364" s="7" t="s">
        <v>1489</v>
      </c>
      <c r="C1364" s="8">
        <v>899.0</v>
      </c>
      <c r="D1364" s="8">
        <v>1999.0</v>
      </c>
      <c r="E1364" s="9">
        <v>0.55</v>
      </c>
      <c r="F1364" s="10">
        <v>4.0</v>
      </c>
      <c r="G1364" s="10">
        <v>832.0</v>
      </c>
      <c r="K1364" s="17">
        <v>4.0</v>
      </c>
    </row>
    <row r="1365">
      <c r="A1365" s="7" t="s">
        <v>1490</v>
      </c>
      <c r="B1365" s="7" t="s">
        <v>1091</v>
      </c>
      <c r="C1365" s="8">
        <v>1090.0</v>
      </c>
      <c r="D1365" s="8">
        <v>2999.0</v>
      </c>
      <c r="E1365" s="9">
        <v>0.64</v>
      </c>
      <c r="F1365" s="10">
        <v>3.5</v>
      </c>
      <c r="G1365" s="10">
        <v>57.0</v>
      </c>
      <c r="K1365" s="17">
        <v>3.5</v>
      </c>
    </row>
    <row r="1366">
      <c r="A1366" s="7" t="s">
        <v>1491</v>
      </c>
      <c r="B1366" s="7" t="s">
        <v>1095</v>
      </c>
      <c r="C1366" s="8">
        <v>295.0</v>
      </c>
      <c r="D1366" s="8">
        <v>599.0</v>
      </c>
      <c r="E1366" s="9">
        <v>0.51</v>
      </c>
      <c r="F1366" s="10">
        <v>4.0</v>
      </c>
      <c r="G1366" s="11">
        <v>1644.0</v>
      </c>
      <c r="K1366" s="17">
        <v>4.0</v>
      </c>
    </row>
    <row r="1367">
      <c r="A1367" s="7" t="s">
        <v>1492</v>
      </c>
      <c r="B1367" s="7" t="s">
        <v>1121</v>
      </c>
      <c r="C1367" s="8">
        <v>479.0</v>
      </c>
      <c r="D1367" s="8">
        <v>1999.0</v>
      </c>
      <c r="E1367" s="9">
        <v>0.76</v>
      </c>
      <c r="F1367" s="10">
        <v>3.4</v>
      </c>
      <c r="G1367" s="11">
        <v>1066.0</v>
      </c>
      <c r="K1367" s="17">
        <v>3.4</v>
      </c>
    </row>
    <row r="1368">
      <c r="A1368" s="7" t="s">
        <v>1493</v>
      </c>
      <c r="B1368" s="7" t="s">
        <v>1115</v>
      </c>
      <c r="C1368" s="8">
        <v>2949.0</v>
      </c>
      <c r="D1368" s="8">
        <v>4849.0</v>
      </c>
      <c r="E1368" s="9">
        <v>0.39</v>
      </c>
      <c r="F1368" s="10">
        <v>4.2</v>
      </c>
      <c r="G1368" s="11">
        <v>7968.0</v>
      </c>
      <c r="K1368" s="17">
        <v>4.2</v>
      </c>
    </row>
    <row r="1369">
      <c r="A1369" s="7" t="s">
        <v>1494</v>
      </c>
      <c r="B1369" s="7" t="s">
        <v>1131</v>
      </c>
      <c r="C1369" s="8">
        <v>335.0</v>
      </c>
      <c r="D1369" s="8">
        <v>510.0</v>
      </c>
      <c r="E1369" s="9">
        <v>0.34</v>
      </c>
      <c r="F1369" s="10">
        <v>3.8</v>
      </c>
      <c r="G1369" s="11">
        <v>3195.0</v>
      </c>
      <c r="K1369" s="17">
        <v>3.8</v>
      </c>
    </row>
    <row r="1370">
      <c r="A1370" s="7" t="s">
        <v>1495</v>
      </c>
      <c r="B1370" s="7" t="s">
        <v>1225</v>
      </c>
      <c r="C1370" s="8">
        <v>293.0</v>
      </c>
      <c r="D1370" s="8">
        <v>499.0</v>
      </c>
      <c r="E1370" s="9">
        <v>0.41</v>
      </c>
      <c r="F1370" s="10">
        <v>4.1</v>
      </c>
      <c r="G1370" s="11">
        <v>1456.0</v>
      </c>
      <c r="K1370" s="17">
        <v>4.1</v>
      </c>
    </row>
    <row r="1371">
      <c r="A1371" s="7" t="s">
        <v>1496</v>
      </c>
      <c r="B1371" s="7" t="s">
        <v>1497</v>
      </c>
      <c r="C1371" s="8">
        <v>599.0</v>
      </c>
      <c r="D1371" s="8">
        <v>1299.0</v>
      </c>
      <c r="E1371" s="9">
        <v>0.54</v>
      </c>
      <c r="F1371" s="10">
        <v>4.2</v>
      </c>
      <c r="G1371" s="10">
        <v>590.0</v>
      </c>
      <c r="K1371" s="17">
        <v>4.2</v>
      </c>
    </row>
    <row r="1372">
      <c r="A1372" s="7" t="s">
        <v>1498</v>
      </c>
      <c r="B1372" s="7" t="s">
        <v>1228</v>
      </c>
      <c r="C1372" s="8">
        <v>499.0</v>
      </c>
      <c r="D1372" s="8">
        <v>999.0</v>
      </c>
      <c r="E1372" s="9">
        <v>0.5</v>
      </c>
      <c r="F1372" s="10">
        <v>4.3</v>
      </c>
      <c r="G1372" s="11">
        <v>1436.0</v>
      </c>
      <c r="K1372" s="17">
        <v>4.3</v>
      </c>
    </row>
    <row r="1373">
      <c r="A1373" s="7" t="s">
        <v>1499</v>
      </c>
      <c r="B1373" s="7" t="s">
        <v>1111</v>
      </c>
      <c r="C1373" s="8">
        <v>849.0</v>
      </c>
      <c r="D1373" s="8">
        <v>1190.0</v>
      </c>
      <c r="E1373" s="9">
        <v>0.29</v>
      </c>
      <c r="F1373" s="10">
        <v>4.2</v>
      </c>
      <c r="G1373" s="11">
        <v>4184.0</v>
      </c>
      <c r="K1373" s="17">
        <v>4.2</v>
      </c>
    </row>
    <row r="1374">
      <c r="A1374" s="7" t="s">
        <v>1500</v>
      </c>
      <c r="B1374" s="7" t="s">
        <v>1225</v>
      </c>
      <c r="C1374" s="8">
        <v>249.0</v>
      </c>
      <c r="D1374" s="8">
        <v>400.0</v>
      </c>
      <c r="E1374" s="9">
        <v>0.38</v>
      </c>
      <c r="F1374" s="10">
        <v>4.1</v>
      </c>
      <c r="G1374" s="10">
        <v>693.0</v>
      </c>
      <c r="K1374" s="17">
        <v>4.1</v>
      </c>
    </row>
    <row r="1375">
      <c r="A1375" s="7" t="s">
        <v>1501</v>
      </c>
      <c r="B1375" s="7" t="s">
        <v>1228</v>
      </c>
      <c r="C1375" s="8">
        <v>185.0</v>
      </c>
      <c r="D1375" s="8">
        <v>599.0</v>
      </c>
      <c r="E1375" s="9">
        <v>0.69</v>
      </c>
      <c r="F1375" s="10">
        <v>3.9</v>
      </c>
      <c r="G1375" s="11">
        <v>1306.0</v>
      </c>
      <c r="K1375" s="17">
        <v>3.9</v>
      </c>
    </row>
    <row r="1376">
      <c r="A1376" s="7" t="s">
        <v>1502</v>
      </c>
      <c r="B1376" s="7" t="s">
        <v>1091</v>
      </c>
      <c r="C1376" s="8">
        <v>778.0</v>
      </c>
      <c r="D1376" s="8">
        <v>999.0</v>
      </c>
      <c r="E1376" s="9">
        <v>0.22</v>
      </c>
      <c r="F1376" s="10">
        <v>3.3</v>
      </c>
      <c r="G1376" s="10">
        <v>8.0</v>
      </c>
      <c r="K1376" s="17">
        <v>3.3</v>
      </c>
    </row>
    <row r="1377">
      <c r="A1377" s="7" t="s">
        <v>1503</v>
      </c>
      <c r="B1377" s="7" t="s">
        <v>1504</v>
      </c>
      <c r="C1377" s="8">
        <v>279.0</v>
      </c>
      <c r="D1377" s="8">
        <v>699.0</v>
      </c>
      <c r="E1377" s="9">
        <v>0.6</v>
      </c>
      <c r="F1377" s="10">
        <v>4.3</v>
      </c>
      <c r="G1377" s="11">
        <v>2326.0</v>
      </c>
      <c r="K1377" s="17">
        <v>4.3</v>
      </c>
    </row>
    <row r="1378">
      <c r="A1378" s="7" t="s">
        <v>1505</v>
      </c>
      <c r="B1378" s="7" t="s">
        <v>1228</v>
      </c>
      <c r="C1378" s="8">
        <v>215.0</v>
      </c>
      <c r="D1378" s="8">
        <v>1499.0</v>
      </c>
      <c r="E1378" s="9">
        <v>0.86</v>
      </c>
      <c r="F1378" s="10">
        <v>3.9</v>
      </c>
      <c r="G1378" s="11">
        <v>1004.0</v>
      </c>
      <c r="K1378" s="17">
        <v>3.9</v>
      </c>
    </row>
    <row r="1379">
      <c r="A1379" s="7" t="s">
        <v>1506</v>
      </c>
      <c r="B1379" s="7" t="s">
        <v>1111</v>
      </c>
      <c r="C1379" s="8">
        <v>889.0</v>
      </c>
      <c r="D1379" s="8">
        <v>1295.0</v>
      </c>
      <c r="E1379" s="9">
        <v>0.31</v>
      </c>
      <c r="F1379" s="10">
        <v>4.3</v>
      </c>
      <c r="G1379" s="11">
        <v>6400.0</v>
      </c>
      <c r="K1379" s="17">
        <v>4.3</v>
      </c>
    </row>
    <row r="1380">
      <c r="A1380" s="7" t="s">
        <v>1507</v>
      </c>
      <c r="B1380" s="7" t="s">
        <v>1115</v>
      </c>
      <c r="C1380" s="8">
        <v>1449.0</v>
      </c>
      <c r="D1380" s="8">
        <v>4999.0</v>
      </c>
      <c r="E1380" s="9">
        <v>0.71</v>
      </c>
      <c r="F1380" s="10">
        <v>3.6</v>
      </c>
      <c r="G1380" s="10">
        <v>63.0</v>
      </c>
      <c r="K1380" s="17">
        <v>3.6</v>
      </c>
    </row>
    <row r="1381">
      <c r="A1381" s="7" t="s">
        <v>1508</v>
      </c>
      <c r="B1381" s="7" t="s">
        <v>1115</v>
      </c>
      <c r="C1381" s="8">
        <v>1190.0</v>
      </c>
      <c r="D1381" s="8">
        <v>2550.0</v>
      </c>
      <c r="E1381" s="9">
        <v>0.53</v>
      </c>
      <c r="F1381" s="10">
        <v>3.8</v>
      </c>
      <c r="G1381" s="11">
        <v>1181.0</v>
      </c>
      <c r="K1381" s="17">
        <v>3.8</v>
      </c>
    </row>
    <row r="1382">
      <c r="A1382" s="7" t="s">
        <v>1509</v>
      </c>
      <c r="B1382" s="7" t="s">
        <v>1280</v>
      </c>
      <c r="C1382" s="8">
        <v>1799.0</v>
      </c>
      <c r="D1382" s="8">
        <v>1950.0</v>
      </c>
      <c r="E1382" s="9">
        <v>0.08</v>
      </c>
      <c r="F1382" s="10">
        <v>3.9</v>
      </c>
      <c r="G1382" s="11">
        <v>1888.0</v>
      </c>
      <c r="K1382" s="17">
        <v>3.9</v>
      </c>
    </row>
    <row r="1383">
      <c r="A1383" s="7" t="s">
        <v>1510</v>
      </c>
      <c r="B1383" s="7" t="s">
        <v>1113</v>
      </c>
      <c r="C1383" s="8">
        <v>6120.0</v>
      </c>
      <c r="D1383" s="8">
        <v>8478.0</v>
      </c>
      <c r="E1383" s="9">
        <v>0.28</v>
      </c>
      <c r="F1383" s="10">
        <v>4.6</v>
      </c>
      <c r="G1383" s="11">
        <v>6550.0</v>
      </c>
      <c r="K1383" s="17">
        <v>4.6</v>
      </c>
    </row>
    <row r="1384">
      <c r="A1384" s="7" t="s">
        <v>1511</v>
      </c>
      <c r="B1384" s="7" t="s">
        <v>1113</v>
      </c>
      <c r="C1384" s="8">
        <v>1799.0</v>
      </c>
      <c r="D1384" s="8">
        <v>3299.0</v>
      </c>
      <c r="E1384" s="9">
        <v>0.45</v>
      </c>
      <c r="F1384" s="10">
        <v>3.8</v>
      </c>
      <c r="G1384" s="11">
        <v>1846.0</v>
      </c>
      <c r="K1384" s="17">
        <v>3.8</v>
      </c>
    </row>
    <row r="1385">
      <c r="A1385" s="7" t="s">
        <v>1512</v>
      </c>
      <c r="B1385" s="7" t="s">
        <v>1113</v>
      </c>
      <c r="C1385" s="8">
        <v>2199.0</v>
      </c>
      <c r="D1385" s="8">
        <v>3895.0</v>
      </c>
      <c r="E1385" s="9">
        <v>0.44</v>
      </c>
      <c r="F1385" s="10">
        <v>3.9</v>
      </c>
      <c r="G1385" s="11">
        <v>1085.0</v>
      </c>
      <c r="K1385" s="17">
        <v>3.9</v>
      </c>
    </row>
    <row r="1386">
      <c r="A1386" s="7" t="s">
        <v>1513</v>
      </c>
      <c r="B1386" s="7" t="s">
        <v>1236</v>
      </c>
      <c r="C1386" s="8">
        <v>3685.0</v>
      </c>
      <c r="D1386" s="8">
        <v>5495.0</v>
      </c>
      <c r="E1386" s="9">
        <v>0.33</v>
      </c>
      <c r="F1386" s="10">
        <v>4.1</v>
      </c>
      <c r="G1386" s="10">
        <v>290.0</v>
      </c>
      <c r="K1386" s="17">
        <v>4.1</v>
      </c>
    </row>
    <row r="1387">
      <c r="A1387" s="7" t="s">
        <v>1514</v>
      </c>
      <c r="B1387" s="7" t="s">
        <v>1144</v>
      </c>
      <c r="C1387" s="8">
        <v>649.0</v>
      </c>
      <c r="D1387" s="8">
        <v>999.0</v>
      </c>
      <c r="E1387" s="9">
        <v>0.35</v>
      </c>
      <c r="F1387" s="10">
        <v>3.6</v>
      </c>
      <c r="G1387" s="10">
        <v>4.0</v>
      </c>
      <c r="K1387" s="17">
        <v>3.6</v>
      </c>
    </row>
    <row r="1388">
      <c r="A1388" s="7" t="s">
        <v>1515</v>
      </c>
      <c r="B1388" s="7" t="s">
        <v>1318</v>
      </c>
      <c r="C1388" s="8">
        <v>8599.0</v>
      </c>
      <c r="D1388" s="8">
        <v>8995.0</v>
      </c>
      <c r="E1388" s="9">
        <v>0.04</v>
      </c>
      <c r="F1388" s="10">
        <v>4.4</v>
      </c>
      <c r="G1388" s="11">
        <v>9734.0</v>
      </c>
      <c r="K1388" s="17">
        <v>4.4</v>
      </c>
    </row>
    <row r="1389">
      <c r="A1389" s="7" t="s">
        <v>1516</v>
      </c>
      <c r="B1389" s="7" t="s">
        <v>1111</v>
      </c>
      <c r="C1389" s="8">
        <v>1110.0</v>
      </c>
      <c r="D1389" s="8">
        <v>1599.0</v>
      </c>
      <c r="E1389" s="9">
        <v>0.31</v>
      </c>
      <c r="F1389" s="10">
        <v>4.3</v>
      </c>
      <c r="G1389" s="11">
        <v>4022.0</v>
      </c>
      <c r="K1389" s="17">
        <v>4.3</v>
      </c>
    </row>
    <row r="1390">
      <c r="A1390" s="7" t="s">
        <v>1517</v>
      </c>
      <c r="B1390" s="7" t="s">
        <v>1115</v>
      </c>
      <c r="C1390" s="8">
        <v>1499.0</v>
      </c>
      <c r="D1390" s="8">
        <v>3500.0</v>
      </c>
      <c r="E1390" s="9">
        <v>0.57</v>
      </c>
      <c r="F1390" s="10">
        <v>4.7</v>
      </c>
      <c r="G1390" s="11">
        <v>2591.0</v>
      </c>
      <c r="K1390" s="17">
        <v>4.7</v>
      </c>
    </row>
    <row r="1391">
      <c r="A1391" s="7" t="s">
        <v>1518</v>
      </c>
      <c r="B1391" s="7" t="s">
        <v>1095</v>
      </c>
      <c r="C1391" s="8">
        <v>759.0</v>
      </c>
      <c r="D1391" s="8">
        <v>1999.0</v>
      </c>
      <c r="E1391" s="9">
        <v>0.62</v>
      </c>
      <c r="F1391" s="10">
        <v>4.3</v>
      </c>
      <c r="G1391" s="10">
        <v>532.0</v>
      </c>
      <c r="K1391" s="17">
        <v>4.3</v>
      </c>
    </row>
    <row r="1392">
      <c r="A1392" s="7" t="s">
        <v>1519</v>
      </c>
      <c r="B1392" s="7" t="s">
        <v>1148</v>
      </c>
      <c r="C1392" s="8">
        <v>2669.0</v>
      </c>
      <c r="D1392" s="8">
        <v>3199.0</v>
      </c>
      <c r="E1392" s="9">
        <v>0.17</v>
      </c>
      <c r="F1392" s="10">
        <v>3.9</v>
      </c>
      <c r="G1392" s="10">
        <v>260.0</v>
      </c>
      <c r="K1392" s="17">
        <v>3.9</v>
      </c>
    </row>
    <row r="1393">
      <c r="A1393" s="7" t="s">
        <v>1520</v>
      </c>
      <c r="B1393" s="7" t="s">
        <v>1159</v>
      </c>
      <c r="C1393" s="8">
        <v>929.0</v>
      </c>
      <c r="D1393" s="8">
        <v>1300.0</v>
      </c>
      <c r="E1393" s="9">
        <v>0.29</v>
      </c>
      <c r="F1393" s="10">
        <v>3.9</v>
      </c>
      <c r="G1393" s="11">
        <v>1672.0</v>
      </c>
      <c r="K1393" s="17">
        <v>3.9</v>
      </c>
    </row>
    <row r="1394">
      <c r="A1394" s="7" t="s">
        <v>1521</v>
      </c>
      <c r="B1394" s="7" t="s">
        <v>1137</v>
      </c>
      <c r="C1394" s="8">
        <v>199.0</v>
      </c>
      <c r="D1394" s="8">
        <v>399.0</v>
      </c>
      <c r="E1394" s="9">
        <v>0.5</v>
      </c>
      <c r="F1394" s="10">
        <v>3.7</v>
      </c>
      <c r="G1394" s="11">
        <v>7945.0</v>
      </c>
      <c r="K1394" s="17">
        <v>3.7</v>
      </c>
    </row>
    <row r="1395">
      <c r="A1395" s="7" t="s">
        <v>1522</v>
      </c>
      <c r="B1395" s="7" t="s">
        <v>1093</v>
      </c>
      <c r="C1395" s="8">
        <v>279.0</v>
      </c>
      <c r="D1395" s="8">
        <v>599.0</v>
      </c>
      <c r="E1395" s="9">
        <v>0.53</v>
      </c>
      <c r="F1395" s="10">
        <v>3.5</v>
      </c>
      <c r="G1395" s="11">
        <v>1367.0</v>
      </c>
      <c r="K1395" s="17">
        <v>3.5</v>
      </c>
    </row>
    <row r="1396">
      <c r="A1396" s="7" t="s">
        <v>1523</v>
      </c>
      <c r="B1396" s="7" t="s">
        <v>1109</v>
      </c>
      <c r="C1396" s="8">
        <v>549.0</v>
      </c>
      <c r="D1396" s="8">
        <v>999.0</v>
      </c>
      <c r="E1396" s="9">
        <v>0.45</v>
      </c>
      <c r="F1396" s="10">
        <v>4.0</v>
      </c>
      <c r="G1396" s="11">
        <v>1313.0</v>
      </c>
      <c r="K1396" s="17">
        <v>4.0</v>
      </c>
    </row>
    <row r="1397">
      <c r="A1397" s="7" t="s">
        <v>1524</v>
      </c>
      <c r="B1397" s="7" t="s">
        <v>1306</v>
      </c>
      <c r="C1397" s="8">
        <v>85.0</v>
      </c>
      <c r="D1397" s="8">
        <v>199.0</v>
      </c>
      <c r="E1397" s="9">
        <v>0.57</v>
      </c>
      <c r="F1397" s="10">
        <v>4.1</v>
      </c>
      <c r="G1397" s="10">
        <v>212.0</v>
      </c>
      <c r="K1397" s="17">
        <v>4.1</v>
      </c>
    </row>
    <row r="1398">
      <c r="A1398" s="7" t="s">
        <v>1525</v>
      </c>
      <c r="B1398" s="7" t="s">
        <v>1144</v>
      </c>
      <c r="C1398" s="8">
        <v>499.0</v>
      </c>
      <c r="D1398" s="8">
        <v>1299.0</v>
      </c>
      <c r="E1398" s="9">
        <v>0.62</v>
      </c>
      <c r="F1398" s="10">
        <v>3.9</v>
      </c>
      <c r="G1398" s="10">
        <v>65.0</v>
      </c>
      <c r="K1398" s="17">
        <v>3.9</v>
      </c>
    </row>
    <row r="1399">
      <c r="A1399" s="7" t="s">
        <v>1526</v>
      </c>
      <c r="B1399" s="7" t="s">
        <v>1144</v>
      </c>
      <c r="C1399" s="8">
        <v>5865.0</v>
      </c>
      <c r="D1399" s="8">
        <v>7776.0</v>
      </c>
      <c r="E1399" s="9">
        <v>0.25</v>
      </c>
      <c r="F1399" s="10">
        <v>4.4</v>
      </c>
      <c r="G1399" s="11">
        <v>2737.0</v>
      </c>
      <c r="K1399" s="17">
        <v>4.4</v>
      </c>
    </row>
    <row r="1400">
      <c r="A1400" s="7" t="s">
        <v>1527</v>
      </c>
      <c r="B1400" s="7" t="s">
        <v>1086</v>
      </c>
      <c r="C1400" s="8">
        <v>1260.0</v>
      </c>
      <c r="D1400" s="8">
        <v>2299.0</v>
      </c>
      <c r="E1400" s="9">
        <v>0.45</v>
      </c>
      <c r="F1400" s="10">
        <v>4.3</v>
      </c>
      <c r="G1400" s="10">
        <v>55.0</v>
      </c>
      <c r="K1400" s="17">
        <v>4.3</v>
      </c>
    </row>
    <row r="1401">
      <c r="A1401" s="7" t="s">
        <v>1528</v>
      </c>
      <c r="B1401" s="7" t="s">
        <v>1529</v>
      </c>
      <c r="C1401" s="8">
        <v>1099.0</v>
      </c>
      <c r="D1401" s="8">
        <v>1500.0</v>
      </c>
      <c r="E1401" s="9">
        <v>0.27</v>
      </c>
      <c r="F1401" s="10">
        <v>4.5</v>
      </c>
      <c r="G1401" s="11">
        <v>1065.0</v>
      </c>
      <c r="K1401" s="17">
        <v>4.5</v>
      </c>
    </row>
    <row r="1402">
      <c r="A1402" s="7" t="s">
        <v>1530</v>
      </c>
      <c r="B1402" s="7" t="s">
        <v>1159</v>
      </c>
      <c r="C1402" s="8">
        <v>1928.0</v>
      </c>
      <c r="D1402" s="8">
        <v>2590.0</v>
      </c>
      <c r="E1402" s="9">
        <v>0.26</v>
      </c>
      <c r="F1402" s="10">
        <v>4.0</v>
      </c>
      <c r="G1402" s="11">
        <v>2377.0</v>
      </c>
      <c r="K1402" s="17">
        <v>4.0</v>
      </c>
    </row>
    <row r="1403">
      <c r="A1403" s="7" t="s">
        <v>1531</v>
      </c>
      <c r="B1403" s="7" t="s">
        <v>1123</v>
      </c>
      <c r="C1403" s="8">
        <v>3249.0</v>
      </c>
      <c r="D1403" s="8">
        <v>6299.0</v>
      </c>
      <c r="E1403" s="9">
        <v>0.48</v>
      </c>
      <c r="F1403" s="10">
        <v>3.9</v>
      </c>
      <c r="G1403" s="11">
        <v>2569.0</v>
      </c>
      <c r="K1403" s="17">
        <v>3.9</v>
      </c>
    </row>
    <row r="1404">
      <c r="A1404" s="7" t="s">
        <v>1532</v>
      </c>
      <c r="B1404" s="7" t="s">
        <v>1159</v>
      </c>
      <c r="C1404" s="8">
        <v>1199.0</v>
      </c>
      <c r="D1404" s="8">
        <v>1795.0</v>
      </c>
      <c r="E1404" s="9">
        <v>0.33</v>
      </c>
      <c r="F1404" s="10">
        <v>4.2</v>
      </c>
      <c r="G1404" s="11">
        <v>5967.0</v>
      </c>
      <c r="K1404" s="17">
        <v>4.2</v>
      </c>
    </row>
    <row r="1405">
      <c r="A1405" s="7" t="s">
        <v>1533</v>
      </c>
      <c r="B1405" s="7" t="s">
        <v>1086</v>
      </c>
      <c r="C1405" s="8">
        <v>1456.0</v>
      </c>
      <c r="D1405" s="8">
        <v>3190.0</v>
      </c>
      <c r="E1405" s="9">
        <v>0.54</v>
      </c>
      <c r="F1405" s="10">
        <v>4.1</v>
      </c>
      <c r="G1405" s="11">
        <v>1776.0</v>
      </c>
      <c r="K1405" s="17">
        <v>4.1</v>
      </c>
    </row>
    <row r="1406">
      <c r="A1406" s="7" t="s">
        <v>1534</v>
      </c>
      <c r="B1406" s="7" t="s">
        <v>1144</v>
      </c>
      <c r="C1406" s="8">
        <v>3349.0</v>
      </c>
      <c r="D1406" s="8">
        <v>4799.0</v>
      </c>
      <c r="E1406" s="9">
        <v>0.3</v>
      </c>
      <c r="F1406" s="10">
        <v>3.7</v>
      </c>
      <c r="G1406" s="11">
        <v>4200.0</v>
      </c>
      <c r="K1406" s="17">
        <v>3.7</v>
      </c>
    </row>
    <row r="1407">
      <c r="A1407" s="7" t="s">
        <v>1535</v>
      </c>
      <c r="B1407" s="7" t="s">
        <v>1197</v>
      </c>
      <c r="C1407" s="8">
        <v>4899.0</v>
      </c>
      <c r="D1407" s="8">
        <v>8999.0</v>
      </c>
      <c r="E1407" s="9">
        <v>0.46</v>
      </c>
      <c r="F1407" s="10">
        <v>4.1</v>
      </c>
      <c r="G1407" s="10">
        <v>297.0</v>
      </c>
      <c r="K1407" s="17">
        <v>4.1</v>
      </c>
    </row>
    <row r="1408">
      <c r="A1408" s="7" t="s">
        <v>1536</v>
      </c>
      <c r="B1408" s="7" t="s">
        <v>1121</v>
      </c>
      <c r="C1408" s="8">
        <v>1199.0</v>
      </c>
      <c r="D1408" s="8">
        <v>1899.0</v>
      </c>
      <c r="E1408" s="9">
        <v>0.37</v>
      </c>
      <c r="F1408" s="10">
        <v>4.2</v>
      </c>
      <c r="G1408" s="11">
        <v>3858.0</v>
      </c>
      <c r="K1408" s="17">
        <v>4.2</v>
      </c>
    </row>
    <row r="1409">
      <c r="A1409" s="7" t="s">
        <v>1537</v>
      </c>
      <c r="B1409" s="7" t="s">
        <v>1393</v>
      </c>
      <c r="C1409" s="8">
        <v>3290.0</v>
      </c>
      <c r="D1409" s="8">
        <v>5799.0</v>
      </c>
      <c r="E1409" s="9">
        <v>0.43</v>
      </c>
      <c r="F1409" s="10">
        <v>4.3</v>
      </c>
      <c r="G1409" s="10">
        <v>168.0</v>
      </c>
      <c r="K1409" s="17">
        <v>4.3</v>
      </c>
    </row>
    <row r="1410">
      <c r="A1410" s="7" t="s">
        <v>1538</v>
      </c>
      <c r="B1410" s="7" t="s">
        <v>1093</v>
      </c>
      <c r="C1410" s="8">
        <v>179.0</v>
      </c>
      <c r="D1410" s="8">
        <v>799.0</v>
      </c>
      <c r="E1410" s="9">
        <v>0.78</v>
      </c>
      <c r="F1410" s="10">
        <v>3.6</v>
      </c>
      <c r="G1410" s="10">
        <v>101.0</v>
      </c>
      <c r="K1410" s="17">
        <v>3.6</v>
      </c>
    </row>
    <row r="1411">
      <c r="A1411" s="7" t="s">
        <v>1539</v>
      </c>
      <c r="B1411" s="7" t="s">
        <v>1504</v>
      </c>
      <c r="C1411" s="8">
        <v>149.0</v>
      </c>
      <c r="D1411" s="8">
        <v>300.0</v>
      </c>
      <c r="E1411" s="9">
        <v>0.5</v>
      </c>
      <c r="F1411" s="10">
        <v>4.1</v>
      </c>
      <c r="G1411" s="11">
        <v>4074.0</v>
      </c>
      <c r="K1411" s="17">
        <v>4.1</v>
      </c>
    </row>
    <row r="1412">
      <c r="A1412" s="7" t="s">
        <v>1540</v>
      </c>
      <c r="B1412" s="7" t="s">
        <v>1113</v>
      </c>
      <c r="C1412" s="8">
        <v>5490.0</v>
      </c>
      <c r="D1412" s="8">
        <v>7200.0</v>
      </c>
      <c r="E1412" s="9">
        <v>0.24</v>
      </c>
      <c r="F1412" s="10">
        <v>4.5</v>
      </c>
      <c r="G1412" s="11">
        <v>1408.0</v>
      </c>
      <c r="K1412" s="17">
        <v>4.5</v>
      </c>
    </row>
    <row r="1413">
      <c r="A1413" s="7" t="s">
        <v>1541</v>
      </c>
      <c r="B1413" s="7" t="s">
        <v>1095</v>
      </c>
      <c r="C1413" s="8">
        <v>379.0</v>
      </c>
      <c r="D1413" s="8">
        <v>389.0</v>
      </c>
      <c r="E1413" s="9">
        <v>0.03</v>
      </c>
      <c r="F1413" s="10">
        <v>4.2</v>
      </c>
      <c r="G1413" s="11">
        <v>3739.0</v>
      </c>
      <c r="K1413" s="17">
        <v>4.2</v>
      </c>
    </row>
    <row r="1414">
      <c r="A1414" s="7" t="s">
        <v>1542</v>
      </c>
      <c r="B1414" s="7" t="s">
        <v>1280</v>
      </c>
      <c r="C1414" s="8">
        <v>8699.0</v>
      </c>
      <c r="D1414" s="8">
        <v>13049.0</v>
      </c>
      <c r="E1414" s="9">
        <v>0.33</v>
      </c>
      <c r="F1414" s="10">
        <v>4.3</v>
      </c>
      <c r="G1414" s="11">
        <v>5891.0</v>
      </c>
      <c r="K1414" s="17">
        <v>4.3</v>
      </c>
    </row>
    <row r="1415">
      <c r="A1415" s="7" t="s">
        <v>1543</v>
      </c>
      <c r="B1415" s="7" t="s">
        <v>1113</v>
      </c>
      <c r="C1415" s="8">
        <v>3041.67</v>
      </c>
      <c r="D1415" s="8">
        <v>5999.0</v>
      </c>
      <c r="E1415" s="9">
        <v>0.49</v>
      </c>
      <c r="F1415" s="10">
        <v>4.0</v>
      </c>
      <c r="G1415" s="10">
        <v>777.0</v>
      </c>
      <c r="K1415" s="17">
        <v>4.0</v>
      </c>
    </row>
    <row r="1416">
      <c r="A1416" s="7" t="s">
        <v>1544</v>
      </c>
      <c r="B1416" s="7" t="s">
        <v>1109</v>
      </c>
      <c r="C1416" s="8">
        <v>1745.0</v>
      </c>
      <c r="D1416" s="8">
        <v>2400.0</v>
      </c>
      <c r="E1416" s="9">
        <v>0.27</v>
      </c>
      <c r="F1416" s="10">
        <v>4.2</v>
      </c>
      <c r="G1416" s="11">
        <v>14160.0</v>
      </c>
      <c r="K1416" s="17">
        <v>4.2</v>
      </c>
    </row>
    <row r="1417">
      <c r="A1417" s="7" t="s">
        <v>1545</v>
      </c>
      <c r="B1417" s="7" t="s">
        <v>1104</v>
      </c>
      <c r="C1417" s="8">
        <v>3180.0</v>
      </c>
      <c r="D1417" s="8">
        <v>5295.0</v>
      </c>
      <c r="E1417" s="9">
        <v>0.4</v>
      </c>
      <c r="F1417" s="10">
        <v>4.2</v>
      </c>
      <c r="G1417" s="11">
        <v>6919.0</v>
      </c>
      <c r="K1417" s="17">
        <v>4.2</v>
      </c>
    </row>
    <row r="1418">
      <c r="A1418" s="7" t="s">
        <v>1546</v>
      </c>
      <c r="B1418" s="7" t="s">
        <v>1280</v>
      </c>
      <c r="C1418" s="8">
        <v>4999.0</v>
      </c>
      <c r="D1418" s="8">
        <v>24999.0</v>
      </c>
      <c r="E1418" s="9">
        <v>0.8</v>
      </c>
      <c r="F1418" s="10">
        <v>4.5</v>
      </c>
      <c r="G1418" s="10">
        <v>287.0</v>
      </c>
      <c r="K1418" s="17">
        <v>4.5</v>
      </c>
    </row>
    <row r="1419">
      <c r="A1419" s="7" t="s">
        <v>1547</v>
      </c>
      <c r="B1419" s="7" t="s">
        <v>1137</v>
      </c>
      <c r="C1419" s="8">
        <v>390.0</v>
      </c>
      <c r="D1419" s="8">
        <v>799.0</v>
      </c>
      <c r="E1419" s="9">
        <v>0.51</v>
      </c>
      <c r="F1419" s="10">
        <v>3.8</v>
      </c>
      <c r="G1419" s="10">
        <v>287.0</v>
      </c>
      <c r="K1419" s="17">
        <v>3.8</v>
      </c>
    </row>
    <row r="1420">
      <c r="A1420" s="7" t="s">
        <v>1548</v>
      </c>
      <c r="B1420" s="7" t="s">
        <v>1549</v>
      </c>
      <c r="C1420" s="8">
        <v>1999.0</v>
      </c>
      <c r="D1420" s="8">
        <v>2999.0</v>
      </c>
      <c r="E1420" s="9">
        <v>0.33</v>
      </c>
      <c r="F1420" s="10">
        <v>4.4</v>
      </c>
      <c r="G1420" s="10">
        <v>388.0</v>
      </c>
      <c r="K1420" s="17">
        <v>4.4</v>
      </c>
    </row>
    <row r="1421">
      <c r="A1421" s="7" t="s">
        <v>1550</v>
      </c>
      <c r="B1421" s="7" t="s">
        <v>1155</v>
      </c>
      <c r="C1421" s="8">
        <v>1624.0</v>
      </c>
      <c r="D1421" s="8">
        <v>2495.0</v>
      </c>
      <c r="E1421" s="9">
        <v>0.35</v>
      </c>
      <c r="F1421" s="10">
        <v>4.1</v>
      </c>
      <c r="G1421" s="10">
        <v>827.0</v>
      </c>
      <c r="K1421" s="17">
        <v>4.1</v>
      </c>
    </row>
    <row r="1422">
      <c r="A1422" s="7" t="s">
        <v>1551</v>
      </c>
      <c r="B1422" s="7" t="s">
        <v>1504</v>
      </c>
      <c r="C1422" s="8">
        <v>184.0</v>
      </c>
      <c r="D1422" s="8">
        <v>450.0</v>
      </c>
      <c r="E1422" s="9">
        <v>0.59</v>
      </c>
      <c r="F1422" s="10">
        <v>4.2</v>
      </c>
      <c r="G1422" s="11">
        <v>4971.0</v>
      </c>
      <c r="K1422" s="17">
        <v>4.2</v>
      </c>
    </row>
    <row r="1423">
      <c r="A1423" s="7" t="s">
        <v>1552</v>
      </c>
      <c r="B1423" s="7" t="s">
        <v>1093</v>
      </c>
      <c r="C1423" s="8">
        <v>445.0</v>
      </c>
      <c r="D1423" s="8">
        <v>999.0</v>
      </c>
      <c r="E1423" s="9">
        <v>0.55</v>
      </c>
      <c r="F1423" s="10">
        <v>4.3</v>
      </c>
      <c r="G1423" s="10">
        <v>229.0</v>
      </c>
      <c r="K1423" s="17">
        <v>4.3</v>
      </c>
    </row>
    <row r="1424">
      <c r="A1424" s="7" t="s">
        <v>1553</v>
      </c>
      <c r="B1424" s="7" t="s">
        <v>1554</v>
      </c>
      <c r="C1424" s="8">
        <v>699.0</v>
      </c>
      <c r="D1424" s="8">
        <v>1690.0</v>
      </c>
      <c r="E1424" s="9">
        <v>0.59</v>
      </c>
      <c r="F1424" s="10">
        <v>4.1</v>
      </c>
      <c r="G1424" s="11">
        <v>3524.0</v>
      </c>
      <c r="K1424" s="17">
        <v>4.1</v>
      </c>
    </row>
    <row r="1425">
      <c r="A1425" s="7" t="s">
        <v>1555</v>
      </c>
      <c r="B1425" s="7" t="s">
        <v>1104</v>
      </c>
      <c r="C1425" s="8">
        <v>1601.0</v>
      </c>
      <c r="D1425" s="8">
        <v>3890.0</v>
      </c>
      <c r="E1425" s="9">
        <v>0.59</v>
      </c>
      <c r="F1425" s="10">
        <v>4.2</v>
      </c>
      <c r="G1425" s="10">
        <v>156.0</v>
      </c>
      <c r="K1425" s="17">
        <v>4.2</v>
      </c>
    </row>
    <row r="1426">
      <c r="A1426" s="7" t="s">
        <v>1556</v>
      </c>
      <c r="B1426" s="7" t="s">
        <v>1228</v>
      </c>
      <c r="C1426" s="8">
        <v>231.0</v>
      </c>
      <c r="D1426" s="8">
        <v>260.0</v>
      </c>
      <c r="E1426" s="9">
        <v>0.11</v>
      </c>
      <c r="F1426" s="10">
        <v>4.1</v>
      </c>
      <c r="G1426" s="10">
        <v>490.0</v>
      </c>
      <c r="K1426" s="17">
        <v>4.1</v>
      </c>
    </row>
    <row r="1427">
      <c r="A1427" s="7" t="s">
        <v>1557</v>
      </c>
      <c r="B1427" s="7" t="s">
        <v>1093</v>
      </c>
      <c r="C1427" s="8">
        <v>369.0</v>
      </c>
      <c r="D1427" s="8">
        <v>599.0</v>
      </c>
      <c r="E1427" s="9">
        <v>0.38</v>
      </c>
      <c r="F1427" s="10">
        <v>3.9</v>
      </c>
      <c r="G1427" s="10">
        <v>82.0</v>
      </c>
      <c r="K1427" s="17">
        <v>3.9</v>
      </c>
    </row>
    <row r="1428">
      <c r="A1428" s="7" t="s">
        <v>1558</v>
      </c>
      <c r="B1428" s="7" t="s">
        <v>1086</v>
      </c>
      <c r="C1428" s="8">
        <v>809.0</v>
      </c>
      <c r="D1428" s="8">
        <v>1950.0</v>
      </c>
      <c r="E1428" s="9">
        <v>0.59</v>
      </c>
      <c r="F1428" s="10">
        <v>3.9</v>
      </c>
      <c r="G1428" s="10">
        <v>710.0</v>
      </c>
      <c r="K1428" s="17">
        <v>3.9</v>
      </c>
    </row>
    <row r="1429">
      <c r="A1429" s="7" t="s">
        <v>1559</v>
      </c>
      <c r="B1429" s="7" t="s">
        <v>1113</v>
      </c>
      <c r="C1429" s="8">
        <v>1199.0</v>
      </c>
      <c r="D1429" s="8">
        <v>2990.0</v>
      </c>
      <c r="E1429" s="9">
        <v>0.6</v>
      </c>
      <c r="F1429" s="10">
        <v>3.8</v>
      </c>
      <c r="G1429" s="10">
        <v>133.0</v>
      </c>
      <c r="K1429" s="17">
        <v>3.8</v>
      </c>
    </row>
    <row r="1430">
      <c r="A1430" s="7" t="s">
        <v>1560</v>
      </c>
      <c r="B1430" s="7" t="s">
        <v>1113</v>
      </c>
      <c r="C1430" s="8">
        <v>6120.0</v>
      </c>
      <c r="D1430" s="8">
        <v>8073.0</v>
      </c>
      <c r="E1430" s="9">
        <v>0.24</v>
      </c>
      <c r="F1430" s="10">
        <v>4.6</v>
      </c>
      <c r="G1430" s="11">
        <v>2751.0</v>
      </c>
      <c r="K1430" s="17">
        <v>4.6</v>
      </c>
    </row>
    <row r="1431">
      <c r="A1431" s="7" t="s">
        <v>1561</v>
      </c>
      <c r="B1431" s="7" t="s">
        <v>1139</v>
      </c>
      <c r="C1431" s="8">
        <v>1799.0</v>
      </c>
      <c r="D1431" s="8">
        <v>2599.0</v>
      </c>
      <c r="E1431" s="9">
        <v>0.31</v>
      </c>
      <c r="F1431" s="10">
        <v>3.6</v>
      </c>
      <c r="G1431" s="10">
        <v>771.0</v>
      </c>
      <c r="K1431" s="17">
        <v>3.6</v>
      </c>
    </row>
    <row r="1432">
      <c r="A1432" s="7" t="s">
        <v>1562</v>
      </c>
      <c r="B1432" s="7" t="s">
        <v>1428</v>
      </c>
      <c r="C1432" s="8">
        <v>18999.0</v>
      </c>
      <c r="D1432" s="8">
        <v>29999.0</v>
      </c>
      <c r="E1432" s="9">
        <v>0.37</v>
      </c>
      <c r="F1432" s="10">
        <v>4.1</v>
      </c>
      <c r="G1432" s="11">
        <v>2536.0</v>
      </c>
      <c r="K1432" s="17">
        <v>4.1</v>
      </c>
    </row>
    <row r="1433">
      <c r="A1433" s="7" t="s">
        <v>1563</v>
      </c>
      <c r="B1433" s="7" t="s">
        <v>1222</v>
      </c>
      <c r="C1433" s="8">
        <v>1999.0</v>
      </c>
      <c r="D1433" s="8">
        <v>2360.0</v>
      </c>
      <c r="E1433" s="9">
        <v>0.15</v>
      </c>
      <c r="F1433" s="10">
        <v>4.2</v>
      </c>
      <c r="G1433" s="11">
        <v>7801.0</v>
      </c>
      <c r="K1433" s="17">
        <v>4.2</v>
      </c>
    </row>
    <row r="1434">
      <c r="A1434" s="7" t="s">
        <v>1564</v>
      </c>
      <c r="B1434" s="7" t="s">
        <v>1565</v>
      </c>
      <c r="C1434" s="8">
        <v>5999.0</v>
      </c>
      <c r="D1434" s="8">
        <v>11495.0</v>
      </c>
      <c r="E1434" s="9">
        <v>0.48</v>
      </c>
      <c r="F1434" s="10">
        <v>4.3</v>
      </c>
      <c r="G1434" s="10">
        <v>534.0</v>
      </c>
      <c r="K1434" s="17">
        <v>4.3</v>
      </c>
    </row>
    <row r="1435">
      <c r="A1435" s="7" t="s">
        <v>1566</v>
      </c>
      <c r="B1435" s="7" t="s">
        <v>1186</v>
      </c>
      <c r="C1435" s="8">
        <v>2599.0</v>
      </c>
      <c r="D1435" s="8">
        <v>4780.0</v>
      </c>
      <c r="E1435" s="9">
        <v>0.46</v>
      </c>
      <c r="F1435" s="10">
        <v>3.9</v>
      </c>
      <c r="G1435" s="10">
        <v>898.0</v>
      </c>
      <c r="K1435" s="17">
        <v>3.9</v>
      </c>
    </row>
    <row r="1436">
      <c r="A1436" s="7" t="s">
        <v>1567</v>
      </c>
      <c r="B1436" s="7" t="s">
        <v>1489</v>
      </c>
      <c r="C1436" s="8">
        <v>1199.0</v>
      </c>
      <c r="D1436" s="8">
        <v>2400.0</v>
      </c>
      <c r="E1436" s="9">
        <v>0.5</v>
      </c>
      <c r="F1436" s="10">
        <v>3.9</v>
      </c>
      <c r="G1436" s="11">
        <v>1202.0</v>
      </c>
      <c r="K1436" s="17">
        <v>3.9</v>
      </c>
    </row>
    <row r="1437">
      <c r="A1437" s="7" t="s">
        <v>1568</v>
      </c>
      <c r="B1437" s="7" t="s">
        <v>1137</v>
      </c>
      <c r="C1437" s="8">
        <v>219.0</v>
      </c>
      <c r="D1437" s="8">
        <v>249.0</v>
      </c>
      <c r="E1437" s="9">
        <v>0.12</v>
      </c>
      <c r="F1437" s="10">
        <v>4.0</v>
      </c>
      <c r="G1437" s="11">
        <v>1108.0</v>
      </c>
      <c r="K1437" s="17">
        <v>4.0</v>
      </c>
    </row>
    <row r="1438">
      <c r="A1438" s="7" t="s">
        <v>1569</v>
      </c>
      <c r="B1438" s="7" t="s">
        <v>1091</v>
      </c>
      <c r="C1438" s="8">
        <v>799.0</v>
      </c>
      <c r="D1438" s="8">
        <v>1199.0</v>
      </c>
      <c r="E1438" s="9">
        <v>0.33</v>
      </c>
      <c r="F1438" s="10">
        <v>4.4</v>
      </c>
      <c r="G1438" s="10">
        <v>17.0</v>
      </c>
      <c r="K1438" s="17">
        <v>4.4</v>
      </c>
    </row>
    <row r="1439">
      <c r="A1439" s="7" t="s">
        <v>1570</v>
      </c>
      <c r="B1439" s="7" t="s">
        <v>1263</v>
      </c>
      <c r="C1439" s="8">
        <v>6199.0</v>
      </c>
      <c r="D1439" s="8">
        <v>10999.0</v>
      </c>
      <c r="E1439" s="9">
        <v>0.44</v>
      </c>
      <c r="F1439" s="10">
        <v>4.2</v>
      </c>
      <c r="G1439" s="11">
        <v>10429.0</v>
      </c>
      <c r="K1439" s="17">
        <v>4.2</v>
      </c>
    </row>
    <row r="1440">
      <c r="A1440" s="7" t="s">
        <v>1571</v>
      </c>
      <c r="B1440" s="7" t="s">
        <v>1135</v>
      </c>
      <c r="C1440" s="8">
        <v>6790.0</v>
      </c>
      <c r="D1440" s="8">
        <v>10995.0</v>
      </c>
      <c r="E1440" s="9">
        <v>0.38</v>
      </c>
      <c r="F1440" s="10">
        <v>4.5</v>
      </c>
      <c r="G1440" s="11">
        <v>3192.0</v>
      </c>
      <c r="K1440" s="17">
        <v>4.5</v>
      </c>
    </row>
    <row r="1441">
      <c r="A1441" s="7" t="s">
        <v>1572</v>
      </c>
      <c r="B1441" s="7" t="s">
        <v>1573</v>
      </c>
      <c r="C1441" s="8">
        <v>1982.84</v>
      </c>
      <c r="D1441" s="8">
        <v>3300.0</v>
      </c>
      <c r="E1441" s="9">
        <v>0.4</v>
      </c>
      <c r="F1441" s="10">
        <v>4.1</v>
      </c>
      <c r="G1441" s="11">
        <v>5873.0</v>
      </c>
      <c r="K1441" s="17">
        <v>4.1</v>
      </c>
    </row>
    <row r="1442">
      <c r="A1442" s="7" t="s">
        <v>1574</v>
      </c>
      <c r="B1442" s="7" t="s">
        <v>1228</v>
      </c>
      <c r="C1442" s="8">
        <v>199.0</v>
      </c>
      <c r="D1442" s="8">
        <v>400.0</v>
      </c>
      <c r="E1442" s="9">
        <v>0.5</v>
      </c>
      <c r="F1442" s="10">
        <v>4.1</v>
      </c>
      <c r="G1442" s="11">
        <v>1379.0</v>
      </c>
      <c r="K1442" s="17">
        <v>4.1</v>
      </c>
    </row>
    <row r="1443">
      <c r="A1443" s="7" t="s">
        <v>1575</v>
      </c>
      <c r="B1443" s="7" t="s">
        <v>1086</v>
      </c>
      <c r="C1443" s="8">
        <v>1180.0</v>
      </c>
      <c r="D1443" s="8">
        <v>1440.0</v>
      </c>
      <c r="E1443" s="9">
        <v>0.18</v>
      </c>
      <c r="F1443" s="10">
        <v>4.2</v>
      </c>
      <c r="G1443" s="11">
        <v>1527.0</v>
      </c>
      <c r="K1443" s="17">
        <v>4.2</v>
      </c>
    </row>
    <row r="1444">
      <c r="A1444" s="7" t="s">
        <v>1576</v>
      </c>
      <c r="B1444" s="7" t="s">
        <v>1186</v>
      </c>
      <c r="C1444" s="8">
        <v>2199.0</v>
      </c>
      <c r="D1444" s="8">
        <v>3045.0</v>
      </c>
      <c r="E1444" s="9">
        <v>0.28</v>
      </c>
      <c r="F1444" s="10">
        <v>4.2</v>
      </c>
      <c r="G1444" s="11">
        <v>2686.0</v>
      </c>
      <c r="K1444" s="17">
        <v>4.2</v>
      </c>
    </row>
    <row r="1445">
      <c r="A1445" s="7" t="s">
        <v>1577</v>
      </c>
      <c r="B1445" s="7" t="s">
        <v>1225</v>
      </c>
      <c r="C1445" s="8">
        <v>2999.0</v>
      </c>
      <c r="D1445" s="8">
        <v>3595.0</v>
      </c>
      <c r="E1445" s="9">
        <v>0.17</v>
      </c>
      <c r="F1445" s="10">
        <v>4.0</v>
      </c>
      <c r="G1445" s="10">
        <v>178.0</v>
      </c>
      <c r="K1445" s="17">
        <v>4.0</v>
      </c>
    </row>
    <row r="1446">
      <c r="A1446" s="7" t="s">
        <v>1578</v>
      </c>
      <c r="B1446" s="7" t="s">
        <v>1579</v>
      </c>
      <c r="C1446" s="8">
        <v>253.0</v>
      </c>
      <c r="D1446" s="8">
        <v>500.0</v>
      </c>
      <c r="E1446" s="9">
        <v>0.49</v>
      </c>
      <c r="F1446" s="10">
        <v>4.3</v>
      </c>
      <c r="G1446" s="11">
        <v>2664.0</v>
      </c>
      <c r="K1446" s="17">
        <v>4.3</v>
      </c>
    </row>
    <row r="1447">
      <c r="A1447" s="7" t="s">
        <v>1580</v>
      </c>
      <c r="B1447" s="7" t="s">
        <v>1393</v>
      </c>
      <c r="C1447" s="8">
        <v>499.0</v>
      </c>
      <c r="D1447" s="8">
        <v>799.0</v>
      </c>
      <c r="E1447" s="9">
        <v>0.38</v>
      </c>
      <c r="F1447" s="10">
        <v>3.6</v>
      </c>
      <c r="G1447" s="10">
        <v>212.0</v>
      </c>
      <c r="K1447" s="17">
        <v>3.6</v>
      </c>
    </row>
    <row r="1448">
      <c r="A1448" s="7" t="s">
        <v>1581</v>
      </c>
      <c r="B1448" s="7" t="s">
        <v>1089</v>
      </c>
      <c r="C1448" s="8">
        <v>1149.0</v>
      </c>
      <c r="D1448" s="8">
        <v>1899.0</v>
      </c>
      <c r="E1448" s="9">
        <v>0.39</v>
      </c>
      <c r="F1448" s="10">
        <v>3.5</v>
      </c>
      <c r="G1448" s="10">
        <v>24.0</v>
      </c>
      <c r="K1448" s="17">
        <v>3.5</v>
      </c>
    </row>
    <row r="1449">
      <c r="A1449" s="7" t="s">
        <v>1582</v>
      </c>
      <c r="B1449" s="7" t="s">
        <v>1111</v>
      </c>
      <c r="C1449" s="8">
        <v>457.0</v>
      </c>
      <c r="D1449" s="8">
        <v>799.0</v>
      </c>
      <c r="E1449" s="9">
        <v>0.43</v>
      </c>
      <c r="F1449" s="10">
        <v>4.3</v>
      </c>
      <c r="G1449" s="11">
        <v>1868.0</v>
      </c>
      <c r="K1449" s="17">
        <v>4.3</v>
      </c>
    </row>
    <row r="1450">
      <c r="A1450" s="7" t="s">
        <v>1583</v>
      </c>
      <c r="B1450" s="7" t="s">
        <v>1388</v>
      </c>
      <c r="C1450" s="8">
        <v>229.0</v>
      </c>
      <c r="D1450" s="8">
        <v>399.0</v>
      </c>
      <c r="E1450" s="9">
        <v>0.43</v>
      </c>
      <c r="F1450" s="10">
        <v>3.6</v>
      </c>
      <c r="G1450" s="10">
        <v>451.0</v>
      </c>
      <c r="K1450" s="17">
        <v>3.6</v>
      </c>
    </row>
    <row r="1451">
      <c r="A1451" s="7" t="s">
        <v>1584</v>
      </c>
      <c r="B1451" s="7" t="s">
        <v>1228</v>
      </c>
      <c r="C1451" s="8">
        <v>199.0</v>
      </c>
      <c r="D1451" s="8">
        <v>699.0</v>
      </c>
      <c r="E1451" s="9">
        <v>0.72</v>
      </c>
      <c r="F1451" s="10">
        <v>2.9</v>
      </c>
      <c r="G1451" s="10">
        <v>159.0</v>
      </c>
      <c r="K1451" s="17">
        <v>2.9</v>
      </c>
    </row>
    <row r="1452">
      <c r="A1452" s="7" t="s">
        <v>1585</v>
      </c>
      <c r="B1452" s="7" t="s">
        <v>1489</v>
      </c>
      <c r="C1452" s="8">
        <v>899.0</v>
      </c>
      <c r="D1452" s="8">
        <v>1999.0</v>
      </c>
      <c r="E1452" s="9">
        <v>0.55</v>
      </c>
      <c r="F1452" s="10">
        <v>4.2</v>
      </c>
      <c r="G1452" s="10">
        <v>39.0</v>
      </c>
      <c r="K1452" s="17">
        <v>4.2</v>
      </c>
    </row>
    <row r="1453">
      <c r="A1453" s="7" t="s">
        <v>1586</v>
      </c>
      <c r="B1453" s="7" t="s">
        <v>1310</v>
      </c>
      <c r="C1453" s="8">
        <v>1499.0</v>
      </c>
      <c r="D1453" s="8">
        <v>2199.0</v>
      </c>
      <c r="E1453" s="9">
        <v>0.32</v>
      </c>
      <c r="F1453" s="10">
        <v>4.4</v>
      </c>
      <c r="G1453" s="11">
        <v>6531.0</v>
      </c>
      <c r="K1453" s="17">
        <v>4.4</v>
      </c>
    </row>
    <row r="1454">
      <c r="A1454" s="7" t="s">
        <v>1587</v>
      </c>
      <c r="B1454" s="7" t="s">
        <v>1109</v>
      </c>
      <c r="C1454" s="8">
        <v>426.0</v>
      </c>
      <c r="D1454" s="8">
        <v>999.0</v>
      </c>
      <c r="E1454" s="9">
        <v>0.57</v>
      </c>
      <c r="F1454" s="10">
        <v>4.1</v>
      </c>
      <c r="G1454" s="10">
        <v>222.0</v>
      </c>
      <c r="K1454" s="17">
        <v>4.1</v>
      </c>
    </row>
    <row r="1455">
      <c r="A1455" s="7" t="s">
        <v>1588</v>
      </c>
      <c r="B1455" s="7" t="s">
        <v>1091</v>
      </c>
      <c r="C1455" s="8">
        <v>2320.0</v>
      </c>
      <c r="D1455" s="8">
        <v>3290.0</v>
      </c>
      <c r="E1455" s="9">
        <v>0.29</v>
      </c>
      <c r="F1455" s="10">
        <v>3.8</v>
      </c>
      <c r="G1455" s="10">
        <v>195.0</v>
      </c>
      <c r="K1455" s="17">
        <v>3.8</v>
      </c>
    </row>
    <row r="1456">
      <c r="A1456" s="7" t="s">
        <v>1589</v>
      </c>
      <c r="B1456" s="7" t="s">
        <v>1299</v>
      </c>
      <c r="C1456" s="8">
        <v>1563.0</v>
      </c>
      <c r="D1456" s="8">
        <v>3098.0</v>
      </c>
      <c r="E1456" s="9">
        <v>0.5</v>
      </c>
      <c r="F1456" s="10">
        <v>3.5</v>
      </c>
      <c r="G1456" s="11">
        <v>2283.0</v>
      </c>
      <c r="K1456" s="17">
        <v>3.5</v>
      </c>
    </row>
    <row r="1457">
      <c r="A1457" s="7" t="s">
        <v>1590</v>
      </c>
      <c r="B1457" s="7" t="s">
        <v>1089</v>
      </c>
      <c r="C1457" s="8">
        <v>3487.77</v>
      </c>
      <c r="D1457" s="8">
        <v>4990.0</v>
      </c>
      <c r="E1457" s="9">
        <v>0.3</v>
      </c>
      <c r="F1457" s="10">
        <v>4.1</v>
      </c>
      <c r="G1457" s="11">
        <v>1127.0</v>
      </c>
      <c r="K1457" s="17">
        <v>4.1</v>
      </c>
    </row>
    <row r="1458">
      <c r="A1458" s="7" t="s">
        <v>1591</v>
      </c>
      <c r="B1458" s="7" t="s">
        <v>1173</v>
      </c>
      <c r="C1458" s="8">
        <v>498.0</v>
      </c>
      <c r="D1458" s="8">
        <v>1200.0</v>
      </c>
      <c r="E1458" s="9">
        <v>0.59</v>
      </c>
      <c r="F1458" s="10">
        <v>3.2</v>
      </c>
      <c r="G1458" s="10">
        <v>113.0</v>
      </c>
      <c r="K1458" s="17">
        <v>3.2</v>
      </c>
    </row>
    <row r="1459">
      <c r="A1459" s="7" t="s">
        <v>1592</v>
      </c>
      <c r="B1459" s="7" t="s">
        <v>1086</v>
      </c>
      <c r="C1459" s="8">
        <v>2695.0</v>
      </c>
      <c r="D1459" s="8">
        <v>2695.0</v>
      </c>
      <c r="E1459" s="9">
        <v>0.0</v>
      </c>
      <c r="F1459" s="10">
        <v>4.4</v>
      </c>
      <c r="G1459" s="11">
        <v>2518.0</v>
      </c>
      <c r="K1459" s="17">
        <v>4.4</v>
      </c>
    </row>
    <row r="1460">
      <c r="A1460" s="7" t="s">
        <v>1593</v>
      </c>
      <c r="B1460" s="7" t="s">
        <v>1089</v>
      </c>
      <c r="C1460" s="8">
        <v>949.0</v>
      </c>
      <c r="D1460" s="8">
        <v>2299.0</v>
      </c>
      <c r="E1460" s="9">
        <v>0.59</v>
      </c>
      <c r="F1460" s="10">
        <v>3.6</v>
      </c>
      <c r="G1460" s="10">
        <v>550.0</v>
      </c>
      <c r="K1460" s="17">
        <v>3.6</v>
      </c>
    </row>
    <row r="1461">
      <c r="A1461" s="7" t="s">
        <v>1594</v>
      </c>
      <c r="B1461" s="7" t="s">
        <v>1093</v>
      </c>
      <c r="C1461" s="8">
        <v>199.0</v>
      </c>
      <c r="D1461" s="8">
        <v>999.0</v>
      </c>
      <c r="E1461" s="9">
        <v>0.8</v>
      </c>
      <c r="F1461" s="10">
        <v>3.1</v>
      </c>
      <c r="G1461" s="10">
        <v>2.0</v>
      </c>
      <c r="K1461" s="17">
        <v>3.1</v>
      </c>
    </row>
    <row r="1462">
      <c r="A1462" s="7" t="s">
        <v>1595</v>
      </c>
      <c r="B1462" s="7" t="s">
        <v>1228</v>
      </c>
      <c r="C1462" s="8">
        <v>379.0</v>
      </c>
      <c r="D1462" s="8">
        <v>919.0</v>
      </c>
      <c r="E1462" s="9">
        <v>0.59</v>
      </c>
      <c r="F1462" s="10">
        <v>4.0</v>
      </c>
      <c r="G1462" s="11">
        <v>1090.0</v>
      </c>
      <c r="K1462" s="17">
        <v>4.0</v>
      </c>
    </row>
    <row r="1463">
      <c r="A1463" s="7" t="s">
        <v>1596</v>
      </c>
      <c r="B1463" s="7" t="s">
        <v>1236</v>
      </c>
      <c r="C1463" s="8">
        <v>2280.0</v>
      </c>
      <c r="D1463" s="8">
        <v>3045.0</v>
      </c>
      <c r="E1463" s="9">
        <v>0.25</v>
      </c>
      <c r="F1463" s="10">
        <v>4.1</v>
      </c>
      <c r="G1463" s="11">
        <v>4118.0</v>
      </c>
      <c r="K1463" s="17">
        <v>4.1</v>
      </c>
    </row>
    <row r="1464">
      <c r="A1464" s="7" t="s">
        <v>1597</v>
      </c>
      <c r="B1464" s="7" t="s">
        <v>1209</v>
      </c>
      <c r="C1464" s="8">
        <v>2219.0</v>
      </c>
      <c r="D1464" s="8">
        <v>3080.0</v>
      </c>
      <c r="E1464" s="9">
        <v>0.28</v>
      </c>
      <c r="F1464" s="10">
        <v>3.6</v>
      </c>
      <c r="G1464" s="10">
        <v>468.0</v>
      </c>
      <c r="K1464" s="17">
        <v>3.6</v>
      </c>
    </row>
    <row r="1465">
      <c r="A1465" s="7" t="s">
        <v>1598</v>
      </c>
      <c r="B1465" s="7" t="s">
        <v>1222</v>
      </c>
      <c r="C1465" s="8">
        <v>1399.0</v>
      </c>
      <c r="D1465" s="8">
        <v>1890.0</v>
      </c>
      <c r="E1465" s="9">
        <v>0.26</v>
      </c>
      <c r="F1465" s="10">
        <v>4.0</v>
      </c>
      <c r="G1465" s="11">
        <v>8031.0</v>
      </c>
      <c r="K1465" s="17">
        <v>4.0</v>
      </c>
    </row>
    <row r="1466">
      <c r="A1466" s="7" t="s">
        <v>1599</v>
      </c>
      <c r="B1466" s="7" t="s">
        <v>1159</v>
      </c>
      <c r="C1466" s="8">
        <v>2863.0</v>
      </c>
      <c r="D1466" s="8">
        <v>3690.0</v>
      </c>
      <c r="E1466" s="9">
        <v>0.22</v>
      </c>
      <c r="F1466" s="10">
        <v>4.3</v>
      </c>
      <c r="G1466" s="11">
        <v>6987.0</v>
      </c>
      <c r="K1466" s="17">
        <v>4.3</v>
      </c>
    </row>
  </sheetData>
  <mergeCells count="1">
    <mergeCell ref="I2:J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1602</v>
      </c>
      <c r="K2" s="17">
        <f>COUNTA(D2:D1466)</f>
        <v>1465</v>
      </c>
    </row>
    <row r="3">
      <c r="A3" s="7" t="s">
        <v>17</v>
      </c>
      <c r="B3" s="7" t="s">
        <v>15</v>
      </c>
      <c r="C3" s="8">
        <v>199.0</v>
      </c>
      <c r="D3" s="8">
        <v>349.0</v>
      </c>
      <c r="E3" s="19">
        <v>0.43</v>
      </c>
      <c r="F3" s="10">
        <v>4.0</v>
      </c>
      <c r="G3" s="11">
        <v>43994.0</v>
      </c>
    </row>
    <row r="4">
      <c r="A4" s="7" t="s">
        <v>18</v>
      </c>
      <c r="B4" s="7" t="s">
        <v>15</v>
      </c>
      <c r="C4" s="8">
        <v>199.0</v>
      </c>
      <c r="D4" s="8">
        <v>1899.0</v>
      </c>
      <c r="E4" s="19">
        <v>0.9</v>
      </c>
      <c r="F4" s="10">
        <v>3.9</v>
      </c>
      <c r="G4" s="11">
        <v>7928.0</v>
      </c>
      <c r="I4" s="12" t="s">
        <v>1603</v>
      </c>
      <c r="K4" s="17">
        <f>COUNTA(E2:E1466)</f>
        <v>1453</v>
      </c>
    </row>
    <row r="5">
      <c r="A5" s="7" t="s">
        <v>19</v>
      </c>
      <c r="B5" s="7" t="s">
        <v>15</v>
      </c>
      <c r="C5" s="8">
        <v>329.0</v>
      </c>
      <c r="D5" s="8">
        <v>699.0</v>
      </c>
      <c r="E5" s="19">
        <v>0.53</v>
      </c>
      <c r="F5" s="10">
        <v>4.2</v>
      </c>
      <c r="G5" s="11">
        <v>94363.0</v>
      </c>
    </row>
    <row r="6">
      <c r="A6" s="7" t="s">
        <v>20</v>
      </c>
      <c r="B6" s="7" t="s">
        <v>15</v>
      </c>
      <c r="C6" s="8">
        <v>154.0</v>
      </c>
      <c r="D6" s="8">
        <v>399.0</v>
      </c>
      <c r="E6" s="19">
        <v>0.61</v>
      </c>
      <c r="F6" s="10">
        <v>4.2</v>
      </c>
      <c r="G6" s="11">
        <v>16905.0</v>
      </c>
    </row>
    <row r="7">
      <c r="A7" s="7" t="s">
        <v>21</v>
      </c>
      <c r="B7" s="7" t="s">
        <v>15</v>
      </c>
      <c r="C7" s="8">
        <v>149.0</v>
      </c>
      <c r="D7" s="8">
        <v>1000.0</v>
      </c>
      <c r="E7" s="19">
        <v>0.85</v>
      </c>
      <c r="F7" s="10">
        <v>3.9</v>
      </c>
      <c r="G7" s="11">
        <v>24871.0</v>
      </c>
      <c r="I7" s="12" t="s">
        <v>1604</v>
      </c>
      <c r="K7" s="17">
        <f>COUNTA(C2:C1466,F2:F1466)</f>
        <v>2930</v>
      </c>
    </row>
    <row r="8">
      <c r="A8" s="7" t="s">
        <v>22</v>
      </c>
      <c r="B8" s="7" t="s">
        <v>15</v>
      </c>
      <c r="C8" s="8">
        <v>176.63</v>
      </c>
      <c r="D8" s="8">
        <v>499.0</v>
      </c>
      <c r="E8" s="19">
        <v>0.65</v>
      </c>
      <c r="F8" s="10">
        <v>4.1</v>
      </c>
      <c r="G8" s="11">
        <v>15188.0</v>
      </c>
    </row>
    <row r="9">
      <c r="A9" s="7" t="s">
        <v>23</v>
      </c>
      <c r="B9" s="7" t="s">
        <v>15</v>
      </c>
      <c r="C9" s="8">
        <v>229.0</v>
      </c>
      <c r="D9" s="8">
        <v>299.0</v>
      </c>
      <c r="E9" s="19">
        <v>0.23</v>
      </c>
      <c r="F9" s="10">
        <v>4.3</v>
      </c>
      <c r="G9" s="11">
        <v>30411.0</v>
      </c>
    </row>
    <row r="10">
      <c r="A10" s="7" t="s">
        <v>24</v>
      </c>
      <c r="B10" s="7" t="s">
        <v>25</v>
      </c>
      <c r="C10" s="8">
        <v>499.0</v>
      </c>
      <c r="D10" s="8">
        <v>999.0</v>
      </c>
      <c r="E10" s="19">
        <v>0.5</v>
      </c>
      <c r="F10" s="10">
        <v>4.2</v>
      </c>
      <c r="G10" s="7" t="s">
        <v>26</v>
      </c>
    </row>
    <row r="11">
      <c r="A11" s="7" t="s">
        <v>27</v>
      </c>
      <c r="B11" s="7" t="s">
        <v>15</v>
      </c>
      <c r="C11" s="8">
        <v>199.0</v>
      </c>
      <c r="D11" s="8">
        <v>299.0</v>
      </c>
      <c r="E11" s="19">
        <v>0.33</v>
      </c>
      <c r="F11" s="10">
        <v>4.0</v>
      </c>
      <c r="G11" s="11">
        <v>43994.0</v>
      </c>
    </row>
    <row r="12">
      <c r="A12" s="7" t="s">
        <v>28</v>
      </c>
      <c r="B12" s="7" t="s">
        <v>15</v>
      </c>
      <c r="C12" s="8">
        <v>154.0</v>
      </c>
      <c r="D12" s="8">
        <v>339.0</v>
      </c>
      <c r="E12" s="19">
        <v>0.55</v>
      </c>
      <c r="F12" s="10">
        <v>4.3</v>
      </c>
      <c r="G12" s="11">
        <v>13391.0</v>
      </c>
    </row>
    <row r="13">
      <c r="A13" s="7" t="s">
        <v>29</v>
      </c>
      <c r="B13" s="7" t="s">
        <v>15</v>
      </c>
      <c r="C13" s="8">
        <v>299.0</v>
      </c>
      <c r="D13" s="8">
        <v>799.0</v>
      </c>
      <c r="E13" s="19">
        <v>0.63</v>
      </c>
      <c r="F13" s="10">
        <v>4.2</v>
      </c>
      <c r="G13" s="11">
        <v>94363.0</v>
      </c>
    </row>
    <row r="14">
      <c r="A14" s="7" t="s">
        <v>30</v>
      </c>
      <c r="B14" s="7" t="s">
        <v>31</v>
      </c>
      <c r="C14" s="8">
        <v>219.0</v>
      </c>
      <c r="D14" s="8">
        <v>700.0</v>
      </c>
      <c r="E14" s="19">
        <v>0.69</v>
      </c>
      <c r="F14" s="10">
        <v>4.4</v>
      </c>
      <c r="G14" s="7" t="s">
        <v>32</v>
      </c>
    </row>
    <row r="15">
      <c r="A15" s="7" t="s">
        <v>33</v>
      </c>
      <c r="B15" s="7" t="s">
        <v>15</v>
      </c>
      <c r="C15" s="8">
        <v>350.0</v>
      </c>
      <c r="D15" s="8">
        <v>899.0</v>
      </c>
      <c r="E15" s="19">
        <v>0.61</v>
      </c>
      <c r="F15" s="10">
        <v>4.2</v>
      </c>
      <c r="G15" s="11">
        <v>2262.0</v>
      </c>
    </row>
    <row r="16">
      <c r="A16" s="7" t="s">
        <v>34</v>
      </c>
      <c r="B16" s="7" t="s">
        <v>15</v>
      </c>
      <c r="C16" s="8">
        <v>159.0</v>
      </c>
      <c r="D16" s="8">
        <v>399.0</v>
      </c>
      <c r="E16" s="19">
        <v>0.6</v>
      </c>
      <c r="F16" s="10">
        <v>4.1</v>
      </c>
      <c r="G16" s="11">
        <v>4768.0</v>
      </c>
    </row>
    <row r="17">
      <c r="A17" s="7" t="s">
        <v>35</v>
      </c>
      <c r="B17" s="7" t="s">
        <v>15</v>
      </c>
      <c r="C17" s="8">
        <v>349.0</v>
      </c>
      <c r="D17" s="8">
        <v>399.0</v>
      </c>
      <c r="E17" s="19">
        <v>0.13</v>
      </c>
      <c r="F17" s="10">
        <v>4.4</v>
      </c>
      <c r="G17" s="11">
        <v>18757.0</v>
      </c>
    </row>
    <row r="18">
      <c r="A18" s="7" t="s">
        <v>36</v>
      </c>
      <c r="B18" s="7" t="s">
        <v>37</v>
      </c>
      <c r="C18" s="8">
        <v>13999.0</v>
      </c>
      <c r="D18" s="8">
        <v>24999.0</v>
      </c>
      <c r="E18" s="19">
        <v>0.44</v>
      </c>
      <c r="F18" s="10">
        <v>4.2</v>
      </c>
      <c r="G18" s="11">
        <v>32840.0</v>
      </c>
    </row>
    <row r="19">
      <c r="A19" s="7" t="s">
        <v>38</v>
      </c>
      <c r="B19" s="7" t="s">
        <v>15</v>
      </c>
      <c r="C19" s="8">
        <v>249.0</v>
      </c>
      <c r="D19" s="8">
        <v>399.0</v>
      </c>
      <c r="E19" s="19">
        <v>0.38</v>
      </c>
      <c r="F19" s="10">
        <v>4.0</v>
      </c>
      <c r="G19" s="11">
        <v>43994.0</v>
      </c>
    </row>
    <row r="20">
      <c r="A20" s="7" t="s">
        <v>39</v>
      </c>
      <c r="B20" s="7" t="s">
        <v>15</v>
      </c>
      <c r="C20" s="8">
        <v>199.0</v>
      </c>
      <c r="D20" s="8">
        <v>499.0</v>
      </c>
      <c r="E20" s="19">
        <v>0.6</v>
      </c>
      <c r="F20" s="10">
        <v>4.1</v>
      </c>
      <c r="G20" s="11">
        <v>13045.0</v>
      </c>
    </row>
    <row r="21">
      <c r="A21" s="7" t="s">
        <v>40</v>
      </c>
      <c r="B21" s="7" t="s">
        <v>37</v>
      </c>
      <c r="C21" s="8">
        <v>13490.0</v>
      </c>
      <c r="D21" s="8">
        <v>21990.0</v>
      </c>
      <c r="E21" s="19">
        <v>0.39</v>
      </c>
      <c r="F21" s="10">
        <v>4.3</v>
      </c>
      <c r="G21" s="11">
        <v>11976.0</v>
      </c>
    </row>
    <row r="22">
      <c r="A22" s="7" t="s">
        <v>41</v>
      </c>
      <c r="B22" s="7" t="s">
        <v>15</v>
      </c>
      <c r="C22" s="8">
        <v>970.0</v>
      </c>
      <c r="D22" s="8">
        <v>1799.0</v>
      </c>
      <c r="E22" s="19">
        <v>0.46</v>
      </c>
      <c r="F22" s="10">
        <v>4.5</v>
      </c>
      <c r="G22" s="10">
        <v>815.0</v>
      </c>
    </row>
    <row r="23">
      <c r="A23" s="7" t="s">
        <v>42</v>
      </c>
      <c r="B23" s="7" t="s">
        <v>31</v>
      </c>
      <c r="C23" s="8">
        <v>279.0</v>
      </c>
      <c r="D23" s="8">
        <v>499.0</v>
      </c>
      <c r="E23" s="19">
        <v>0.44</v>
      </c>
      <c r="F23" s="10">
        <v>3.7</v>
      </c>
      <c r="G23" s="11">
        <v>10962.0</v>
      </c>
    </row>
    <row r="24">
      <c r="A24" s="7" t="s">
        <v>43</v>
      </c>
      <c r="B24" s="7" t="s">
        <v>37</v>
      </c>
      <c r="C24" s="8">
        <v>13490.0</v>
      </c>
      <c r="D24" s="8">
        <v>22900.0</v>
      </c>
      <c r="E24" s="19"/>
      <c r="F24" s="10">
        <v>4.3</v>
      </c>
      <c r="G24" s="11">
        <v>16299.0</v>
      </c>
    </row>
    <row r="25">
      <c r="A25" s="7" t="s">
        <v>44</v>
      </c>
      <c r="B25" s="7" t="s">
        <v>15</v>
      </c>
      <c r="C25" s="8">
        <v>59.0</v>
      </c>
      <c r="D25" s="8">
        <v>199.0</v>
      </c>
      <c r="E25" s="19">
        <v>0.7</v>
      </c>
      <c r="F25" s="10">
        <v>4.0</v>
      </c>
      <c r="G25" s="11">
        <v>9378.0</v>
      </c>
    </row>
    <row r="26">
      <c r="A26" s="7" t="s">
        <v>45</v>
      </c>
      <c r="B26" s="7" t="s">
        <v>37</v>
      </c>
      <c r="C26" s="8">
        <v>11499.0</v>
      </c>
      <c r="D26" s="8">
        <v>19990.0</v>
      </c>
      <c r="E26" s="19">
        <v>0.42</v>
      </c>
      <c r="F26" s="10">
        <v>4.3</v>
      </c>
      <c r="G26" s="11">
        <v>4703.0</v>
      </c>
    </row>
    <row r="27">
      <c r="A27" s="7" t="s">
        <v>46</v>
      </c>
      <c r="B27" s="7" t="s">
        <v>31</v>
      </c>
      <c r="C27" s="8">
        <v>199.0</v>
      </c>
      <c r="D27" s="8">
        <v>699.0</v>
      </c>
      <c r="E27" s="19">
        <v>0.72</v>
      </c>
      <c r="F27" s="10">
        <v>4.2</v>
      </c>
      <c r="G27" s="11">
        <v>12153.0</v>
      </c>
    </row>
    <row r="28">
      <c r="A28" s="7" t="s">
        <v>47</v>
      </c>
      <c r="B28" s="7" t="s">
        <v>37</v>
      </c>
      <c r="C28" s="8">
        <v>14999.0</v>
      </c>
      <c r="D28" s="8">
        <v>19999.0</v>
      </c>
      <c r="E28" s="19">
        <v>0.25</v>
      </c>
      <c r="F28" s="10">
        <v>4.2</v>
      </c>
      <c r="G28" s="11">
        <v>34899.0</v>
      </c>
    </row>
    <row r="29">
      <c r="A29" s="7" t="s">
        <v>48</v>
      </c>
      <c r="B29" s="7" t="s">
        <v>15</v>
      </c>
      <c r="C29" s="8">
        <v>299.0</v>
      </c>
      <c r="D29" s="8">
        <v>399.0</v>
      </c>
      <c r="E29" s="19">
        <v>0.25</v>
      </c>
      <c r="F29" s="10">
        <v>4.0</v>
      </c>
      <c r="G29" s="11">
        <v>2766.0</v>
      </c>
    </row>
    <row r="30">
      <c r="A30" s="7" t="s">
        <v>49</v>
      </c>
      <c r="B30" s="7" t="s">
        <v>15</v>
      </c>
      <c r="C30" s="8">
        <v>970.0</v>
      </c>
      <c r="D30" s="8">
        <v>1999.0</v>
      </c>
      <c r="E30" s="19">
        <v>0.51</v>
      </c>
      <c r="F30" s="10">
        <v>4.4</v>
      </c>
      <c r="G30" s="10">
        <v>184.0</v>
      </c>
    </row>
    <row r="31">
      <c r="A31" s="7" t="s">
        <v>50</v>
      </c>
      <c r="B31" s="7" t="s">
        <v>15</v>
      </c>
      <c r="C31" s="8">
        <v>299.0</v>
      </c>
      <c r="D31" s="8">
        <v>999.0</v>
      </c>
      <c r="E31" s="19">
        <v>0.7</v>
      </c>
      <c r="F31" s="10">
        <v>4.3</v>
      </c>
      <c r="G31" s="11">
        <v>20850.0</v>
      </c>
    </row>
    <row r="32">
      <c r="A32" s="7" t="s">
        <v>51</v>
      </c>
      <c r="B32" s="7" t="s">
        <v>15</v>
      </c>
      <c r="C32" s="8">
        <v>199.0</v>
      </c>
      <c r="D32" s="8">
        <v>750.0</v>
      </c>
      <c r="E32" s="19">
        <v>0.73</v>
      </c>
      <c r="F32" s="10">
        <v>4.5</v>
      </c>
      <c r="G32" s="11">
        <v>74976.0</v>
      </c>
    </row>
    <row r="33">
      <c r="A33" s="7" t="s">
        <v>52</v>
      </c>
      <c r="B33" s="7" t="s">
        <v>15</v>
      </c>
      <c r="C33" s="8">
        <v>179.0</v>
      </c>
      <c r="D33" s="8">
        <v>499.0</v>
      </c>
      <c r="E33" s="19">
        <v>0.64</v>
      </c>
      <c r="F33" s="10">
        <v>4.0</v>
      </c>
      <c r="G33" s="11">
        <v>1934.0</v>
      </c>
    </row>
    <row r="34">
      <c r="A34" s="7" t="s">
        <v>53</v>
      </c>
      <c r="B34" s="7" t="s">
        <v>15</v>
      </c>
      <c r="C34" s="8">
        <v>389.0</v>
      </c>
      <c r="D34" s="8">
        <v>1099.0</v>
      </c>
      <c r="E34" s="19">
        <v>0.65</v>
      </c>
      <c r="F34" s="10">
        <v>4.3</v>
      </c>
      <c r="G34" s="10">
        <v>974.0</v>
      </c>
    </row>
    <row r="35">
      <c r="A35" s="7" t="s">
        <v>54</v>
      </c>
      <c r="B35" s="7" t="s">
        <v>15</v>
      </c>
      <c r="C35" s="8">
        <v>599.0</v>
      </c>
      <c r="D35" s="8">
        <v>599.0</v>
      </c>
      <c r="E35" s="19">
        <v>0.0</v>
      </c>
      <c r="F35" s="10">
        <v>4.3</v>
      </c>
      <c r="G35" s="10">
        <v>355.0</v>
      </c>
    </row>
    <row r="36">
      <c r="A36" s="7" t="s">
        <v>55</v>
      </c>
      <c r="B36" s="7" t="s">
        <v>15</v>
      </c>
      <c r="C36" s="8">
        <v>199.0</v>
      </c>
      <c r="D36" s="8">
        <v>999.0</v>
      </c>
      <c r="E36" s="19">
        <v>0.8</v>
      </c>
      <c r="F36" s="10">
        <v>3.9</v>
      </c>
      <c r="G36" s="11">
        <v>1075.0</v>
      </c>
    </row>
    <row r="37">
      <c r="A37" s="7" t="s">
        <v>56</v>
      </c>
      <c r="B37" s="7" t="s">
        <v>15</v>
      </c>
      <c r="C37" s="8">
        <v>99.0</v>
      </c>
      <c r="D37" s="8">
        <v>666.66</v>
      </c>
      <c r="E37" s="19">
        <v>0.85</v>
      </c>
      <c r="F37" s="10">
        <v>3.9</v>
      </c>
      <c r="G37" s="11">
        <v>24871.0</v>
      </c>
    </row>
    <row r="38">
      <c r="A38" s="7" t="s">
        <v>57</v>
      </c>
      <c r="B38" s="7" t="s">
        <v>15</v>
      </c>
      <c r="C38" s="8">
        <v>899.0</v>
      </c>
      <c r="D38" s="8">
        <v>1900.0</v>
      </c>
      <c r="E38" s="19">
        <v>0.53</v>
      </c>
      <c r="F38" s="10">
        <v>4.4</v>
      </c>
      <c r="G38" s="11">
        <v>13552.0</v>
      </c>
    </row>
    <row r="39">
      <c r="A39" s="7" t="s">
        <v>58</v>
      </c>
      <c r="B39" s="7" t="s">
        <v>15</v>
      </c>
      <c r="C39" s="8">
        <v>199.0</v>
      </c>
      <c r="D39" s="8">
        <v>999.0</v>
      </c>
      <c r="E39" s="19">
        <v>0.8</v>
      </c>
      <c r="F39" s="10">
        <v>4.0</v>
      </c>
      <c r="G39" s="10">
        <v>576.0</v>
      </c>
    </row>
    <row r="40">
      <c r="A40" s="7" t="s">
        <v>59</v>
      </c>
      <c r="B40" s="7" t="s">
        <v>37</v>
      </c>
      <c r="C40" s="8">
        <v>32999.0</v>
      </c>
      <c r="D40" s="8">
        <v>45999.0</v>
      </c>
      <c r="E40" s="19">
        <v>0.28</v>
      </c>
      <c r="F40" s="10">
        <v>4.2</v>
      </c>
      <c r="G40" s="11">
        <v>7298.0</v>
      </c>
    </row>
    <row r="41">
      <c r="A41" s="7" t="s">
        <v>60</v>
      </c>
      <c r="B41" s="7" t="s">
        <v>15</v>
      </c>
      <c r="C41" s="8">
        <v>970.0</v>
      </c>
      <c r="D41" s="8">
        <v>1999.0</v>
      </c>
      <c r="E41" s="19">
        <v>0.51</v>
      </c>
      <c r="F41" s="10">
        <v>4.2</v>
      </c>
      <c r="G41" s="10">
        <v>462.0</v>
      </c>
    </row>
    <row r="42">
      <c r="A42" s="7" t="s">
        <v>61</v>
      </c>
      <c r="B42" s="7" t="s">
        <v>15</v>
      </c>
      <c r="C42" s="8">
        <v>209.0</v>
      </c>
      <c r="D42" s="8">
        <v>695.0</v>
      </c>
      <c r="E42" s="19">
        <v>0.7</v>
      </c>
      <c r="F42" s="10">
        <v>4.5</v>
      </c>
      <c r="G42" s="7" t="s">
        <v>62</v>
      </c>
    </row>
    <row r="43">
      <c r="A43" s="7" t="s">
        <v>63</v>
      </c>
      <c r="B43" s="7" t="s">
        <v>37</v>
      </c>
      <c r="C43" s="8">
        <v>19999.0</v>
      </c>
      <c r="D43" s="8">
        <v>34999.0</v>
      </c>
      <c r="E43" s="19">
        <v>0.43</v>
      </c>
      <c r="F43" s="10">
        <v>4.3</v>
      </c>
      <c r="G43" s="11">
        <v>27151.0</v>
      </c>
    </row>
    <row r="44">
      <c r="A44" s="7" t="s">
        <v>64</v>
      </c>
      <c r="B44" s="7" t="s">
        <v>15</v>
      </c>
      <c r="C44" s="8">
        <v>399.0</v>
      </c>
      <c r="D44" s="8">
        <v>1099.0</v>
      </c>
      <c r="E44" s="19">
        <v>0.64</v>
      </c>
      <c r="F44" s="10">
        <v>4.2</v>
      </c>
      <c r="G44" s="11">
        <v>24269.0</v>
      </c>
    </row>
    <row r="45">
      <c r="A45" s="7" t="s">
        <v>65</v>
      </c>
      <c r="B45" s="7" t="s">
        <v>25</v>
      </c>
      <c r="C45" s="8">
        <v>999.0</v>
      </c>
      <c r="D45" s="8">
        <v>1599.0</v>
      </c>
      <c r="E45" s="19">
        <v>0.38</v>
      </c>
      <c r="F45" s="10">
        <v>4.3</v>
      </c>
      <c r="G45" s="11">
        <v>12093.0</v>
      </c>
    </row>
    <row r="46">
      <c r="A46" s="7" t="s">
        <v>66</v>
      </c>
      <c r="B46" s="7" t="s">
        <v>15</v>
      </c>
      <c r="C46" s="8">
        <v>59.0</v>
      </c>
      <c r="D46" s="8">
        <v>199.0</v>
      </c>
      <c r="E46" s="19">
        <v>0.7</v>
      </c>
      <c r="F46" s="10">
        <v>4.0</v>
      </c>
      <c r="G46" s="11">
        <v>9378.0</v>
      </c>
    </row>
    <row r="47">
      <c r="A47" s="7" t="s">
        <v>67</v>
      </c>
      <c r="B47" s="7" t="s">
        <v>15</v>
      </c>
      <c r="C47" s="8">
        <v>333.0</v>
      </c>
      <c r="D47" s="8">
        <v>999.0</v>
      </c>
      <c r="E47" s="19">
        <v>0.67</v>
      </c>
      <c r="F47" s="10">
        <v>3.3</v>
      </c>
      <c r="G47" s="11">
        <v>9792.0</v>
      </c>
    </row>
    <row r="48">
      <c r="A48" s="7" t="s">
        <v>68</v>
      </c>
      <c r="B48" s="7" t="s">
        <v>25</v>
      </c>
      <c r="C48" s="8">
        <v>507.0</v>
      </c>
      <c r="D48" s="8">
        <v>1208.0</v>
      </c>
      <c r="E48" s="19">
        <v>0.58</v>
      </c>
      <c r="F48" s="10">
        <v>4.1</v>
      </c>
      <c r="G48" s="11">
        <v>8131.0</v>
      </c>
    </row>
    <row r="49">
      <c r="A49" s="7" t="s">
        <v>69</v>
      </c>
      <c r="B49" s="7" t="s">
        <v>31</v>
      </c>
      <c r="C49" s="8">
        <v>309.0</v>
      </c>
      <c r="D49" s="8">
        <v>475.0</v>
      </c>
      <c r="E49" s="19">
        <v>0.35</v>
      </c>
      <c r="F49" s="10">
        <v>4.4</v>
      </c>
      <c r="G49" s="7" t="s">
        <v>32</v>
      </c>
    </row>
    <row r="50">
      <c r="A50" s="7" t="s">
        <v>70</v>
      </c>
      <c r="B50" s="7" t="s">
        <v>71</v>
      </c>
      <c r="C50" s="8">
        <v>399.0</v>
      </c>
      <c r="D50" s="8">
        <v>999.0</v>
      </c>
      <c r="E50" s="19">
        <v>0.6</v>
      </c>
      <c r="F50" s="10">
        <v>3.6</v>
      </c>
      <c r="G50" s="10">
        <v>493.0</v>
      </c>
    </row>
    <row r="51">
      <c r="A51" s="7" t="s">
        <v>72</v>
      </c>
      <c r="B51" s="7" t="s">
        <v>15</v>
      </c>
      <c r="C51" s="8">
        <v>199.0</v>
      </c>
      <c r="D51" s="8">
        <v>395.0</v>
      </c>
      <c r="E51" s="19">
        <v>0.5</v>
      </c>
      <c r="F51" s="10">
        <v>4.2</v>
      </c>
      <c r="G51" s="11">
        <v>92595.0</v>
      </c>
    </row>
    <row r="52">
      <c r="A52" s="7" t="s">
        <v>73</v>
      </c>
      <c r="B52" s="7" t="s">
        <v>25</v>
      </c>
      <c r="C52" s="8">
        <v>1199.0</v>
      </c>
      <c r="D52" s="8">
        <v>2199.0</v>
      </c>
      <c r="E52" s="19">
        <v>0.45</v>
      </c>
      <c r="F52" s="10">
        <v>4.4</v>
      </c>
      <c r="G52" s="11">
        <v>24780.0</v>
      </c>
    </row>
    <row r="53">
      <c r="A53" s="7" t="s">
        <v>74</v>
      </c>
      <c r="B53" s="7" t="s">
        <v>15</v>
      </c>
      <c r="C53" s="8">
        <v>179.0</v>
      </c>
      <c r="D53" s="8">
        <v>500.0</v>
      </c>
      <c r="E53" s="19">
        <v>0.64</v>
      </c>
      <c r="F53" s="10">
        <v>4.2</v>
      </c>
      <c r="G53" s="11">
        <v>92595.0</v>
      </c>
    </row>
    <row r="54">
      <c r="A54" s="7" t="s">
        <v>75</v>
      </c>
      <c r="B54" s="7" t="s">
        <v>15</v>
      </c>
      <c r="C54" s="8">
        <v>799.0</v>
      </c>
      <c r="D54" s="8">
        <v>2100.0</v>
      </c>
      <c r="E54" s="19">
        <v>0.62</v>
      </c>
      <c r="F54" s="10">
        <v>4.3</v>
      </c>
      <c r="G54" s="11">
        <v>8188.0</v>
      </c>
    </row>
    <row r="55">
      <c r="A55" s="7" t="s">
        <v>76</v>
      </c>
      <c r="B55" s="7" t="s">
        <v>77</v>
      </c>
      <c r="C55" s="8">
        <v>6999.0</v>
      </c>
      <c r="D55" s="8">
        <v>12999.0</v>
      </c>
      <c r="E55" s="19">
        <v>0.46</v>
      </c>
      <c r="F55" s="10">
        <v>4.2</v>
      </c>
      <c r="G55" s="11">
        <v>4003.0</v>
      </c>
    </row>
    <row r="56">
      <c r="A56" s="7" t="s">
        <v>78</v>
      </c>
      <c r="B56" s="7" t="s">
        <v>15</v>
      </c>
      <c r="C56" s="8">
        <v>199.0</v>
      </c>
      <c r="D56" s="8">
        <v>349.0</v>
      </c>
      <c r="E56" s="19">
        <v>0.43</v>
      </c>
      <c r="F56" s="10">
        <v>4.1</v>
      </c>
      <c r="G56" s="10">
        <v>314.0</v>
      </c>
    </row>
    <row r="57">
      <c r="A57" s="7" t="s">
        <v>79</v>
      </c>
      <c r="B57" s="7" t="s">
        <v>71</v>
      </c>
      <c r="C57" s="8">
        <v>230.0</v>
      </c>
      <c r="D57" s="8">
        <v>499.0</v>
      </c>
      <c r="E57" s="19">
        <v>0.54</v>
      </c>
      <c r="F57" s="10">
        <v>3.7</v>
      </c>
      <c r="G57" s="11">
        <v>2960.0</v>
      </c>
    </row>
    <row r="58">
      <c r="A58" s="7" t="s">
        <v>80</v>
      </c>
      <c r="B58" s="7" t="s">
        <v>25</v>
      </c>
      <c r="C58" s="8">
        <v>649.0</v>
      </c>
      <c r="D58" s="8">
        <v>1399.0</v>
      </c>
      <c r="E58" s="19">
        <v>0.54</v>
      </c>
      <c r="F58" s="10">
        <v>4.2</v>
      </c>
      <c r="G58" s="7" t="s">
        <v>26</v>
      </c>
    </row>
    <row r="59">
      <c r="A59" s="7" t="s">
        <v>81</v>
      </c>
      <c r="B59" s="7" t="s">
        <v>37</v>
      </c>
      <c r="C59" s="8">
        <v>15999.0</v>
      </c>
      <c r="D59" s="8">
        <v>21999.0</v>
      </c>
      <c r="E59" s="19">
        <v>0.27</v>
      </c>
      <c r="F59" s="10">
        <v>4.2</v>
      </c>
      <c r="G59" s="11">
        <v>34899.0</v>
      </c>
    </row>
    <row r="60">
      <c r="A60" s="7" t="s">
        <v>82</v>
      </c>
      <c r="B60" s="7" t="s">
        <v>15</v>
      </c>
      <c r="C60" s="8">
        <v>348.0</v>
      </c>
      <c r="D60" s="8">
        <v>1499.0</v>
      </c>
      <c r="E60" s="19">
        <v>0.77</v>
      </c>
      <c r="F60" s="10">
        <v>4.2</v>
      </c>
      <c r="G60" s="10">
        <v>656.0</v>
      </c>
    </row>
    <row r="61">
      <c r="A61" s="7" t="s">
        <v>83</v>
      </c>
      <c r="B61" s="7" t="s">
        <v>15</v>
      </c>
      <c r="C61" s="8">
        <v>154.0</v>
      </c>
      <c r="D61" s="8">
        <v>349.0</v>
      </c>
      <c r="E61" s="19">
        <v>0.56</v>
      </c>
      <c r="F61" s="10">
        <v>4.3</v>
      </c>
      <c r="G61" s="11">
        <v>7064.0</v>
      </c>
    </row>
    <row r="62">
      <c r="A62" s="7" t="s">
        <v>84</v>
      </c>
      <c r="B62" s="7" t="s">
        <v>71</v>
      </c>
      <c r="C62" s="8">
        <v>179.0</v>
      </c>
      <c r="D62" s="8">
        <v>799.0</v>
      </c>
      <c r="E62" s="19">
        <v>0.78</v>
      </c>
      <c r="F62" s="10">
        <v>3.7</v>
      </c>
      <c r="G62" s="11">
        <v>2201.0</v>
      </c>
    </row>
    <row r="63">
      <c r="A63" s="7" t="s">
        <v>85</v>
      </c>
      <c r="B63" s="7" t="s">
        <v>37</v>
      </c>
      <c r="C63" s="8">
        <v>32990.0</v>
      </c>
      <c r="D63" s="8">
        <v>47900.0</v>
      </c>
      <c r="E63" s="19">
        <v>0.31</v>
      </c>
      <c r="F63" s="10">
        <v>4.3</v>
      </c>
      <c r="G63" s="11">
        <v>7109.0</v>
      </c>
    </row>
    <row r="64">
      <c r="A64" s="7" t="s">
        <v>86</v>
      </c>
      <c r="B64" s="7" t="s">
        <v>15</v>
      </c>
      <c r="C64" s="8">
        <v>139.0</v>
      </c>
      <c r="D64" s="8">
        <v>999.0</v>
      </c>
      <c r="E64" s="19">
        <v>0.86</v>
      </c>
      <c r="F64" s="10">
        <v>4.0</v>
      </c>
      <c r="G64" s="11">
        <v>1313.0</v>
      </c>
    </row>
    <row r="65">
      <c r="A65" s="7" t="s">
        <v>87</v>
      </c>
      <c r="B65" s="7" t="s">
        <v>15</v>
      </c>
      <c r="C65" s="8">
        <v>329.0</v>
      </c>
      <c r="D65" s="8">
        <v>845.0</v>
      </c>
      <c r="E65" s="19">
        <v>0.61</v>
      </c>
      <c r="F65" s="10">
        <v>4.2</v>
      </c>
      <c r="G65" s="11">
        <v>29746.0</v>
      </c>
    </row>
    <row r="66">
      <c r="A66" s="7" t="s">
        <v>88</v>
      </c>
      <c r="B66" s="7" t="s">
        <v>37</v>
      </c>
      <c r="C66" s="8">
        <v>13999.0</v>
      </c>
      <c r="D66" s="8">
        <v>24999.0</v>
      </c>
      <c r="E66" s="19">
        <v>0.44</v>
      </c>
      <c r="F66" s="10">
        <v>4.2</v>
      </c>
      <c r="G66" s="11">
        <v>45238.0</v>
      </c>
    </row>
    <row r="67">
      <c r="A67" s="7" t="s">
        <v>89</v>
      </c>
      <c r="B67" s="7" t="s">
        <v>31</v>
      </c>
      <c r="C67" s="8">
        <v>309.0</v>
      </c>
      <c r="D67" s="8">
        <v>1400.0</v>
      </c>
      <c r="E67" s="19">
        <v>0.78</v>
      </c>
      <c r="F67" s="10">
        <v>4.4</v>
      </c>
      <c r="G67" s="7" t="s">
        <v>32</v>
      </c>
    </row>
    <row r="68">
      <c r="A68" s="7" t="s">
        <v>90</v>
      </c>
      <c r="B68" s="7" t="s">
        <v>15</v>
      </c>
      <c r="C68" s="8">
        <v>263.0</v>
      </c>
      <c r="D68" s="8">
        <v>699.0</v>
      </c>
      <c r="E68" s="19">
        <v>0.62</v>
      </c>
      <c r="F68" s="10">
        <v>4.1</v>
      </c>
      <c r="G68" s="10">
        <v>450.0</v>
      </c>
    </row>
    <row r="69">
      <c r="A69" s="7" t="s">
        <v>91</v>
      </c>
      <c r="B69" s="7" t="s">
        <v>77</v>
      </c>
      <c r="C69" s="8">
        <v>7999.0</v>
      </c>
      <c r="D69" s="8">
        <v>14990.0</v>
      </c>
      <c r="E69" s="19">
        <v>0.47</v>
      </c>
      <c r="F69" s="10">
        <v>4.3</v>
      </c>
      <c r="G69" s="10">
        <v>457.0</v>
      </c>
    </row>
    <row r="70">
      <c r="A70" s="7" t="s">
        <v>92</v>
      </c>
      <c r="B70" s="7" t="s">
        <v>93</v>
      </c>
      <c r="C70" s="8">
        <v>1599.0</v>
      </c>
      <c r="D70" s="8">
        <v>2999.0</v>
      </c>
      <c r="E70" s="19">
        <v>0.47</v>
      </c>
      <c r="F70" s="10">
        <v>4.2</v>
      </c>
      <c r="G70" s="11">
        <v>2727.0</v>
      </c>
    </row>
    <row r="71">
      <c r="A71" s="7" t="s">
        <v>94</v>
      </c>
      <c r="B71" s="7" t="s">
        <v>15</v>
      </c>
      <c r="C71" s="8">
        <v>219.0</v>
      </c>
      <c r="D71" s="8">
        <v>700.0</v>
      </c>
      <c r="E71" s="19">
        <v>0.69</v>
      </c>
      <c r="F71" s="10">
        <v>4.3</v>
      </c>
      <c r="G71" s="11">
        <v>20053.0</v>
      </c>
    </row>
    <row r="72">
      <c r="A72" s="7" t="s">
        <v>95</v>
      </c>
      <c r="B72" s="7" t="s">
        <v>15</v>
      </c>
      <c r="C72" s="8">
        <v>349.0</v>
      </c>
      <c r="D72" s="8">
        <v>899.0</v>
      </c>
      <c r="E72" s="19">
        <v>0.61</v>
      </c>
      <c r="F72" s="10">
        <v>4.5</v>
      </c>
      <c r="G72" s="10">
        <v>149.0</v>
      </c>
    </row>
    <row r="73">
      <c r="A73" s="7" t="s">
        <v>96</v>
      </c>
      <c r="B73" s="7" t="s">
        <v>15</v>
      </c>
      <c r="C73" s="8">
        <v>349.0</v>
      </c>
      <c r="D73" s="8">
        <v>599.0</v>
      </c>
      <c r="E73" s="19">
        <v>0.42</v>
      </c>
      <c r="F73" s="10">
        <v>4.1</v>
      </c>
      <c r="G73" s="10">
        <v>210.0</v>
      </c>
    </row>
    <row r="74">
      <c r="A74" s="7" t="s">
        <v>97</v>
      </c>
      <c r="B74" s="7" t="s">
        <v>37</v>
      </c>
      <c r="C74" s="8">
        <v>26999.0</v>
      </c>
      <c r="D74" s="8">
        <v>42999.0</v>
      </c>
      <c r="E74" s="19">
        <v>0.37</v>
      </c>
      <c r="F74" s="10">
        <v>4.2</v>
      </c>
      <c r="G74" s="11">
        <v>45238.0</v>
      </c>
    </row>
    <row r="75">
      <c r="A75" s="7" t="s">
        <v>98</v>
      </c>
      <c r="B75" s="7" t="s">
        <v>15</v>
      </c>
      <c r="C75" s="8">
        <v>115.0</v>
      </c>
      <c r="D75" s="8">
        <v>499.0</v>
      </c>
      <c r="E75" s="19">
        <v>0.77</v>
      </c>
      <c r="F75" s="10">
        <v>4.0</v>
      </c>
      <c r="G75" s="11">
        <v>7732.0</v>
      </c>
    </row>
    <row r="76">
      <c r="A76" s="7" t="s">
        <v>99</v>
      </c>
      <c r="B76" s="7" t="s">
        <v>15</v>
      </c>
      <c r="C76" s="8">
        <v>399.0</v>
      </c>
      <c r="D76" s="8">
        <v>999.0</v>
      </c>
      <c r="E76" s="19">
        <v>0.6</v>
      </c>
      <c r="F76" s="10">
        <v>4.1</v>
      </c>
      <c r="G76" s="11">
        <v>1780.0</v>
      </c>
    </row>
    <row r="77">
      <c r="A77" s="7" t="s">
        <v>100</v>
      </c>
      <c r="B77" s="7" t="s">
        <v>15</v>
      </c>
      <c r="C77" s="8">
        <v>199.0</v>
      </c>
      <c r="D77" s="8">
        <v>499.0</v>
      </c>
      <c r="E77" s="19">
        <v>0.6</v>
      </c>
      <c r="F77" s="10">
        <v>4.1</v>
      </c>
      <c r="G77" s="10">
        <v>602.0</v>
      </c>
    </row>
    <row r="78">
      <c r="A78" s="7" t="s">
        <v>101</v>
      </c>
      <c r="B78" s="7" t="s">
        <v>15</v>
      </c>
      <c r="C78" s="8">
        <v>179.0</v>
      </c>
      <c r="D78" s="8">
        <v>399.0</v>
      </c>
      <c r="E78" s="19">
        <v>0.55</v>
      </c>
      <c r="F78" s="10">
        <v>4.0</v>
      </c>
      <c r="G78" s="11">
        <v>1423.0</v>
      </c>
    </row>
    <row r="79">
      <c r="A79" s="7" t="s">
        <v>102</v>
      </c>
      <c r="B79" s="7" t="s">
        <v>37</v>
      </c>
      <c r="C79" s="8">
        <v>10901.0</v>
      </c>
      <c r="D79" s="8">
        <v>30990.0</v>
      </c>
      <c r="E79" s="19">
        <v>0.65</v>
      </c>
      <c r="F79" s="10">
        <v>4.1</v>
      </c>
      <c r="G79" s="10">
        <v>398.0</v>
      </c>
    </row>
    <row r="80">
      <c r="A80" s="7" t="s">
        <v>103</v>
      </c>
      <c r="B80" s="7" t="s">
        <v>15</v>
      </c>
      <c r="C80" s="8">
        <v>209.0</v>
      </c>
      <c r="D80" s="8">
        <v>499.0</v>
      </c>
      <c r="E80" s="19">
        <v>0.58</v>
      </c>
      <c r="F80" s="10">
        <v>3.9</v>
      </c>
      <c r="G80" s="10">
        <v>536.0</v>
      </c>
    </row>
    <row r="81">
      <c r="A81" s="7" t="s">
        <v>104</v>
      </c>
      <c r="B81" s="7" t="s">
        <v>71</v>
      </c>
      <c r="C81" s="8">
        <v>1434.0</v>
      </c>
      <c r="D81" s="8">
        <v>3999.0</v>
      </c>
      <c r="E81" s="19">
        <v>0.64</v>
      </c>
      <c r="F81" s="10">
        <v>4.0</v>
      </c>
      <c r="G81" s="10">
        <v>32.0</v>
      </c>
    </row>
    <row r="82">
      <c r="A82" s="7" t="s">
        <v>105</v>
      </c>
      <c r="B82" s="7" t="s">
        <v>15</v>
      </c>
      <c r="C82" s="8">
        <v>399.0</v>
      </c>
      <c r="D82" s="8">
        <v>1099.0</v>
      </c>
      <c r="E82" s="19">
        <v>0.64</v>
      </c>
      <c r="F82" s="10">
        <v>4.2</v>
      </c>
      <c r="G82" s="11">
        <v>24269.0</v>
      </c>
    </row>
    <row r="83">
      <c r="A83" s="7" t="s">
        <v>106</v>
      </c>
      <c r="B83" s="7" t="s">
        <v>15</v>
      </c>
      <c r="C83" s="8">
        <v>139.0</v>
      </c>
      <c r="D83" s="8">
        <v>249.0</v>
      </c>
      <c r="E83" s="19">
        <v>0.44</v>
      </c>
      <c r="F83" s="10">
        <v>4.0</v>
      </c>
      <c r="G83" s="11">
        <v>9378.0</v>
      </c>
    </row>
    <row r="84">
      <c r="A84" s="7" t="s">
        <v>107</v>
      </c>
      <c r="B84" s="7" t="s">
        <v>37</v>
      </c>
      <c r="C84" s="8">
        <v>7299.0</v>
      </c>
      <c r="D84" s="8">
        <v>19125.0</v>
      </c>
      <c r="E84" s="19">
        <v>0.62</v>
      </c>
      <c r="F84" s="10">
        <v>3.4</v>
      </c>
      <c r="G84" s="10">
        <v>902.0</v>
      </c>
    </row>
    <row r="85">
      <c r="A85" s="7" t="s">
        <v>108</v>
      </c>
      <c r="B85" s="7" t="s">
        <v>15</v>
      </c>
      <c r="C85" s="8">
        <v>299.0</v>
      </c>
      <c r="D85" s="8">
        <v>799.0</v>
      </c>
      <c r="E85" s="19">
        <v>0.63</v>
      </c>
      <c r="F85" s="10">
        <v>4.4</v>
      </c>
      <c r="G85" s="11">
        <v>28791.0</v>
      </c>
    </row>
    <row r="86">
      <c r="A86" s="7" t="s">
        <v>109</v>
      </c>
      <c r="B86" s="7" t="s">
        <v>15</v>
      </c>
      <c r="C86" s="8">
        <v>325.0</v>
      </c>
      <c r="D86" s="8">
        <v>1299.0</v>
      </c>
      <c r="E86" s="19">
        <v>0.75</v>
      </c>
      <c r="F86" s="10">
        <v>4.2</v>
      </c>
      <c r="G86" s="11">
        <v>10576.0</v>
      </c>
    </row>
    <row r="87">
      <c r="A87" s="7" t="s">
        <v>110</v>
      </c>
      <c r="B87" s="7" t="s">
        <v>37</v>
      </c>
      <c r="C87" s="8">
        <v>29999.0</v>
      </c>
      <c r="D87" s="8">
        <v>39999.0</v>
      </c>
      <c r="E87" s="19">
        <v>0.25</v>
      </c>
      <c r="F87" s="10">
        <v>4.2</v>
      </c>
      <c r="G87" s="11">
        <v>7298.0</v>
      </c>
    </row>
    <row r="88">
      <c r="A88" s="7" t="s">
        <v>111</v>
      </c>
      <c r="B88" s="7" t="s">
        <v>37</v>
      </c>
      <c r="C88" s="8">
        <v>27999.0</v>
      </c>
      <c r="D88" s="8">
        <v>40990.0</v>
      </c>
      <c r="E88" s="19">
        <v>0.32</v>
      </c>
      <c r="F88" s="10">
        <v>4.3</v>
      </c>
      <c r="G88" s="11">
        <v>4703.0</v>
      </c>
    </row>
    <row r="89">
      <c r="A89" s="7" t="s">
        <v>112</v>
      </c>
      <c r="B89" s="7" t="s">
        <v>37</v>
      </c>
      <c r="C89" s="8">
        <v>30990.0</v>
      </c>
      <c r="D89" s="8">
        <v>52900.0</v>
      </c>
      <c r="E89" s="19">
        <v>0.41</v>
      </c>
      <c r="F89" s="10">
        <v>4.3</v>
      </c>
      <c r="G89" s="11">
        <v>7109.0</v>
      </c>
    </row>
    <row r="90">
      <c r="A90" s="7" t="s">
        <v>113</v>
      </c>
      <c r="B90" s="7" t="s">
        <v>15</v>
      </c>
      <c r="C90" s="8">
        <v>199.0</v>
      </c>
      <c r="D90" s="8">
        <v>999.0</v>
      </c>
      <c r="E90" s="19">
        <v>0.8</v>
      </c>
      <c r="F90" s="10">
        <v>4.5</v>
      </c>
      <c r="G90" s="10">
        <v>127.0</v>
      </c>
    </row>
    <row r="91">
      <c r="A91" s="7" t="s">
        <v>114</v>
      </c>
      <c r="B91" s="7" t="s">
        <v>15</v>
      </c>
      <c r="C91" s="8">
        <v>649.0</v>
      </c>
      <c r="D91" s="8">
        <v>1999.0</v>
      </c>
      <c r="E91" s="19">
        <v>0.68</v>
      </c>
      <c r="F91" s="10">
        <v>4.2</v>
      </c>
      <c r="G91" s="11">
        <v>24269.0</v>
      </c>
    </row>
    <row r="92">
      <c r="A92" s="7" t="s">
        <v>115</v>
      </c>
      <c r="B92" s="7" t="s">
        <v>25</v>
      </c>
      <c r="C92" s="8">
        <v>269.0</v>
      </c>
      <c r="D92" s="8">
        <v>800.0</v>
      </c>
      <c r="E92" s="19">
        <v>0.66</v>
      </c>
      <c r="F92" s="10">
        <v>3.6</v>
      </c>
      <c r="G92" s="11">
        <v>10134.0</v>
      </c>
    </row>
    <row r="93">
      <c r="A93" s="7" t="s">
        <v>116</v>
      </c>
      <c r="B93" s="7" t="s">
        <v>37</v>
      </c>
      <c r="C93" s="8">
        <v>24999.0</v>
      </c>
      <c r="D93" s="8">
        <v>31999.0</v>
      </c>
      <c r="E93" s="19">
        <v>0.22</v>
      </c>
      <c r="F93" s="10">
        <v>4.2</v>
      </c>
      <c r="G93" s="11">
        <v>34899.0</v>
      </c>
    </row>
    <row r="94">
      <c r="A94" s="7" t="s">
        <v>117</v>
      </c>
      <c r="B94" s="7" t="s">
        <v>15</v>
      </c>
      <c r="C94" s="8">
        <v>299.0</v>
      </c>
      <c r="D94" s="8">
        <v>699.0</v>
      </c>
      <c r="E94" s="19">
        <v>0.57</v>
      </c>
      <c r="F94" s="10">
        <v>4.2</v>
      </c>
      <c r="G94" s="11">
        <v>94363.0</v>
      </c>
    </row>
    <row r="95">
      <c r="A95" s="7" t="s">
        <v>118</v>
      </c>
      <c r="B95" s="7" t="s">
        <v>15</v>
      </c>
      <c r="C95" s="8">
        <v>199.0</v>
      </c>
      <c r="D95" s="8">
        <v>999.0</v>
      </c>
      <c r="E95" s="19">
        <v>0.8</v>
      </c>
      <c r="F95" s="10">
        <v>4.1</v>
      </c>
      <c r="G95" s="10">
        <v>425.0</v>
      </c>
    </row>
    <row r="96">
      <c r="A96" s="7" t="s">
        <v>119</v>
      </c>
      <c r="B96" s="7" t="s">
        <v>37</v>
      </c>
      <c r="C96" s="8">
        <v>18990.0</v>
      </c>
      <c r="D96" s="8">
        <v>40990.0</v>
      </c>
      <c r="E96" s="19">
        <v>0.54</v>
      </c>
      <c r="F96" s="10">
        <v>4.2</v>
      </c>
      <c r="G96" s="11">
        <v>6659.0</v>
      </c>
    </row>
    <row r="97">
      <c r="A97" s="7" t="s">
        <v>120</v>
      </c>
      <c r="B97" s="7" t="s">
        <v>25</v>
      </c>
      <c r="C97" s="8">
        <v>290.0</v>
      </c>
      <c r="D97" s="8">
        <v>349.0</v>
      </c>
      <c r="E97" s="19">
        <v>0.17</v>
      </c>
      <c r="F97" s="10">
        <v>3.7</v>
      </c>
      <c r="G97" s="11">
        <v>1977.0</v>
      </c>
    </row>
    <row r="98">
      <c r="A98" s="7" t="s">
        <v>121</v>
      </c>
      <c r="B98" s="7" t="s">
        <v>71</v>
      </c>
      <c r="C98" s="8">
        <v>249.0</v>
      </c>
      <c r="D98" s="8">
        <v>799.0</v>
      </c>
      <c r="E98" s="19">
        <v>0.69</v>
      </c>
      <c r="F98" s="10">
        <v>3.8</v>
      </c>
      <c r="G98" s="11">
        <v>1079.0</v>
      </c>
    </row>
    <row r="99">
      <c r="A99" s="7" t="s">
        <v>122</v>
      </c>
      <c r="B99" s="7" t="s">
        <v>15</v>
      </c>
      <c r="C99" s="8">
        <v>345.0</v>
      </c>
      <c r="D99" s="8">
        <v>999.0</v>
      </c>
      <c r="E99" s="19">
        <v>0.65</v>
      </c>
      <c r="F99" s="10">
        <v>3.7</v>
      </c>
      <c r="G99" s="11">
        <v>1097.0</v>
      </c>
    </row>
    <row r="100">
      <c r="A100" s="7" t="s">
        <v>123</v>
      </c>
      <c r="B100" s="7" t="s">
        <v>25</v>
      </c>
      <c r="C100" s="8">
        <v>1099.0</v>
      </c>
      <c r="D100" s="8">
        <v>1899.0</v>
      </c>
      <c r="E100" s="19">
        <v>0.42</v>
      </c>
      <c r="F100" s="10">
        <v>4.5</v>
      </c>
      <c r="G100" s="11">
        <v>22420.0</v>
      </c>
    </row>
    <row r="101">
      <c r="A101" s="7" t="s">
        <v>124</v>
      </c>
      <c r="B101" s="7" t="s">
        <v>15</v>
      </c>
      <c r="C101" s="8">
        <v>719.0</v>
      </c>
      <c r="D101" s="8">
        <v>1499.0</v>
      </c>
      <c r="E101" s="19">
        <v>0.52</v>
      </c>
      <c r="F101" s="10">
        <v>4.1</v>
      </c>
      <c r="G101" s="11">
        <v>1045.0</v>
      </c>
    </row>
    <row r="102">
      <c r="A102" s="7" t="s">
        <v>125</v>
      </c>
      <c r="B102" s="7" t="s">
        <v>71</v>
      </c>
      <c r="C102" s="8">
        <v>349.0</v>
      </c>
      <c r="D102" s="8">
        <v>1499.0</v>
      </c>
      <c r="E102" s="19">
        <v>0.77</v>
      </c>
      <c r="F102" s="10">
        <v>4.3</v>
      </c>
      <c r="G102" s="11">
        <v>4145.0</v>
      </c>
    </row>
    <row r="103">
      <c r="A103" s="7" t="s">
        <v>126</v>
      </c>
      <c r="B103" s="7" t="s">
        <v>15</v>
      </c>
      <c r="C103" s="8">
        <v>849.0</v>
      </c>
      <c r="D103" s="8">
        <v>1809.0</v>
      </c>
      <c r="E103" s="19">
        <v>0.53</v>
      </c>
      <c r="F103" s="10">
        <v>4.3</v>
      </c>
      <c r="G103" s="11">
        <v>6547.0</v>
      </c>
    </row>
    <row r="104">
      <c r="A104" s="7" t="s">
        <v>127</v>
      </c>
      <c r="B104" s="7" t="s">
        <v>71</v>
      </c>
      <c r="C104" s="8">
        <v>299.0</v>
      </c>
      <c r="D104" s="8">
        <v>899.0</v>
      </c>
      <c r="E104" s="19">
        <v>0.67</v>
      </c>
      <c r="F104" s="10">
        <v>4.0</v>
      </c>
      <c r="G104" s="11">
        <v>1588.0</v>
      </c>
    </row>
    <row r="105">
      <c r="A105" s="7" t="s">
        <v>128</v>
      </c>
      <c r="B105" s="7" t="s">
        <v>37</v>
      </c>
      <c r="C105" s="8">
        <v>21999.0</v>
      </c>
      <c r="D105" s="8">
        <v>29999.0</v>
      </c>
      <c r="E105" s="19">
        <v>0.27</v>
      </c>
      <c r="F105" s="10">
        <v>4.2</v>
      </c>
      <c r="G105" s="11">
        <v>32840.0</v>
      </c>
    </row>
    <row r="106">
      <c r="A106" s="7" t="s">
        <v>129</v>
      </c>
      <c r="B106" s="7" t="s">
        <v>15</v>
      </c>
      <c r="C106" s="8">
        <v>349.0</v>
      </c>
      <c r="D106" s="8">
        <v>999.0</v>
      </c>
      <c r="E106" s="19">
        <v>0.65</v>
      </c>
      <c r="F106" s="10">
        <v>4.2</v>
      </c>
      <c r="G106" s="11">
        <v>13120.0</v>
      </c>
    </row>
    <row r="107">
      <c r="A107" s="7" t="s">
        <v>130</v>
      </c>
      <c r="B107" s="7" t="s">
        <v>15</v>
      </c>
      <c r="C107" s="8">
        <v>399.0</v>
      </c>
      <c r="D107" s="8">
        <v>999.0</v>
      </c>
      <c r="E107" s="19">
        <v>0.6</v>
      </c>
      <c r="F107" s="10">
        <v>4.3</v>
      </c>
      <c r="G107" s="11">
        <v>2806.0</v>
      </c>
    </row>
    <row r="108">
      <c r="A108" s="7" t="s">
        <v>131</v>
      </c>
      <c r="B108" s="7" t="s">
        <v>15</v>
      </c>
      <c r="C108" s="8">
        <v>449.0</v>
      </c>
      <c r="D108" s="8">
        <v>1299.0</v>
      </c>
      <c r="E108" s="19">
        <v>0.65</v>
      </c>
      <c r="F108" s="10">
        <v>4.2</v>
      </c>
      <c r="G108" s="11">
        <v>24269.0</v>
      </c>
    </row>
    <row r="109">
      <c r="A109" s="7" t="s">
        <v>132</v>
      </c>
      <c r="B109" s="7" t="s">
        <v>15</v>
      </c>
      <c r="C109" s="8">
        <v>299.0</v>
      </c>
      <c r="D109" s="8">
        <v>999.0</v>
      </c>
      <c r="E109" s="19">
        <v>0.7</v>
      </c>
      <c r="F109" s="10">
        <v>4.3</v>
      </c>
      <c r="G109" s="10">
        <v>766.0</v>
      </c>
    </row>
    <row r="110">
      <c r="A110" s="7" t="s">
        <v>133</v>
      </c>
      <c r="B110" s="7" t="s">
        <v>37</v>
      </c>
      <c r="C110" s="8">
        <v>37999.0</v>
      </c>
      <c r="D110" s="8">
        <v>65000.0</v>
      </c>
      <c r="E110" s="19">
        <v>0.42</v>
      </c>
      <c r="F110" s="10">
        <v>4.3</v>
      </c>
      <c r="G110" s="11">
        <v>3587.0</v>
      </c>
    </row>
    <row r="111">
      <c r="A111" s="7" t="s">
        <v>134</v>
      </c>
      <c r="B111" s="7" t="s">
        <v>15</v>
      </c>
      <c r="C111" s="8">
        <v>99.0</v>
      </c>
      <c r="D111" s="8">
        <v>800.0</v>
      </c>
      <c r="E111" s="19">
        <v>0.88</v>
      </c>
      <c r="F111" s="10">
        <v>3.9</v>
      </c>
      <c r="G111" s="11">
        <v>24871.0</v>
      </c>
    </row>
    <row r="112">
      <c r="A112" s="7" t="s">
        <v>135</v>
      </c>
      <c r="B112" s="7" t="s">
        <v>77</v>
      </c>
      <c r="C112" s="8">
        <v>7390.0</v>
      </c>
      <c r="D112" s="8">
        <v>20000.0</v>
      </c>
      <c r="E112" s="19">
        <v>0.63</v>
      </c>
      <c r="F112" s="10">
        <v>4.1</v>
      </c>
      <c r="G112" s="11">
        <v>2581.0</v>
      </c>
    </row>
    <row r="113">
      <c r="A113" s="7" t="s">
        <v>136</v>
      </c>
      <c r="B113" s="7" t="s">
        <v>15</v>
      </c>
      <c r="C113" s="8">
        <v>273.1</v>
      </c>
      <c r="D113" s="8">
        <v>999.0</v>
      </c>
      <c r="E113" s="19">
        <v>0.73</v>
      </c>
      <c r="F113" s="10">
        <v>4.3</v>
      </c>
      <c r="G113" s="11">
        <v>20850.0</v>
      </c>
    </row>
    <row r="114">
      <c r="A114" s="7" t="s">
        <v>137</v>
      </c>
      <c r="B114" s="7" t="s">
        <v>37</v>
      </c>
      <c r="C114" s="8">
        <v>15990.0</v>
      </c>
      <c r="D114" s="8">
        <v>23990.0</v>
      </c>
      <c r="E114" s="19">
        <v>0.33</v>
      </c>
      <c r="F114" s="10">
        <v>4.3</v>
      </c>
      <c r="G114" s="11">
        <v>1035.0</v>
      </c>
    </row>
    <row r="115">
      <c r="A115" s="7" t="s">
        <v>138</v>
      </c>
      <c r="B115" s="7" t="s">
        <v>15</v>
      </c>
      <c r="C115" s="8">
        <v>399.0</v>
      </c>
      <c r="D115" s="8">
        <v>999.0</v>
      </c>
      <c r="E115" s="19">
        <v>0.6</v>
      </c>
      <c r="F115" s="10">
        <v>4.1</v>
      </c>
      <c r="G115" s="11">
        <v>1780.0</v>
      </c>
    </row>
    <row r="116">
      <c r="A116" s="7" t="s">
        <v>139</v>
      </c>
      <c r="B116" s="7" t="s">
        <v>71</v>
      </c>
      <c r="C116" s="8">
        <v>399.0</v>
      </c>
      <c r="D116" s="8">
        <v>1999.0</v>
      </c>
      <c r="E116" s="19">
        <v>0.8</v>
      </c>
      <c r="F116" s="10">
        <v>4.5</v>
      </c>
      <c r="G116" s="10">
        <v>505.0</v>
      </c>
    </row>
    <row r="117">
      <c r="A117" s="7" t="s">
        <v>140</v>
      </c>
      <c r="B117" s="7" t="s">
        <v>15</v>
      </c>
      <c r="C117" s="8">
        <v>210.0</v>
      </c>
      <c r="D117" s="8">
        <v>399.0</v>
      </c>
      <c r="E117" s="19">
        <v>0.47</v>
      </c>
      <c r="F117" s="10">
        <v>4.1</v>
      </c>
      <c r="G117" s="11">
        <v>1717.0</v>
      </c>
    </row>
    <row r="118">
      <c r="A118" s="7" t="s">
        <v>141</v>
      </c>
      <c r="B118" s="7" t="s">
        <v>71</v>
      </c>
      <c r="C118" s="8">
        <v>1299.0</v>
      </c>
      <c r="D118" s="8">
        <v>1999.0</v>
      </c>
      <c r="E118" s="19">
        <v>0.35</v>
      </c>
      <c r="F118" s="10">
        <v>3.6</v>
      </c>
      <c r="G118" s="10">
        <v>590.0</v>
      </c>
    </row>
    <row r="119">
      <c r="A119" s="7" t="s">
        <v>142</v>
      </c>
      <c r="B119" s="7" t="s">
        <v>15</v>
      </c>
      <c r="C119" s="8">
        <v>347.0</v>
      </c>
      <c r="D119" s="8">
        <v>999.0</v>
      </c>
      <c r="E119" s="19">
        <v>0.65</v>
      </c>
      <c r="F119" s="10">
        <v>3.5</v>
      </c>
      <c r="G119" s="11">
        <v>1121.0</v>
      </c>
    </row>
    <row r="120">
      <c r="A120" s="7" t="s">
        <v>143</v>
      </c>
      <c r="B120" s="7" t="s">
        <v>15</v>
      </c>
      <c r="C120" s="8">
        <v>149.0</v>
      </c>
      <c r="D120" s="8">
        <v>999.0</v>
      </c>
      <c r="E120" s="19">
        <v>0.85</v>
      </c>
      <c r="F120" s="10">
        <v>4.0</v>
      </c>
      <c r="G120" s="11">
        <v>1313.0</v>
      </c>
    </row>
    <row r="121">
      <c r="A121" s="7" t="s">
        <v>144</v>
      </c>
      <c r="B121" s="7" t="s">
        <v>15</v>
      </c>
      <c r="C121" s="8">
        <v>228.0</v>
      </c>
      <c r="D121" s="8">
        <v>899.0</v>
      </c>
      <c r="E121" s="19">
        <v>0.75</v>
      </c>
      <c r="F121" s="10">
        <v>3.8</v>
      </c>
      <c r="G121" s="10">
        <v>132.0</v>
      </c>
    </row>
    <row r="122">
      <c r="A122" s="7" t="s">
        <v>145</v>
      </c>
      <c r="B122" s="7" t="s">
        <v>15</v>
      </c>
      <c r="C122" s="8">
        <v>1599.0</v>
      </c>
      <c r="D122" s="8">
        <v>1999.0</v>
      </c>
      <c r="E122" s="19">
        <v>0.2</v>
      </c>
      <c r="F122" s="10">
        <v>4.4</v>
      </c>
      <c r="G122" s="11">
        <v>1951.0</v>
      </c>
    </row>
    <row r="123">
      <c r="A123" s="7" t="s">
        <v>146</v>
      </c>
      <c r="B123" s="7" t="s">
        <v>71</v>
      </c>
      <c r="C123" s="8">
        <v>1499.0</v>
      </c>
      <c r="D123" s="8">
        <v>3999.0</v>
      </c>
      <c r="E123" s="19">
        <v>0.63</v>
      </c>
      <c r="F123" s="10">
        <v>3.7</v>
      </c>
      <c r="G123" s="10">
        <v>37.0</v>
      </c>
    </row>
    <row r="124">
      <c r="A124" s="7" t="s">
        <v>147</v>
      </c>
      <c r="B124" s="7" t="s">
        <v>37</v>
      </c>
      <c r="C124" s="8">
        <v>8499.0</v>
      </c>
      <c r="D124" s="8">
        <v>15999.0</v>
      </c>
      <c r="E124" s="19">
        <v>0.47</v>
      </c>
      <c r="F124" s="10">
        <v>4.3</v>
      </c>
      <c r="G124" s="10">
        <v>592.0</v>
      </c>
    </row>
    <row r="125">
      <c r="A125" s="7" t="s">
        <v>148</v>
      </c>
      <c r="B125" s="7" t="s">
        <v>37</v>
      </c>
      <c r="C125" s="8">
        <v>20990.0</v>
      </c>
      <c r="D125" s="8">
        <v>44990.0</v>
      </c>
      <c r="E125" s="19">
        <v>0.53</v>
      </c>
      <c r="F125" s="10">
        <v>4.1</v>
      </c>
      <c r="G125" s="11">
        <v>1259.0</v>
      </c>
    </row>
    <row r="126">
      <c r="A126" s="7" t="s">
        <v>149</v>
      </c>
      <c r="B126" s="7" t="s">
        <v>37</v>
      </c>
      <c r="C126" s="8">
        <v>32999.0</v>
      </c>
      <c r="D126" s="8">
        <v>44999.0</v>
      </c>
      <c r="E126" s="19">
        <v>0.27</v>
      </c>
      <c r="F126" s="10">
        <v>4.2</v>
      </c>
      <c r="G126" s="11">
        <v>45238.0</v>
      </c>
    </row>
    <row r="127">
      <c r="A127" s="7" t="s">
        <v>150</v>
      </c>
      <c r="B127" s="7" t="s">
        <v>31</v>
      </c>
      <c r="C127" s="8">
        <v>799.0</v>
      </c>
      <c r="D127" s="8">
        <v>1700.0</v>
      </c>
      <c r="E127" s="19">
        <v>0.53</v>
      </c>
      <c r="F127" s="10">
        <v>4.1</v>
      </c>
      <c r="G127" s="11">
        <v>28638.0</v>
      </c>
    </row>
    <row r="128">
      <c r="A128" s="7" t="s">
        <v>151</v>
      </c>
      <c r="B128" s="7" t="s">
        <v>31</v>
      </c>
      <c r="C128" s="8">
        <v>229.0</v>
      </c>
      <c r="D128" s="8">
        <v>595.0</v>
      </c>
      <c r="E128" s="19">
        <v>0.62</v>
      </c>
      <c r="F128" s="10">
        <v>4.3</v>
      </c>
      <c r="G128" s="11">
        <v>12835.0</v>
      </c>
    </row>
    <row r="129">
      <c r="A129" s="7" t="s">
        <v>152</v>
      </c>
      <c r="B129" s="7" t="s">
        <v>37</v>
      </c>
      <c r="C129" s="8">
        <v>9999.0</v>
      </c>
      <c r="D129" s="8">
        <v>27990.0</v>
      </c>
      <c r="E129" s="19">
        <v>0.64</v>
      </c>
      <c r="F129" s="10">
        <v>4.2</v>
      </c>
      <c r="G129" s="11">
        <v>1269.0</v>
      </c>
    </row>
    <row r="130">
      <c r="A130" s="7" t="s">
        <v>153</v>
      </c>
      <c r="B130" s="7" t="s">
        <v>71</v>
      </c>
      <c r="C130" s="8">
        <v>349.0</v>
      </c>
      <c r="D130" s="8">
        <v>599.0</v>
      </c>
      <c r="E130" s="19">
        <v>0.42</v>
      </c>
      <c r="F130" s="10">
        <v>4.2</v>
      </c>
      <c r="G130" s="10">
        <v>284.0</v>
      </c>
    </row>
    <row r="131">
      <c r="A131" s="7" t="s">
        <v>154</v>
      </c>
      <c r="B131" s="7" t="s">
        <v>155</v>
      </c>
      <c r="C131" s="8">
        <v>489.0</v>
      </c>
      <c r="D131" s="8">
        <v>1200.0</v>
      </c>
      <c r="E131" s="19">
        <v>0.59</v>
      </c>
      <c r="F131" s="10">
        <v>4.4</v>
      </c>
      <c r="G131" s="11">
        <v>69538.0</v>
      </c>
    </row>
    <row r="132">
      <c r="A132" s="7" t="s">
        <v>156</v>
      </c>
      <c r="B132" s="7" t="s">
        <v>37</v>
      </c>
      <c r="C132" s="8">
        <v>23999.0</v>
      </c>
      <c r="D132" s="8">
        <v>34990.0</v>
      </c>
      <c r="E132" s="19">
        <v>0.31</v>
      </c>
      <c r="F132" s="10">
        <v>4.3</v>
      </c>
      <c r="G132" s="11">
        <v>4703.0</v>
      </c>
    </row>
    <row r="133">
      <c r="A133" s="7" t="s">
        <v>157</v>
      </c>
      <c r="B133" s="7" t="s">
        <v>15</v>
      </c>
      <c r="C133" s="8">
        <v>399.0</v>
      </c>
      <c r="D133" s="8">
        <v>999.0</v>
      </c>
      <c r="E133" s="19">
        <v>0.6</v>
      </c>
      <c r="F133" s="10">
        <v>4.3</v>
      </c>
      <c r="G133" s="11">
        <v>2806.0</v>
      </c>
    </row>
    <row r="134">
      <c r="A134" s="7" t="s">
        <v>158</v>
      </c>
      <c r="B134" s="7" t="s">
        <v>159</v>
      </c>
      <c r="C134" s="8">
        <v>349.0</v>
      </c>
      <c r="D134" s="8">
        <v>1299.0</v>
      </c>
      <c r="E134" s="19">
        <v>0.73</v>
      </c>
      <c r="F134" s="10">
        <v>4.0</v>
      </c>
      <c r="G134" s="11">
        <v>3295.0</v>
      </c>
    </row>
    <row r="135">
      <c r="A135" s="7" t="s">
        <v>160</v>
      </c>
      <c r="B135" s="7" t="s">
        <v>15</v>
      </c>
      <c r="C135" s="8">
        <v>179.0</v>
      </c>
      <c r="D135" s="8">
        <v>299.0</v>
      </c>
      <c r="E135" s="19">
        <v>0.4</v>
      </c>
      <c r="F135" s="10">
        <v>3.9</v>
      </c>
      <c r="G135" s="10">
        <v>81.0</v>
      </c>
    </row>
    <row r="136">
      <c r="A136" s="7" t="s">
        <v>161</v>
      </c>
      <c r="B136" s="7" t="s">
        <v>15</v>
      </c>
      <c r="C136" s="8">
        <v>689.0</v>
      </c>
      <c r="D136" s="8">
        <v>1500.0</v>
      </c>
      <c r="E136" s="19">
        <v>0.54</v>
      </c>
      <c r="F136" s="10">
        <v>4.2</v>
      </c>
      <c r="G136" s="11">
        <v>42301.0</v>
      </c>
    </row>
    <row r="137">
      <c r="A137" s="7" t="s">
        <v>162</v>
      </c>
      <c r="B137" s="7" t="s">
        <v>37</v>
      </c>
      <c r="C137" s="8">
        <v>30990.0</v>
      </c>
      <c r="D137" s="8">
        <v>49990.0</v>
      </c>
      <c r="E137" s="19">
        <v>0.38</v>
      </c>
      <c r="F137" s="10">
        <v>4.3</v>
      </c>
      <c r="G137" s="11">
        <v>1376.0</v>
      </c>
    </row>
    <row r="138">
      <c r="A138" s="7" t="s">
        <v>163</v>
      </c>
      <c r="B138" s="7" t="s">
        <v>15</v>
      </c>
      <c r="C138" s="8">
        <v>249.0</v>
      </c>
      <c r="D138" s="8">
        <v>931.0</v>
      </c>
      <c r="E138" s="19">
        <v>0.73</v>
      </c>
      <c r="F138" s="10">
        <v>3.9</v>
      </c>
      <c r="G138" s="11">
        <v>1075.0</v>
      </c>
    </row>
    <row r="139">
      <c r="A139" s="7" t="s">
        <v>164</v>
      </c>
      <c r="B139" s="7" t="s">
        <v>31</v>
      </c>
      <c r="C139" s="8">
        <v>999.0</v>
      </c>
      <c r="D139" s="8">
        <v>2399.0</v>
      </c>
      <c r="E139" s="19">
        <v>0.58</v>
      </c>
      <c r="F139" s="10">
        <v>4.6</v>
      </c>
      <c r="G139" s="11">
        <v>3664.0</v>
      </c>
    </row>
    <row r="140">
      <c r="A140" s="7" t="s">
        <v>165</v>
      </c>
      <c r="B140" s="7" t="s">
        <v>71</v>
      </c>
      <c r="C140" s="8">
        <v>399.0</v>
      </c>
      <c r="D140" s="8">
        <v>399.0</v>
      </c>
      <c r="E140" s="19">
        <v>0.0</v>
      </c>
      <c r="F140" s="10">
        <v>3.9</v>
      </c>
      <c r="G140" s="11">
        <v>1951.0</v>
      </c>
    </row>
    <row r="141">
      <c r="A141" s="7" t="s">
        <v>166</v>
      </c>
      <c r="B141" s="7" t="s">
        <v>15</v>
      </c>
      <c r="C141" s="8">
        <v>349.0</v>
      </c>
      <c r="D141" s="8">
        <v>699.0</v>
      </c>
      <c r="E141" s="19">
        <v>0.5</v>
      </c>
      <c r="F141" s="10">
        <v>4.3</v>
      </c>
      <c r="G141" s="11">
        <v>20850.0</v>
      </c>
    </row>
    <row r="142">
      <c r="A142" s="7" t="s">
        <v>167</v>
      </c>
      <c r="B142" s="7" t="s">
        <v>15</v>
      </c>
      <c r="C142" s="8">
        <v>399.0</v>
      </c>
      <c r="D142" s="8">
        <v>1099.0</v>
      </c>
      <c r="E142" s="19">
        <v>0.64</v>
      </c>
      <c r="F142" s="10">
        <v>4.1</v>
      </c>
      <c r="G142" s="11">
        <v>2685.0</v>
      </c>
    </row>
    <row r="143">
      <c r="A143" s="7" t="s">
        <v>168</v>
      </c>
      <c r="B143" s="7" t="s">
        <v>25</v>
      </c>
      <c r="C143" s="8">
        <v>1699.0</v>
      </c>
      <c r="D143" s="8">
        <v>2999.0</v>
      </c>
      <c r="E143" s="19">
        <v>0.43</v>
      </c>
      <c r="F143" s="10">
        <v>4.4</v>
      </c>
      <c r="G143" s="11">
        <v>24780.0</v>
      </c>
    </row>
    <row r="144">
      <c r="A144" s="7" t="s">
        <v>169</v>
      </c>
      <c r="B144" s="7" t="s">
        <v>71</v>
      </c>
      <c r="C144" s="8">
        <v>655.0</v>
      </c>
      <c r="D144" s="8">
        <v>1099.0</v>
      </c>
      <c r="E144" s="19">
        <v>0.4</v>
      </c>
      <c r="F144" s="10">
        <v>3.2</v>
      </c>
      <c r="G144" s="10">
        <v>285.0</v>
      </c>
    </row>
    <row r="145">
      <c r="A145" s="7" t="s">
        <v>170</v>
      </c>
      <c r="B145" s="7" t="s">
        <v>25</v>
      </c>
      <c r="C145" s="8">
        <v>749.0</v>
      </c>
      <c r="D145" s="8">
        <v>1339.0</v>
      </c>
      <c r="E145" s="19">
        <v>0.44</v>
      </c>
      <c r="F145" s="10">
        <v>4.2</v>
      </c>
      <c r="G145" s="7" t="s">
        <v>171</v>
      </c>
    </row>
    <row r="146">
      <c r="A146" s="7" t="s">
        <v>172</v>
      </c>
      <c r="B146" s="7" t="s">
        <v>37</v>
      </c>
      <c r="C146" s="8">
        <v>9999.0</v>
      </c>
      <c r="D146" s="8">
        <v>12999.0</v>
      </c>
      <c r="E146" s="19">
        <v>0.23</v>
      </c>
      <c r="F146" s="10">
        <v>4.2</v>
      </c>
      <c r="G146" s="11">
        <v>6088.0</v>
      </c>
    </row>
    <row r="147">
      <c r="A147" s="7" t="s">
        <v>173</v>
      </c>
      <c r="B147" s="7" t="s">
        <v>71</v>
      </c>
      <c r="C147" s="8">
        <v>195.0</v>
      </c>
      <c r="D147" s="8">
        <v>499.0</v>
      </c>
      <c r="E147" s="19">
        <v>0.61</v>
      </c>
      <c r="F147" s="10">
        <v>3.7</v>
      </c>
      <c r="G147" s="11">
        <v>1383.0</v>
      </c>
    </row>
    <row r="148">
      <c r="A148" s="7" t="s">
        <v>174</v>
      </c>
      <c r="B148" s="7" t="s">
        <v>15</v>
      </c>
      <c r="C148" s="8">
        <v>999.0</v>
      </c>
      <c r="D148" s="8">
        <v>2100.0</v>
      </c>
      <c r="E148" s="19">
        <v>0.52</v>
      </c>
      <c r="F148" s="10">
        <v>4.5</v>
      </c>
      <c r="G148" s="11">
        <v>5492.0</v>
      </c>
    </row>
    <row r="149">
      <c r="A149" s="7" t="s">
        <v>175</v>
      </c>
      <c r="B149" s="7" t="s">
        <v>15</v>
      </c>
      <c r="C149" s="8">
        <v>499.0</v>
      </c>
      <c r="D149" s="8">
        <v>899.0</v>
      </c>
      <c r="E149" s="19">
        <v>0.44</v>
      </c>
      <c r="F149" s="10">
        <v>4.2</v>
      </c>
      <c r="G149" s="10">
        <v>919.0</v>
      </c>
    </row>
    <row r="150">
      <c r="A150" s="7" t="s">
        <v>176</v>
      </c>
      <c r="B150" s="7" t="s">
        <v>177</v>
      </c>
      <c r="C150" s="8">
        <v>416.0</v>
      </c>
      <c r="D150" s="8">
        <v>599.0</v>
      </c>
      <c r="E150" s="19">
        <v>0.31</v>
      </c>
      <c r="F150" s="10">
        <v>4.2</v>
      </c>
      <c r="G150" s="11">
        <v>30023.0</v>
      </c>
    </row>
    <row r="151">
      <c r="A151" s="7" t="s">
        <v>178</v>
      </c>
      <c r="B151" s="7" t="s">
        <v>15</v>
      </c>
      <c r="C151" s="8">
        <v>368.0</v>
      </c>
      <c r="D151" s="8">
        <v>699.0</v>
      </c>
      <c r="E151" s="19">
        <v>0.47</v>
      </c>
      <c r="F151" s="10">
        <v>4.2</v>
      </c>
      <c r="G151" s="10">
        <v>387.0</v>
      </c>
    </row>
    <row r="152">
      <c r="A152" s="7" t="s">
        <v>179</v>
      </c>
      <c r="B152" s="7" t="s">
        <v>37</v>
      </c>
      <c r="C152" s="8">
        <v>29990.0</v>
      </c>
      <c r="D152" s="8">
        <v>65000.0</v>
      </c>
      <c r="E152" s="19">
        <v>0.54</v>
      </c>
      <c r="F152" s="10">
        <v>4.1</v>
      </c>
      <c r="G152" s="10">
        <v>211.0</v>
      </c>
    </row>
    <row r="153">
      <c r="A153" s="7" t="s">
        <v>180</v>
      </c>
      <c r="B153" s="7" t="s">
        <v>15</v>
      </c>
      <c r="C153" s="8">
        <v>339.0</v>
      </c>
      <c r="D153" s="8">
        <v>1099.0</v>
      </c>
      <c r="E153" s="19">
        <v>0.69</v>
      </c>
      <c r="F153" s="10">
        <v>4.3</v>
      </c>
      <c r="G153" s="10">
        <v>974.0</v>
      </c>
    </row>
    <row r="154">
      <c r="A154" s="7" t="s">
        <v>181</v>
      </c>
      <c r="B154" s="7" t="s">
        <v>37</v>
      </c>
      <c r="C154" s="8">
        <v>15490.0</v>
      </c>
      <c r="D154" s="8">
        <v>20900.0</v>
      </c>
      <c r="E154" s="19">
        <v>0.26</v>
      </c>
      <c r="F154" s="10">
        <v>4.3</v>
      </c>
      <c r="G154" s="11">
        <v>16299.0</v>
      </c>
    </row>
    <row r="155">
      <c r="A155" s="7" t="s">
        <v>182</v>
      </c>
      <c r="B155" s="7" t="s">
        <v>15</v>
      </c>
      <c r="C155" s="8">
        <v>499.0</v>
      </c>
      <c r="D155" s="8">
        <v>1299.0</v>
      </c>
      <c r="E155" s="19">
        <v>0.62</v>
      </c>
      <c r="F155" s="10">
        <v>4.3</v>
      </c>
      <c r="G155" s="11">
        <v>30411.0</v>
      </c>
    </row>
    <row r="156">
      <c r="A156" s="7" t="s">
        <v>183</v>
      </c>
      <c r="B156" s="7" t="s">
        <v>25</v>
      </c>
      <c r="C156" s="8">
        <v>249.0</v>
      </c>
      <c r="D156" s="8">
        <v>399.0</v>
      </c>
      <c r="E156" s="19">
        <v>0.38</v>
      </c>
      <c r="F156" s="10">
        <v>3.4</v>
      </c>
      <c r="G156" s="11">
        <v>4642.0</v>
      </c>
    </row>
    <row r="157">
      <c r="A157" s="7" t="s">
        <v>184</v>
      </c>
      <c r="B157" s="7" t="s">
        <v>71</v>
      </c>
      <c r="C157" s="8">
        <v>399.0</v>
      </c>
      <c r="D157" s="8">
        <v>799.0</v>
      </c>
      <c r="E157" s="19">
        <v>0.5</v>
      </c>
      <c r="F157" s="10">
        <v>4.3</v>
      </c>
      <c r="G157" s="10">
        <v>12.0</v>
      </c>
    </row>
    <row r="158">
      <c r="A158" s="7" t="s">
        <v>185</v>
      </c>
      <c r="B158" s="7" t="s">
        <v>15</v>
      </c>
      <c r="C158" s="8">
        <v>1499.0</v>
      </c>
      <c r="D158" s="8">
        <v>1999.0</v>
      </c>
      <c r="E158" s="19">
        <v>0.25</v>
      </c>
      <c r="F158" s="10">
        <v>4.4</v>
      </c>
      <c r="G158" s="11">
        <v>1951.0</v>
      </c>
    </row>
    <row r="159">
      <c r="A159" s="7" t="s">
        <v>186</v>
      </c>
      <c r="B159" s="7" t="s">
        <v>187</v>
      </c>
      <c r="C159" s="8">
        <v>9490.0</v>
      </c>
      <c r="D159" s="8">
        <v>15990.0</v>
      </c>
      <c r="E159" s="19">
        <v>0.41</v>
      </c>
      <c r="F159" s="10">
        <v>3.9</v>
      </c>
      <c r="G159" s="11">
        <v>10480.0</v>
      </c>
    </row>
    <row r="160">
      <c r="A160" s="7" t="s">
        <v>188</v>
      </c>
      <c r="B160" s="7" t="s">
        <v>31</v>
      </c>
      <c r="C160" s="8">
        <v>637.0</v>
      </c>
      <c r="D160" s="8">
        <v>1499.0</v>
      </c>
      <c r="E160" s="19">
        <v>0.58</v>
      </c>
      <c r="F160" s="10">
        <v>4.1</v>
      </c>
      <c r="G160" s="10">
        <v>24.0</v>
      </c>
    </row>
    <row r="161">
      <c r="A161" s="7" t="s">
        <v>189</v>
      </c>
      <c r="B161" s="7" t="s">
        <v>71</v>
      </c>
      <c r="C161" s="8">
        <v>399.0</v>
      </c>
      <c r="D161" s="8">
        <v>899.0</v>
      </c>
      <c r="E161" s="19">
        <v>0.56</v>
      </c>
      <c r="F161" s="10">
        <v>3.9</v>
      </c>
      <c r="G161" s="10">
        <v>254.0</v>
      </c>
    </row>
    <row r="162">
      <c r="A162" s="7" t="s">
        <v>190</v>
      </c>
      <c r="B162" s="7" t="s">
        <v>177</v>
      </c>
      <c r="C162" s="8">
        <v>1089.0</v>
      </c>
      <c r="D162" s="8">
        <v>1600.0</v>
      </c>
      <c r="E162" s="19">
        <v>0.32</v>
      </c>
      <c r="F162" s="10">
        <v>4.0</v>
      </c>
      <c r="G162" s="11">
        <v>3565.0</v>
      </c>
    </row>
    <row r="163">
      <c r="A163" s="7" t="s">
        <v>191</v>
      </c>
      <c r="B163" s="7" t="s">
        <v>15</v>
      </c>
      <c r="C163" s="8">
        <v>339.0</v>
      </c>
      <c r="D163" s="8">
        <v>999.0</v>
      </c>
      <c r="E163" s="19">
        <v>0.66</v>
      </c>
      <c r="F163" s="10">
        <v>4.3</v>
      </c>
      <c r="G163" s="11">
        <v>6255.0</v>
      </c>
    </row>
    <row r="164">
      <c r="A164" s="7" t="s">
        <v>192</v>
      </c>
      <c r="B164" s="7" t="s">
        <v>15</v>
      </c>
      <c r="C164" s="8">
        <v>149.0</v>
      </c>
      <c r="D164" s="8">
        <v>499.0</v>
      </c>
      <c r="E164" s="19">
        <v>0.7</v>
      </c>
      <c r="F164" s="10">
        <v>4.0</v>
      </c>
      <c r="G164" s="11">
        <v>7732.0</v>
      </c>
    </row>
    <row r="165">
      <c r="A165" s="7" t="s">
        <v>193</v>
      </c>
      <c r="B165" s="7" t="s">
        <v>15</v>
      </c>
      <c r="C165" s="8">
        <v>149.0</v>
      </c>
      <c r="D165" s="8">
        <v>399.0</v>
      </c>
      <c r="E165" s="19">
        <v>0.63</v>
      </c>
      <c r="F165" s="10">
        <v>3.9</v>
      </c>
      <c r="G165" s="10">
        <v>57.0</v>
      </c>
    </row>
    <row r="166">
      <c r="A166" s="7" t="s">
        <v>194</v>
      </c>
      <c r="B166" s="7" t="s">
        <v>15</v>
      </c>
      <c r="C166" s="8">
        <v>599.0</v>
      </c>
      <c r="D166" s="8">
        <v>849.0</v>
      </c>
      <c r="E166" s="19">
        <v>0.29</v>
      </c>
      <c r="F166" s="10">
        <v>4.5</v>
      </c>
      <c r="G166" s="10">
        <v>577.0</v>
      </c>
    </row>
    <row r="167">
      <c r="A167" s="7" t="s">
        <v>195</v>
      </c>
      <c r="B167" s="7" t="s">
        <v>71</v>
      </c>
      <c r="C167" s="8">
        <v>299.0</v>
      </c>
      <c r="D167" s="8">
        <v>1199.0</v>
      </c>
      <c r="E167" s="19">
        <v>0.75</v>
      </c>
      <c r="F167" s="10">
        <v>3.9</v>
      </c>
      <c r="G167" s="11">
        <v>1193.0</v>
      </c>
    </row>
    <row r="168">
      <c r="A168" s="7" t="s">
        <v>196</v>
      </c>
      <c r="B168" s="7" t="s">
        <v>15</v>
      </c>
      <c r="C168" s="8">
        <v>399.0</v>
      </c>
      <c r="D168" s="8">
        <v>1299.0</v>
      </c>
      <c r="E168" s="19">
        <v>0.69</v>
      </c>
      <c r="F168" s="10">
        <v>4.2</v>
      </c>
      <c r="G168" s="11">
        <v>13120.0</v>
      </c>
    </row>
    <row r="169">
      <c r="A169" s="7" t="s">
        <v>197</v>
      </c>
      <c r="B169" s="7" t="s">
        <v>71</v>
      </c>
      <c r="C169" s="8">
        <v>339.0</v>
      </c>
      <c r="D169" s="8">
        <v>1999.0</v>
      </c>
      <c r="E169" s="19">
        <v>0.83</v>
      </c>
      <c r="F169" s="10">
        <v>4.0</v>
      </c>
      <c r="G169" s="10">
        <v>343.0</v>
      </c>
    </row>
    <row r="170">
      <c r="A170" s="7" t="s">
        <v>198</v>
      </c>
      <c r="B170" s="7" t="s">
        <v>37</v>
      </c>
      <c r="C170" s="8">
        <v>12499.0</v>
      </c>
      <c r="D170" s="8">
        <v>22990.0</v>
      </c>
      <c r="E170" s="19">
        <v>0.46</v>
      </c>
      <c r="F170" s="10">
        <v>4.3</v>
      </c>
      <c r="G170" s="11">
        <v>1611.0</v>
      </c>
    </row>
    <row r="171">
      <c r="A171" s="7" t="s">
        <v>199</v>
      </c>
      <c r="B171" s="7" t="s">
        <v>15</v>
      </c>
      <c r="C171" s="8">
        <v>249.0</v>
      </c>
      <c r="D171" s="8">
        <v>399.0</v>
      </c>
      <c r="E171" s="19">
        <v>0.38</v>
      </c>
      <c r="F171" s="10">
        <v>4.0</v>
      </c>
      <c r="G171" s="11">
        <v>6558.0</v>
      </c>
    </row>
    <row r="172">
      <c r="A172" s="7" t="s">
        <v>200</v>
      </c>
      <c r="B172" s="7" t="s">
        <v>25</v>
      </c>
      <c r="C172" s="8">
        <v>1399.0</v>
      </c>
      <c r="D172" s="8">
        <v>2499.0</v>
      </c>
      <c r="E172" s="19">
        <v>0.44</v>
      </c>
      <c r="F172" s="10">
        <v>4.4</v>
      </c>
      <c r="G172" s="11">
        <v>23169.0</v>
      </c>
    </row>
    <row r="173">
      <c r="A173" s="7" t="s">
        <v>201</v>
      </c>
      <c r="B173" s="7" t="s">
        <v>37</v>
      </c>
      <c r="C173" s="8">
        <v>32999.0</v>
      </c>
      <c r="D173" s="8">
        <v>47990.0</v>
      </c>
      <c r="E173" s="19">
        <v>0.31</v>
      </c>
      <c r="F173" s="10">
        <v>4.3</v>
      </c>
      <c r="G173" s="11">
        <v>4703.0</v>
      </c>
    </row>
    <row r="174">
      <c r="A174" s="7" t="s">
        <v>202</v>
      </c>
      <c r="B174" s="7" t="s">
        <v>15</v>
      </c>
      <c r="C174" s="8">
        <v>149.0</v>
      </c>
      <c r="D174" s="8">
        <v>399.0</v>
      </c>
      <c r="E174" s="19">
        <v>0.63</v>
      </c>
      <c r="F174" s="10">
        <v>4.0</v>
      </c>
      <c r="G174" s="11">
        <v>1423.0</v>
      </c>
    </row>
    <row r="175">
      <c r="A175" s="7" t="s">
        <v>203</v>
      </c>
      <c r="B175" s="7" t="s">
        <v>15</v>
      </c>
      <c r="C175" s="8">
        <v>325.0</v>
      </c>
      <c r="D175" s="8">
        <v>999.0</v>
      </c>
      <c r="E175" s="19">
        <v>0.67</v>
      </c>
      <c r="F175" s="10">
        <v>4.3</v>
      </c>
      <c r="G175" s="11">
        <v>2651.0</v>
      </c>
    </row>
    <row r="176">
      <c r="A176" s="7" t="s">
        <v>204</v>
      </c>
      <c r="B176" s="7" t="s">
        <v>15</v>
      </c>
      <c r="C176" s="8">
        <v>399.0</v>
      </c>
      <c r="D176" s="8">
        <v>1999.0</v>
      </c>
      <c r="E176" s="19">
        <v>0.8</v>
      </c>
      <c r="F176" s="10">
        <v>5.0</v>
      </c>
      <c r="G176" s="10">
        <v>5.0</v>
      </c>
    </row>
    <row r="177">
      <c r="A177" s="7" t="s">
        <v>205</v>
      </c>
      <c r="B177" s="7" t="s">
        <v>25</v>
      </c>
      <c r="C177" s="8">
        <v>199.0</v>
      </c>
      <c r="D177" s="8">
        <v>499.0</v>
      </c>
      <c r="E177" s="19">
        <v>0.6</v>
      </c>
      <c r="F177" s="10">
        <v>3.7</v>
      </c>
      <c r="G177" s="10">
        <v>612.0</v>
      </c>
    </row>
    <row r="178">
      <c r="A178" s="7" t="s">
        <v>206</v>
      </c>
      <c r="B178" s="7" t="s">
        <v>15</v>
      </c>
      <c r="C178" s="8">
        <v>88.0</v>
      </c>
      <c r="D178" s="8">
        <v>299.0</v>
      </c>
      <c r="E178" s="19">
        <v>0.71</v>
      </c>
      <c r="F178" s="10">
        <v>4.0</v>
      </c>
      <c r="G178" s="11">
        <v>9378.0</v>
      </c>
    </row>
    <row r="179">
      <c r="A179" s="7" t="s">
        <v>207</v>
      </c>
      <c r="B179" s="7" t="s">
        <v>15</v>
      </c>
      <c r="C179" s="8">
        <v>399.0</v>
      </c>
      <c r="D179" s="8">
        <v>1099.0</v>
      </c>
      <c r="E179" s="19">
        <v>0.64</v>
      </c>
      <c r="F179" s="10">
        <v>4.1</v>
      </c>
      <c r="G179" s="11">
        <v>2685.0</v>
      </c>
    </row>
    <row r="180">
      <c r="A180" s="7" t="s">
        <v>208</v>
      </c>
      <c r="B180" s="7" t="s">
        <v>15</v>
      </c>
      <c r="C180" s="8">
        <v>57.89</v>
      </c>
      <c r="D180" s="8">
        <v>199.0</v>
      </c>
      <c r="E180" s="19">
        <v>0.71</v>
      </c>
      <c r="F180" s="10">
        <v>4.0</v>
      </c>
      <c r="G180" s="11">
        <v>9378.0</v>
      </c>
    </row>
    <row r="181">
      <c r="A181" s="7" t="s">
        <v>209</v>
      </c>
      <c r="B181" s="7" t="s">
        <v>71</v>
      </c>
      <c r="C181" s="8">
        <v>799.0</v>
      </c>
      <c r="D181" s="8">
        <v>1999.0</v>
      </c>
      <c r="E181" s="19">
        <v>0.6</v>
      </c>
      <c r="F181" s="10">
        <v>3.3</v>
      </c>
      <c r="G181" s="10">
        <v>576.0</v>
      </c>
    </row>
    <row r="182">
      <c r="A182" s="7" t="s">
        <v>210</v>
      </c>
      <c r="B182" s="7" t="s">
        <v>71</v>
      </c>
      <c r="C182" s="8">
        <v>205.0</v>
      </c>
      <c r="D182" s="8">
        <v>499.0</v>
      </c>
      <c r="E182" s="19">
        <v>0.59</v>
      </c>
      <c r="F182" s="10">
        <v>3.8</v>
      </c>
      <c r="G182" s="10">
        <v>313.0</v>
      </c>
    </row>
    <row r="183">
      <c r="A183" s="7" t="s">
        <v>211</v>
      </c>
      <c r="B183" s="7" t="s">
        <v>15</v>
      </c>
      <c r="C183" s="8">
        <v>299.0</v>
      </c>
      <c r="D183" s="8">
        <v>699.0</v>
      </c>
      <c r="E183" s="19">
        <v>0.57</v>
      </c>
      <c r="F183" s="10">
        <v>4.1</v>
      </c>
      <c r="G183" s="11">
        <v>2957.0</v>
      </c>
    </row>
    <row r="184">
      <c r="A184" s="7" t="s">
        <v>212</v>
      </c>
      <c r="B184" s="7" t="s">
        <v>15</v>
      </c>
      <c r="C184" s="8">
        <v>849.0</v>
      </c>
      <c r="D184" s="8">
        <v>999.0</v>
      </c>
      <c r="E184" s="19">
        <v>0.15</v>
      </c>
      <c r="F184" s="10">
        <v>4.1</v>
      </c>
      <c r="G184" s="11">
        <v>6736.0</v>
      </c>
    </row>
    <row r="185">
      <c r="A185" s="7" t="s">
        <v>213</v>
      </c>
      <c r="B185" s="7" t="s">
        <v>15</v>
      </c>
      <c r="C185" s="8">
        <v>949.0</v>
      </c>
      <c r="D185" s="8">
        <v>1999.0</v>
      </c>
      <c r="E185" s="19">
        <v>0.53</v>
      </c>
      <c r="F185" s="10">
        <v>4.4</v>
      </c>
      <c r="G185" s="11">
        <v>13552.0</v>
      </c>
    </row>
    <row r="186">
      <c r="A186" s="7" t="s">
        <v>214</v>
      </c>
      <c r="B186" s="7" t="s">
        <v>15</v>
      </c>
      <c r="C186" s="8">
        <v>499.0</v>
      </c>
      <c r="D186" s="8">
        <v>1200.0</v>
      </c>
      <c r="E186" s="19">
        <v>0.58</v>
      </c>
      <c r="F186" s="10">
        <v>4.3</v>
      </c>
      <c r="G186" s="11">
        <v>5451.0</v>
      </c>
    </row>
    <row r="187">
      <c r="A187" s="7" t="s">
        <v>215</v>
      </c>
      <c r="B187" s="7" t="s">
        <v>15</v>
      </c>
      <c r="C187" s="8">
        <v>299.0</v>
      </c>
      <c r="D187" s="8">
        <v>485.0</v>
      </c>
      <c r="E187" s="19">
        <v>0.38</v>
      </c>
      <c r="F187" s="10">
        <v>4.3</v>
      </c>
      <c r="G187" s="11">
        <v>10911.0</v>
      </c>
    </row>
    <row r="188">
      <c r="A188" s="7" t="s">
        <v>216</v>
      </c>
      <c r="B188" s="7" t="s">
        <v>15</v>
      </c>
      <c r="C188" s="8">
        <v>949.0</v>
      </c>
      <c r="D188" s="8">
        <v>1999.0</v>
      </c>
      <c r="E188" s="19">
        <v>0.53</v>
      </c>
      <c r="F188" s="10">
        <v>4.4</v>
      </c>
      <c r="G188" s="11">
        <v>13552.0</v>
      </c>
    </row>
    <row r="189">
      <c r="A189" s="7" t="s">
        <v>217</v>
      </c>
      <c r="B189" s="7" t="s">
        <v>15</v>
      </c>
      <c r="C189" s="8">
        <v>379.0</v>
      </c>
      <c r="D189" s="8">
        <v>1099.0</v>
      </c>
      <c r="E189" s="19">
        <v>0.66</v>
      </c>
      <c r="F189" s="10">
        <v>4.3</v>
      </c>
      <c r="G189" s="11">
        <v>2806.0</v>
      </c>
    </row>
    <row r="190">
      <c r="A190" s="7" t="s">
        <v>218</v>
      </c>
      <c r="B190" s="7" t="s">
        <v>37</v>
      </c>
      <c r="C190" s="8">
        <v>8990.0</v>
      </c>
      <c r="D190" s="8">
        <v>18990.0</v>
      </c>
      <c r="E190" s="19">
        <v>0.53</v>
      </c>
      <c r="F190" s="10">
        <v>3.9</v>
      </c>
      <c r="G190" s="10">
        <v>350.0</v>
      </c>
    </row>
    <row r="191">
      <c r="A191" s="7" t="s">
        <v>219</v>
      </c>
      <c r="B191" s="7" t="s">
        <v>177</v>
      </c>
      <c r="C191" s="8">
        <v>486.0</v>
      </c>
      <c r="D191" s="8">
        <v>1999.0</v>
      </c>
      <c r="E191" s="19">
        <v>0.76</v>
      </c>
      <c r="F191" s="10">
        <v>4.2</v>
      </c>
      <c r="G191" s="11">
        <v>30023.0</v>
      </c>
    </row>
    <row r="192">
      <c r="A192" s="7" t="s">
        <v>220</v>
      </c>
      <c r="B192" s="7" t="s">
        <v>77</v>
      </c>
      <c r="C192" s="8">
        <v>5699.0</v>
      </c>
      <c r="D192" s="8">
        <v>11000.0</v>
      </c>
      <c r="E192" s="19">
        <v>0.48</v>
      </c>
      <c r="F192" s="10">
        <v>4.2</v>
      </c>
      <c r="G192" s="11">
        <v>4003.0</v>
      </c>
    </row>
    <row r="193">
      <c r="A193" s="7" t="s">
        <v>221</v>
      </c>
      <c r="B193" s="7" t="s">
        <v>15</v>
      </c>
      <c r="C193" s="8">
        <v>709.0</v>
      </c>
      <c r="D193" s="8">
        <v>1999.0</v>
      </c>
      <c r="E193" s="19">
        <v>0.65</v>
      </c>
      <c r="F193" s="10">
        <v>4.1</v>
      </c>
      <c r="G193" s="7" t="s">
        <v>222</v>
      </c>
    </row>
    <row r="194">
      <c r="A194" s="7" t="s">
        <v>223</v>
      </c>
      <c r="B194" s="7" t="s">
        <v>37</v>
      </c>
      <c r="C194" s="8">
        <v>47990.0</v>
      </c>
      <c r="D194" s="8">
        <v>70900.0</v>
      </c>
      <c r="E194" s="19">
        <v>0.32</v>
      </c>
      <c r="F194" s="10">
        <v>4.3</v>
      </c>
      <c r="G194" s="11">
        <v>7109.0</v>
      </c>
    </row>
    <row r="195">
      <c r="A195" s="7" t="s">
        <v>224</v>
      </c>
      <c r="B195" s="7" t="s">
        <v>71</v>
      </c>
      <c r="C195" s="8">
        <v>299.0</v>
      </c>
      <c r="D195" s="8">
        <v>1199.0</v>
      </c>
      <c r="E195" s="19">
        <v>0.75</v>
      </c>
      <c r="F195" s="10">
        <v>3.7</v>
      </c>
      <c r="G195" s="10">
        <v>490.0</v>
      </c>
    </row>
    <row r="196">
      <c r="A196" s="7" t="s">
        <v>225</v>
      </c>
      <c r="B196" s="7" t="s">
        <v>15</v>
      </c>
      <c r="C196" s="8">
        <v>320.0</v>
      </c>
      <c r="D196" s="8">
        <v>599.0</v>
      </c>
      <c r="E196" s="19">
        <v>0.47</v>
      </c>
      <c r="F196" s="10">
        <v>4.1</v>
      </c>
      <c r="G196" s="10">
        <v>491.0</v>
      </c>
    </row>
    <row r="197">
      <c r="A197" s="7" t="s">
        <v>226</v>
      </c>
      <c r="B197" s="7" t="s">
        <v>15</v>
      </c>
      <c r="C197" s="8">
        <v>139.0</v>
      </c>
      <c r="D197" s="8">
        <v>549.0</v>
      </c>
      <c r="E197" s="19">
        <v>0.75</v>
      </c>
      <c r="F197" s="10">
        <v>3.9</v>
      </c>
      <c r="G197" s="10">
        <v>61.0</v>
      </c>
    </row>
    <row r="198">
      <c r="A198" s="7" t="s">
        <v>227</v>
      </c>
      <c r="B198" s="7" t="s">
        <v>15</v>
      </c>
      <c r="C198" s="8">
        <v>129.0</v>
      </c>
      <c r="D198" s="8">
        <v>249.0</v>
      </c>
      <c r="E198" s="19">
        <v>0.48</v>
      </c>
      <c r="F198" s="10">
        <v>4.0</v>
      </c>
      <c r="G198" s="11">
        <v>9378.0</v>
      </c>
    </row>
    <row r="199">
      <c r="A199" s="7" t="s">
        <v>228</v>
      </c>
      <c r="B199" s="7" t="s">
        <v>37</v>
      </c>
      <c r="C199" s="8">
        <v>24999.0</v>
      </c>
      <c r="D199" s="8">
        <v>35999.0</v>
      </c>
      <c r="E199" s="19">
        <v>0.31</v>
      </c>
      <c r="F199" s="10">
        <v>4.2</v>
      </c>
      <c r="G199" s="11">
        <v>32840.0</v>
      </c>
    </row>
    <row r="200">
      <c r="A200" s="7" t="s">
        <v>229</v>
      </c>
      <c r="B200" s="7" t="s">
        <v>15</v>
      </c>
      <c r="C200" s="8">
        <v>999.0</v>
      </c>
      <c r="D200" s="8">
        <v>1699.0</v>
      </c>
      <c r="E200" s="19">
        <v>0.41</v>
      </c>
      <c r="F200" s="10">
        <v>4.4</v>
      </c>
      <c r="G200" s="11">
        <v>7318.0</v>
      </c>
    </row>
    <row r="201">
      <c r="A201" s="7" t="s">
        <v>230</v>
      </c>
      <c r="B201" s="7" t="s">
        <v>15</v>
      </c>
      <c r="C201" s="8">
        <v>225.0</v>
      </c>
      <c r="D201" s="8">
        <v>499.0</v>
      </c>
      <c r="E201" s="19">
        <v>0.55</v>
      </c>
      <c r="F201" s="10">
        <v>4.1</v>
      </c>
      <c r="G201" s="10">
        <v>789.0</v>
      </c>
    </row>
    <row r="202">
      <c r="A202" s="7" t="s">
        <v>231</v>
      </c>
      <c r="B202" s="7" t="s">
        <v>71</v>
      </c>
      <c r="C202" s="8">
        <v>547.0</v>
      </c>
      <c r="D202" s="8">
        <v>2999.0</v>
      </c>
      <c r="E202" s="19">
        <v>0.82</v>
      </c>
      <c r="F202" s="10">
        <v>4.3</v>
      </c>
      <c r="G202" s="10">
        <v>407.0</v>
      </c>
    </row>
    <row r="203">
      <c r="A203" s="7" t="s">
        <v>232</v>
      </c>
      <c r="B203" s="7" t="s">
        <v>15</v>
      </c>
      <c r="C203" s="8">
        <v>259.0</v>
      </c>
      <c r="D203" s="8">
        <v>699.0</v>
      </c>
      <c r="E203" s="19">
        <v>0.63</v>
      </c>
      <c r="F203" s="10">
        <v>3.8</v>
      </c>
      <c r="G203" s="11">
        <v>2399.0</v>
      </c>
    </row>
    <row r="204">
      <c r="A204" s="7" t="s">
        <v>233</v>
      </c>
      <c r="B204" s="7" t="s">
        <v>71</v>
      </c>
      <c r="C204" s="8">
        <v>239.0</v>
      </c>
      <c r="D204" s="8">
        <v>699.0</v>
      </c>
      <c r="E204" s="19">
        <v>0.66</v>
      </c>
      <c r="F204" s="10">
        <v>4.4</v>
      </c>
      <c r="G204" s="11">
        <v>2640.0</v>
      </c>
    </row>
    <row r="205">
      <c r="A205" s="7" t="s">
        <v>234</v>
      </c>
      <c r="B205" s="7" t="s">
        <v>71</v>
      </c>
      <c r="C205" s="8">
        <v>349.0</v>
      </c>
      <c r="D205" s="8">
        <v>999.0</v>
      </c>
      <c r="E205" s="19">
        <v>0.65</v>
      </c>
      <c r="F205" s="10">
        <v>4.0</v>
      </c>
      <c r="G205" s="10">
        <v>839.0</v>
      </c>
    </row>
    <row r="206">
      <c r="A206" s="7" t="s">
        <v>235</v>
      </c>
      <c r="B206" s="7" t="s">
        <v>31</v>
      </c>
      <c r="C206" s="8">
        <v>467.0</v>
      </c>
      <c r="D206" s="8">
        <v>599.0</v>
      </c>
      <c r="E206" s="19">
        <v>0.22</v>
      </c>
      <c r="F206" s="10">
        <v>4.4</v>
      </c>
      <c r="G206" s="11">
        <v>44054.0</v>
      </c>
    </row>
    <row r="207">
      <c r="A207" s="7" t="s">
        <v>236</v>
      </c>
      <c r="B207" s="7" t="s">
        <v>15</v>
      </c>
      <c r="C207" s="8">
        <v>449.0</v>
      </c>
      <c r="D207" s="8">
        <v>599.0</v>
      </c>
      <c r="E207" s="19">
        <v>0.25</v>
      </c>
      <c r="F207" s="10">
        <v>4.0</v>
      </c>
      <c r="G207" s="11">
        <v>3231.0</v>
      </c>
    </row>
    <row r="208">
      <c r="A208" s="7" t="s">
        <v>237</v>
      </c>
      <c r="B208" s="7" t="s">
        <v>37</v>
      </c>
      <c r="C208" s="8">
        <v>11990.0</v>
      </c>
      <c r="D208" s="8">
        <v>31990.0</v>
      </c>
      <c r="E208" s="19">
        <v>0.63</v>
      </c>
      <c r="F208" s="10">
        <v>4.2</v>
      </c>
      <c r="G208" s="10">
        <v>64.0</v>
      </c>
    </row>
    <row r="209">
      <c r="A209" s="7" t="s">
        <v>238</v>
      </c>
      <c r="B209" s="7" t="s">
        <v>15</v>
      </c>
      <c r="C209" s="8">
        <v>350.0</v>
      </c>
      <c r="D209" s="8">
        <v>599.0</v>
      </c>
      <c r="E209" s="19">
        <v>0.42</v>
      </c>
      <c r="F209" s="10">
        <v>3.9</v>
      </c>
      <c r="G209" s="11">
        <v>8314.0</v>
      </c>
    </row>
    <row r="210">
      <c r="A210" s="7" t="s">
        <v>239</v>
      </c>
      <c r="B210" s="7" t="s">
        <v>15</v>
      </c>
      <c r="C210" s="8">
        <v>252.0</v>
      </c>
      <c r="D210" s="8">
        <v>999.0</v>
      </c>
      <c r="E210" s="19">
        <v>0.75</v>
      </c>
      <c r="F210" s="10">
        <v>3.7</v>
      </c>
      <c r="G210" s="11">
        <v>2249.0</v>
      </c>
    </row>
    <row r="211">
      <c r="A211" s="7" t="s">
        <v>240</v>
      </c>
      <c r="B211" s="7" t="s">
        <v>71</v>
      </c>
      <c r="C211" s="8">
        <v>204.0</v>
      </c>
      <c r="D211" s="8">
        <v>599.0</v>
      </c>
      <c r="E211" s="19">
        <v>0.66</v>
      </c>
      <c r="F211" s="10">
        <v>3.6</v>
      </c>
      <c r="G211" s="10">
        <v>339.0</v>
      </c>
    </row>
    <row r="212">
      <c r="A212" s="7" t="s">
        <v>241</v>
      </c>
      <c r="B212" s="7" t="s">
        <v>187</v>
      </c>
      <c r="C212" s="8">
        <v>6490.0</v>
      </c>
      <c r="D212" s="8">
        <v>9990.0</v>
      </c>
      <c r="E212" s="19">
        <v>0.35</v>
      </c>
      <c r="F212" s="10">
        <v>4.0</v>
      </c>
      <c r="G212" s="10">
        <v>27.0</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3">
    <mergeCell ref="I2:J3"/>
    <mergeCell ref="I4:J5"/>
    <mergeCell ref="I7:J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20" t="s">
        <v>1605</v>
      </c>
      <c r="K2" s="21">
        <f>TODAY()</f>
        <v>45611</v>
      </c>
    </row>
    <row r="3">
      <c r="A3" s="7" t="s">
        <v>17</v>
      </c>
      <c r="B3" s="7" t="s">
        <v>15</v>
      </c>
      <c r="C3" s="8">
        <v>199.0</v>
      </c>
      <c r="D3" s="8">
        <v>349.0</v>
      </c>
      <c r="E3" s="19">
        <v>0.43</v>
      </c>
      <c r="F3" s="10">
        <v>4.0</v>
      </c>
      <c r="G3" s="11">
        <v>43994.0</v>
      </c>
    </row>
    <row r="4">
      <c r="A4" s="7" t="s">
        <v>18</v>
      </c>
      <c r="B4" s="7" t="s">
        <v>15</v>
      </c>
      <c r="C4" s="8">
        <v>199.0</v>
      </c>
      <c r="D4" s="8">
        <v>1899.0</v>
      </c>
      <c r="E4" s="19">
        <v>0.9</v>
      </c>
      <c r="F4" s="10">
        <v>3.9</v>
      </c>
      <c r="G4" s="11">
        <v>7928.0</v>
      </c>
      <c r="I4" s="22"/>
    </row>
    <row r="5">
      <c r="A5" s="7" t="s">
        <v>19</v>
      </c>
      <c r="B5" s="7" t="s">
        <v>15</v>
      </c>
      <c r="C5" s="8">
        <v>329.0</v>
      </c>
      <c r="D5" s="8">
        <v>699.0</v>
      </c>
      <c r="E5" s="19">
        <v>0.53</v>
      </c>
      <c r="F5" s="10">
        <v>4.2</v>
      </c>
      <c r="G5" s="11">
        <v>94363.0</v>
      </c>
    </row>
    <row r="6">
      <c r="A6" s="7" t="s">
        <v>20</v>
      </c>
      <c r="B6" s="7" t="s">
        <v>15</v>
      </c>
      <c r="C6" s="8">
        <v>154.0</v>
      </c>
      <c r="D6" s="8">
        <v>399.0</v>
      </c>
      <c r="E6" s="19">
        <v>0.61</v>
      </c>
      <c r="F6" s="10">
        <v>4.2</v>
      </c>
      <c r="G6" s="11">
        <v>16905.0</v>
      </c>
    </row>
    <row r="7">
      <c r="A7" s="7" t="s">
        <v>21</v>
      </c>
      <c r="B7" s="7" t="s">
        <v>15</v>
      </c>
      <c r="C7" s="8">
        <v>149.0</v>
      </c>
      <c r="D7" s="8">
        <v>1000.0</v>
      </c>
      <c r="E7" s="19">
        <v>0.85</v>
      </c>
      <c r="F7" s="10">
        <v>3.9</v>
      </c>
      <c r="G7" s="11">
        <v>24871.0</v>
      </c>
    </row>
    <row r="8">
      <c r="A8" s="7" t="s">
        <v>22</v>
      </c>
      <c r="B8" s="7" t="s">
        <v>15</v>
      </c>
      <c r="C8" s="8">
        <v>176.63</v>
      </c>
      <c r="D8" s="8">
        <v>499.0</v>
      </c>
      <c r="E8" s="19">
        <v>0.65</v>
      </c>
      <c r="F8" s="10">
        <v>4.1</v>
      </c>
      <c r="G8" s="11">
        <v>15188.0</v>
      </c>
    </row>
    <row r="9">
      <c r="A9" s="7" t="s">
        <v>23</v>
      </c>
      <c r="B9" s="7" t="s">
        <v>15</v>
      </c>
      <c r="C9" s="8">
        <v>229.0</v>
      </c>
      <c r="D9" s="8">
        <v>299.0</v>
      </c>
      <c r="E9" s="19">
        <v>0.23</v>
      </c>
      <c r="F9" s="10">
        <v>4.3</v>
      </c>
      <c r="G9" s="11">
        <v>30411.0</v>
      </c>
    </row>
    <row r="10">
      <c r="A10" s="7" t="s">
        <v>24</v>
      </c>
      <c r="B10" s="7" t="s">
        <v>25</v>
      </c>
      <c r="C10" s="8">
        <v>499.0</v>
      </c>
      <c r="D10" s="8">
        <v>999.0</v>
      </c>
      <c r="E10" s="19">
        <v>0.5</v>
      </c>
      <c r="F10" s="10">
        <v>4.2</v>
      </c>
      <c r="G10" s="7" t="s">
        <v>26</v>
      </c>
    </row>
    <row r="11">
      <c r="A11" s="7" t="s">
        <v>27</v>
      </c>
      <c r="B11" s="7" t="s">
        <v>15</v>
      </c>
      <c r="C11" s="8">
        <v>199.0</v>
      </c>
      <c r="D11" s="8">
        <v>299.0</v>
      </c>
      <c r="E11" s="19">
        <v>0.33</v>
      </c>
      <c r="F11" s="10">
        <v>4.0</v>
      </c>
      <c r="G11" s="11">
        <v>43994.0</v>
      </c>
    </row>
    <row r="12">
      <c r="A12" s="7" t="s">
        <v>28</v>
      </c>
      <c r="B12" s="7" t="s">
        <v>15</v>
      </c>
      <c r="C12" s="8">
        <v>154.0</v>
      </c>
      <c r="D12" s="8">
        <v>339.0</v>
      </c>
      <c r="E12" s="19">
        <v>0.55</v>
      </c>
      <c r="F12" s="10">
        <v>4.3</v>
      </c>
      <c r="G12" s="11">
        <v>13391.0</v>
      </c>
    </row>
    <row r="13">
      <c r="A13" s="7" t="s">
        <v>29</v>
      </c>
      <c r="B13" s="7" t="s">
        <v>15</v>
      </c>
      <c r="C13" s="8">
        <v>299.0</v>
      </c>
      <c r="D13" s="8">
        <v>799.0</v>
      </c>
      <c r="E13" s="19">
        <v>0.63</v>
      </c>
      <c r="F13" s="10">
        <v>4.2</v>
      </c>
      <c r="G13" s="11">
        <v>94363.0</v>
      </c>
    </row>
    <row r="14">
      <c r="A14" s="7" t="s">
        <v>30</v>
      </c>
      <c r="B14" s="7" t="s">
        <v>31</v>
      </c>
      <c r="C14" s="8">
        <v>219.0</v>
      </c>
      <c r="D14" s="8">
        <v>700.0</v>
      </c>
      <c r="E14" s="19">
        <v>0.69</v>
      </c>
      <c r="F14" s="10">
        <v>4.4</v>
      </c>
      <c r="G14" s="7" t="s">
        <v>32</v>
      </c>
    </row>
    <row r="15">
      <c r="A15" s="7" t="s">
        <v>33</v>
      </c>
      <c r="B15" s="7" t="s">
        <v>15</v>
      </c>
      <c r="C15" s="8">
        <v>350.0</v>
      </c>
      <c r="D15" s="8">
        <v>899.0</v>
      </c>
      <c r="E15" s="19">
        <v>0.61</v>
      </c>
      <c r="F15" s="10">
        <v>4.2</v>
      </c>
      <c r="G15" s="11">
        <v>2262.0</v>
      </c>
    </row>
    <row r="16">
      <c r="A16" s="7" t="s">
        <v>34</v>
      </c>
      <c r="B16" s="7" t="s">
        <v>15</v>
      </c>
      <c r="C16" s="8">
        <v>159.0</v>
      </c>
      <c r="D16" s="8">
        <v>399.0</v>
      </c>
      <c r="E16" s="19">
        <v>0.6</v>
      </c>
      <c r="F16" s="10">
        <v>4.1</v>
      </c>
      <c r="G16" s="11">
        <v>4768.0</v>
      </c>
    </row>
    <row r="17">
      <c r="A17" s="7" t="s">
        <v>35</v>
      </c>
      <c r="B17" s="7" t="s">
        <v>15</v>
      </c>
      <c r="C17" s="8">
        <v>349.0</v>
      </c>
      <c r="D17" s="8">
        <v>399.0</v>
      </c>
      <c r="E17" s="19">
        <v>0.13</v>
      </c>
      <c r="F17" s="10">
        <v>4.4</v>
      </c>
      <c r="G17" s="11">
        <v>18757.0</v>
      </c>
    </row>
    <row r="18">
      <c r="A18" s="7" t="s">
        <v>36</v>
      </c>
      <c r="B18" s="7" t="s">
        <v>37</v>
      </c>
      <c r="C18" s="8">
        <v>13999.0</v>
      </c>
      <c r="D18" s="8">
        <v>24999.0</v>
      </c>
      <c r="E18" s="19">
        <v>0.44</v>
      </c>
      <c r="F18" s="10">
        <v>4.2</v>
      </c>
      <c r="G18" s="11">
        <v>32840.0</v>
      </c>
    </row>
    <row r="19">
      <c r="A19" s="7" t="s">
        <v>38</v>
      </c>
      <c r="B19" s="7" t="s">
        <v>15</v>
      </c>
      <c r="C19" s="8">
        <v>249.0</v>
      </c>
      <c r="D19" s="8">
        <v>399.0</v>
      </c>
      <c r="E19" s="19">
        <v>0.38</v>
      </c>
      <c r="F19" s="10">
        <v>4.0</v>
      </c>
      <c r="G19" s="11">
        <v>43994.0</v>
      </c>
    </row>
    <row r="20">
      <c r="A20" s="7" t="s">
        <v>39</v>
      </c>
      <c r="B20" s="7" t="s">
        <v>15</v>
      </c>
      <c r="C20" s="8">
        <v>199.0</v>
      </c>
      <c r="D20" s="8">
        <v>499.0</v>
      </c>
      <c r="E20" s="19">
        <v>0.6</v>
      </c>
      <c r="F20" s="10">
        <v>4.1</v>
      </c>
      <c r="G20" s="11">
        <v>13045.0</v>
      </c>
    </row>
    <row r="21">
      <c r="A21" s="7" t="s">
        <v>40</v>
      </c>
      <c r="B21" s="7" t="s">
        <v>37</v>
      </c>
      <c r="C21" s="8">
        <v>13490.0</v>
      </c>
      <c r="D21" s="8">
        <v>21990.0</v>
      </c>
      <c r="E21" s="19">
        <v>0.39</v>
      </c>
      <c r="F21" s="10">
        <v>4.3</v>
      </c>
      <c r="G21" s="11">
        <v>11976.0</v>
      </c>
    </row>
    <row r="22">
      <c r="A22" s="7" t="s">
        <v>41</v>
      </c>
      <c r="B22" s="7" t="s">
        <v>15</v>
      </c>
      <c r="C22" s="8">
        <v>970.0</v>
      </c>
      <c r="D22" s="8">
        <v>1799.0</v>
      </c>
      <c r="E22" s="19">
        <v>0.46</v>
      </c>
      <c r="F22" s="10">
        <v>4.5</v>
      </c>
      <c r="G22" s="10">
        <v>815.0</v>
      </c>
    </row>
    <row r="23">
      <c r="A23" s="7" t="s">
        <v>42</v>
      </c>
      <c r="B23" s="7" t="s">
        <v>31</v>
      </c>
      <c r="C23" s="8">
        <v>279.0</v>
      </c>
      <c r="D23" s="8">
        <v>499.0</v>
      </c>
      <c r="E23" s="19">
        <v>0.44</v>
      </c>
      <c r="F23" s="10">
        <v>3.7</v>
      </c>
      <c r="G23" s="11">
        <v>10962.0</v>
      </c>
    </row>
    <row r="24">
      <c r="A24" s="7" t="s">
        <v>43</v>
      </c>
      <c r="B24" s="7" t="s">
        <v>37</v>
      </c>
      <c r="C24" s="8">
        <v>13490.0</v>
      </c>
      <c r="D24" s="8">
        <v>22900.0</v>
      </c>
      <c r="E24" s="19">
        <v>0.41</v>
      </c>
      <c r="F24" s="10">
        <v>4.3</v>
      </c>
      <c r="G24" s="11">
        <v>16299.0</v>
      </c>
    </row>
    <row r="25">
      <c r="A25" s="7" t="s">
        <v>44</v>
      </c>
      <c r="B25" s="7" t="s">
        <v>15</v>
      </c>
      <c r="C25" s="8">
        <v>59.0</v>
      </c>
      <c r="D25" s="8">
        <v>199.0</v>
      </c>
      <c r="E25" s="19">
        <v>0.7</v>
      </c>
      <c r="F25" s="10">
        <v>4.0</v>
      </c>
      <c r="G25" s="11">
        <v>9378.0</v>
      </c>
    </row>
    <row r="26">
      <c r="A26" s="7" t="s">
        <v>45</v>
      </c>
      <c r="B26" s="7" t="s">
        <v>37</v>
      </c>
      <c r="C26" s="8">
        <v>11499.0</v>
      </c>
      <c r="D26" s="8">
        <v>19990.0</v>
      </c>
      <c r="E26" s="19">
        <v>0.42</v>
      </c>
      <c r="F26" s="10">
        <v>4.3</v>
      </c>
      <c r="G26" s="11">
        <v>4703.0</v>
      </c>
    </row>
    <row r="27">
      <c r="A27" s="7" t="s">
        <v>46</v>
      </c>
      <c r="B27" s="7" t="s">
        <v>31</v>
      </c>
      <c r="C27" s="8">
        <v>199.0</v>
      </c>
      <c r="D27" s="8">
        <v>699.0</v>
      </c>
      <c r="E27" s="19">
        <v>0.72</v>
      </c>
      <c r="F27" s="10">
        <v>4.2</v>
      </c>
      <c r="G27" s="11">
        <v>12153.0</v>
      </c>
    </row>
    <row r="28">
      <c r="A28" s="7" t="s">
        <v>47</v>
      </c>
      <c r="B28" s="7" t="s">
        <v>37</v>
      </c>
      <c r="C28" s="8">
        <v>14999.0</v>
      </c>
      <c r="D28" s="8">
        <v>19999.0</v>
      </c>
      <c r="E28" s="19">
        <v>0.25</v>
      </c>
      <c r="F28" s="10">
        <v>4.2</v>
      </c>
      <c r="G28" s="11">
        <v>34899.0</v>
      </c>
    </row>
    <row r="29">
      <c r="A29" s="7" t="s">
        <v>48</v>
      </c>
      <c r="B29" s="7" t="s">
        <v>15</v>
      </c>
      <c r="C29" s="8">
        <v>299.0</v>
      </c>
      <c r="D29" s="8">
        <v>399.0</v>
      </c>
      <c r="E29" s="19">
        <v>0.25</v>
      </c>
      <c r="F29" s="10">
        <v>4.0</v>
      </c>
      <c r="G29" s="11">
        <v>2766.0</v>
      </c>
    </row>
    <row r="30">
      <c r="A30" s="7" t="s">
        <v>49</v>
      </c>
      <c r="B30" s="7" t="s">
        <v>15</v>
      </c>
      <c r="C30" s="8">
        <v>970.0</v>
      </c>
      <c r="D30" s="8">
        <v>1999.0</v>
      </c>
      <c r="E30" s="19">
        <v>0.51</v>
      </c>
      <c r="F30" s="10">
        <v>4.4</v>
      </c>
      <c r="G30" s="10">
        <v>184.0</v>
      </c>
    </row>
    <row r="31">
      <c r="A31" s="7" t="s">
        <v>50</v>
      </c>
      <c r="B31" s="7" t="s">
        <v>15</v>
      </c>
      <c r="C31" s="8">
        <v>299.0</v>
      </c>
      <c r="D31" s="8">
        <v>999.0</v>
      </c>
      <c r="E31" s="19">
        <v>0.7</v>
      </c>
      <c r="F31" s="10">
        <v>4.3</v>
      </c>
      <c r="G31" s="11">
        <v>20850.0</v>
      </c>
    </row>
    <row r="32">
      <c r="A32" s="7" t="s">
        <v>51</v>
      </c>
      <c r="B32" s="7" t="s">
        <v>15</v>
      </c>
      <c r="C32" s="8">
        <v>199.0</v>
      </c>
      <c r="D32" s="8">
        <v>750.0</v>
      </c>
      <c r="E32" s="19">
        <v>0.73</v>
      </c>
      <c r="F32" s="10">
        <v>4.5</v>
      </c>
      <c r="G32" s="11">
        <v>74976.0</v>
      </c>
    </row>
    <row r="33">
      <c r="A33" s="7" t="s">
        <v>52</v>
      </c>
      <c r="B33" s="7" t="s">
        <v>15</v>
      </c>
      <c r="C33" s="8">
        <v>179.0</v>
      </c>
      <c r="D33" s="8">
        <v>499.0</v>
      </c>
      <c r="E33" s="19">
        <v>0.64</v>
      </c>
      <c r="F33" s="10">
        <v>4.0</v>
      </c>
      <c r="G33" s="11">
        <v>1934.0</v>
      </c>
    </row>
    <row r="34">
      <c r="A34" s="7" t="s">
        <v>53</v>
      </c>
      <c r="B34" s="7" t="s">
        <v>15</v>
      </c>
      <c r="C34" s="8">
        <v>389.0</v>
      </c>
      <c r="D34" s="8">
        <v>1099.0</v>
      </c>
      <c r="E34" s="19">
        <v>0.65</v>
      </c>
      <c r="F34" s="10">
        <v>4.3</v>
      </c>
      <c r="G34" s="10">
        <v>974.0</v>
      </c>
    </row>
    <row r="35">
      <c r="A35" s="7" t="s">
        <v>54</v>
      </c>
      <c r="B35" s="7" t="s">
        <v>15</v>
      </c>
      <c r="C35" s="8">
        <v>599.0</v>
      </c>
      <c r="D35" s="8">
        <v>599.0</v>
      </c>
      <c r="E35" s="19">
        <v>0.0</v>
      </c>
      <c r="F35" s="10">
        <v>4.3</v>
      </c>
      <c r="G35" s="10">
        <v>355.0</v>
      </c>
    </row>
    <row r="36">
      <c r="A36" s="7" t="s">
        <v>55</v>
      </c>
      <c r="B36" s="7" t="s">
        <v>15</v>
      </c>
      <c r="C36" s="8">
        <v>199.0</v>
      </c>
      <c r="D36" s="8">
        <v>999.0</v>
      </c>
      <c r="E36" s="19">
        <v>0.8</v>
      </c>
      <c r="F36" s="10">
        <v>3.9</v>
      </c>
      <c r="G36" s="11">
        <v>1075.0</v>
      </c>
    </row>
    <row r="37">
      <c r="A37" s="7" t="s">
        <v>56</v>
      </c>
      <c r="B37" s="7" t="s">
        <v>15</v>
      </c>
      <c r="C37" s="8">
        <v>99.0</v>
      </c>
      <c r="D37" s="8">
        <v>666.66</v>
      </c>
      <c r="E37" s="19">
        <v>0.85</v>
      </c>
      <c r="F37" s="10">
        <v>3.9</v>
      </c>
      <c r="G37" s="11">
        <v>24871.0</v>
      </c>
    </row>
    <row r="38">
      <c r="A38" s="7" t="s">
        <v>57</v>
      </c>
      <c r="B38" s="7" t="s">
        <v>15</v>
      </c>
      <c r="C38" s="8">
        <v>899.0</v>
      </c>
      <c r="D38" s="8">
        <v>1900.0</v>
      </c>
      <c r="E38" s="19">
        <v>0.53</v>
      </c>
      <c r="F38" s="10">
        <v>4.4</v>
      </c>
      <c r="G38" s="11">
        <v>13552.0</v>
      </c>
    </row>
    <row r="39">
      <c r="A39" s="7" t="s">
        <v>58</v>
      </c>
      <c r="B39" s="7" t="s">
        <v>15</v>
      </c>
      <c r="C39" s="8">
        <v>199.0</v>
      </c>
      <c r="D39" s="8">
        <v>999.0</v>
      </c>
      <c r="E39" s="19">
        <v>0.8</v>
      </c>
      <c r="F39" s="10">
        <v>4.0</v>
      </c>
      <c r="G39" s="10">
        <v>576.0</v>
      </c>
    </row>
    <row r="40">
      <c r="A40" s="7" t="s">
        <v>59</v>
      </c>
      <c r="B40" s="7" t="s">
        <v>37</v>
      </c>
      <c r="C40" s="8">
        <v>32999.0</v>
      </c>
      <c r="D40" s="8">
        <v>45999.0</v>
      </c>
      <c r="E40" s="19">
        <v>0.28</v>
      </c>
      <c r="F40" s="10">
        <v>4.2</v>
      </c>
      <c r="G40" s="11">
        <v>7298.0</v>
      </c>
    </row>
    <row r="41">
      <c r="A41" s="7" t="s">
        <v>60</v>
      </c>
      <c r="B41" s="7" t="s">
        <v>15</v>
      </c>
      <c r="C41" s="8">
        <v>970.0</v>
      </c>
      <c r="D41" s="8">
        <v>1999.0</v>
      </c>
      <c r="E41" s="19">
        <v>0.51</v>
      </c>
      <c r="F41" s="10">
        <v>4.2</v>
      </c>
      <c r="G41" s="10">
        <v>462.0</v>
      </c>
    </row>
    <row r="42">
      <c r="A42" s="7" t="s">
        <v>61</v>
      </c>
      <c r="B42" s="7" t="s">
        <v>15</v>
      </c>
      <c r="C42" s="8">
        <v>209.0</v>
      </c>
      <c r="D42" s="8">
        <v>695.0</v>
      </c>
      <c r="E42" s="19">
        <v>0.7</v>
      </c>
      <c r="F42" s="10">
        <v>4.5</v>
      </c>
      <c r="G42" s="7" t="s">
        <v>62</v>
      </c>
    </row>
    <row r="43">
      <c r="A43" s="7" t="s">
        <v>63</v>
      </c>
      <c r="B43" s="7" t="s">
        <v>37</v>
      </c>
      <c r="C43" s="8">
        <v>19999.0</v>
      </c>
      <c r="D43" s="8">
        <v>34999.0</v>
      </c>
      <c r="E43" s="19">
        <v>0.43</v>
      </c>
      <c r="F43" s="10">
        <v>4.3</v>
      </c>
      <c r="G43" s="11">
        <v>27151.0</v>
      </c>
    </row>
    <row r="44">
      <c r="A44" s="7" t="s">
        <v>64</v>
      </c>
      <c r="B44" s="7" t="s">
        <v>15</v>
      </c>
      <c r="C44" s="8">
        <v>399.0</v>
      </c>
      <c r="D44" s="8">
        <v>1099.0</v>
      </c>
      <c r="E44" s="19">
        <v>0.64</v>
      </c>
      <c r="F44" s="10">
        <v>4.2</v>
      </c>
      <c r="G44" s="11">
        <v>24269.0</v>
      </c>
    </row>
    <row r="45">
      <c r="A45" s="7" t="s">
        <v>65</v>
      </c>
      <c r="B45" s="7" t="s">
        <v>25</v>
      </c>
      <c r="C45" s="8">
        <v>999.0</v>
      </c>
      <c r="D45" s="8">
        <v>1599.0</v>
      </c>
      <c r="E45" s="19">
        <v>0.38</v>
      </c>
      <c r="F45" s="10">
        <v>4.3</v>
      </c>
      <c r="G45" s="11">
        <v>12093.0</v>
      </c>
    </row>
    <row r="46">
      <c r="A46" s="7" t="s">
        <v>66</v>
      </c>
      <c r="B46" s="7" t="s">
        <v>15</v>
      </c>
      <c r="C46" s="8">
        <v>59.0</v>
      </c>
      <c r="D46" s="8">
        <v>199.0</v>
      </c>
      <c r="E46" s="19">
        <v>0.7</v>
      </c>
      <c r="F46" s="10">
        <v>4.0</v>
      </c>
      <c r="G46" s="11">
        <v>9378.0</v>
      </c>
    </row>
    <row r="47">
      <c r="A47" s="7" t="s">
        <v>67</v>
      </c>
      <c r="B47" s="7" t="s">
        <v>15</v>
      </c>
      <c r="C47" s="8">
        <v>333.0</v>
      </c>
      <c r="D47" s="8">
        <v>999.0</v>
      </c>
      <c r="E47" s="19">
        <v>0.67</v>
      </c>
      <c r="F47" s="10">
        <v>3.3</v>
      </c>
      <c r="G47" s="11">
        <v>9792.0</v>
      </c>
    </row>
    <row r="48">
      <c r="A48" s="7" t="s">
        <v>68</v>
      </c>
      <c r="B48" s="7" t="s">
        <v>25</v>
      </c>
      <c r="C48" s="8">
        <v>507.0</v>
      </c>
      <c r="D48" s="8">
        <v>1208.0</v>
      </c>
      <c r="E48" s="19">
        <v>0.58</v>
      </c>
      <c r="F48" s="10">
        <v>4.1</v>
      </c>
      <c r="G48" s="11">
        <v>8131.0</v>
      </c>
    </row>
    <row r="49">
      <c r="A49" s="7" t="s">
        <v>69</v>
      </c>
      <c r="B49" s="7" t="s">
        <v>31</v>
      </c>
      <c r="C49" s="8">
        <v>309.0</v>
      </c>
      <c r="D49" s="8">
        <v>475.0</v>
      </c>
      <c r="E49" s="19">
        <v>0.35</v>
      </c>
      <c r="F49" s="10">
        <v>4.4</v>
      </c>
      <c r="G49" s="7" t="s">
        <v>32</v>
      </c>
    </row>
    <row r="50">
      <c r="A50" s="7" t="s">
        <v>70</v>
      </c>
      <c r="B50" s="7" t="s">
        <v>71</v>
      </c>
      <c r="C50" s="8">
        <v>399.0</v>
      </c>
      <c r="D50" s="8">
        <v>999.0</v>
      </c>
      <c r="E50" s="19">
        <v>0.6</v>
      </c>
      <c r="F50" s="10">
        <v>3.6</v>
      </c>
      <c r="G50" s="10">
        <v>493.0</v>
      </c>
    </row>
    <row r="51">
      <c r="A51" s="7" t="s">
        <v>72</v>
      </c>
      <c r="B51" s="7" t="s">
        <v>15</v>
      </c>
      <c r="C51" s="8">
        <v>199.0</v>
      </c>
      <c r="D51" s="8">
        <v>395.0</v>
      </c>
      <c r="E51" s="19">
        <v>0.5</v>
      </c>
      <c r="F51" s="10">
        <v>4.2</v>
      </c>
      <c r="G51" s="11">
        <v>92595.0</v>
      </c>
    </row>
    <row r="52">
      <c r="A52" s="7" t="s">
        <v>73</v>
      </c>
      <c r="B52" s="7" t="s">
        <v>25</v>
      </c>
      <c r="C52" s="8">
        <v>1199.0</v>
      </c>
      <c r="D52" s="8">
        <v>2199.0</v>
      </c>
      <c r="E52" s="19">
        <v>0.45</v>
      </c>
      <c r="F52" s="10">
        <v>4.4</v>
      </c>
      <c r="G52" s="11">
        <v>24780.0</v>
      </c>
    </row>
    <row r="53">
      <c r="A53" s="7" t="s">
        <v>74</v>
      </c>
      <c r="B53" s="7" t="s">
        <v>15</v>
      </c>
      <c r="C53" s="8">
        <v>179.0</v>
      </c>
      <c r="D53" s="8">
        <v>500.0</v>
      </c>
      <c r="E53" s="19">
        <v>0.64</v>
      </c>
      <c r="F53" s="10">
        <v>4.2</v>
      </c>
      <c r="G53" s="11">
        <v>92595.0</v>
      </c>
    </row>
    <row r="54">
      <c r="A54" s="7" t="s">
        <v>75</v>
      </c>
      <c r="B54" s="7" t="s">
        <v>15</v>
      </c>
      <c r="C54" s="8">
        <v>799.0</v>
      </c>
      <c r="D54" s="8">
        <v>2100.0</v>
      </c>
      <c r="E54" s="19">
        <v>0.62</v>
      </c>
      <c r="F54" s="10">
        <v>4.3</v>
      </c>
      <c r="G54" s="11">
        <v>8188.0</v>
      </c>
    </row>
    <row r="55">
      <c r="A55" s="7" t="s">
        <v>76</v>
      </c>
      <c r="B55" s="7" t="s">
        <v>77</v>
      </c>
      <c r="C55" s="8">
        <v>6999.0</v>
      </c>
      <c r="D55" s="8">
        <v>12999.0</v>
      </c>
      <c r="E55" s="19">
        <v>0.46</v>
      </c>
      <c r="F55" s="10">
        <v>4.2</v>
      </c>
      <c r="G55" s="11">
        <v>4003.0</v>
      </c>
    </row>
    <row r="56">
      <c r="A56" s="7" t="s">
        <v>78</v>
      </c>
      <c r="B56" s="7" t="s">
        <v>15</v>
      </c>
      <c r="C56" s="8">
        <v>199.0</v>
      </c>
      <c r="D56" s="8">
        <v>349.0</v>
      </c>
      <c r="E56" s="19">
        <v>0.43</v>
      </c>
      <c r="F56" s="10">
        <v>4.1</v>
      </c>
      <c r="G56" s="10">
        <v>314.0</v>
      </c>
    </row>
    <row r="57">
      <c r="A57" s="7" t="s">
        <v>79</v>
      </c>
      <c r="B57" s="7" t="s">
        <v>71</v>
      </c>
      <c r="C57" s="8">
        <v>230.0</v>
      </c>
      <c r="D57" s="8">
        <v>499.0</v>
      </c>
      <c r="E57" s="19">
        <v>0.54</v>
      </c>
      <c r="F57" s="10">
        <v>3.7</v>
      </c>
      <c r="G57" s="11">
        <v>2960.0</v>
      </c>
    </row>
    <row r="58">
      <c r="A58" s="7" t="s">
        <v>80</v>
      </c>
      <c r="B58" s="7" t="s">
        <v>25</v>
      </c>
      <c r="C58" s="8">
        <v>649.0</v>
      </c>
      <c r="D58" s="8">
        <v>1399.0</v>
      </c>
      <c r="E58" s="19">
        <v>0.54</v>
      </c>
      <c r="F58" s="10">
        <v>4.2</v>
      </c>
      <c r="G58" s="7" t="s">
        <v>26</v>
      </c>
    </row>
    <row r="59">
      <c r="A59" s="7" t="s">
        <v>81</v>
      </c>
      <c r="B59" s="7" t="s">
        <v>37</v>
      </c>
      <c r="C59" s="8">
        <v>15999.0</v>
      </c>
      <c r="D59" s="8">
        <v>21999.0</v>
      </c>
      <c r="E59" s="19">
        <v>0.27</v>
      </c>
      <c r="F59" s="10">
        <v>4.2</v>
      </c>
      <c r="G59" s="11">
        <v>34899.0</v>
      </c>
    </row>
    <row r="60">
      <c r="A60" s="7" t="s">
        <v>82</v>
      </c>
      <c r="B60" s="7" t="s">
        <v>15</v>
      </c>
      <c r="C60" s="8">
        <v>348.0</v>
      </c>
      <c r="D60" s="8">
        <v>1499.0</v>
      </c>
      <c r="E60" s="19">
        <v>0.77</v>
      </c>
      <c r="F60" s="10">
        <v>4.2</v>
      </c>
      <c r="G60" s="10">
        <v>656.0</v>
      </c>
    </row>
    <row r="61">
      <c r="A61" s="7" t="s">
        <v>83</v>
      </c>
      <c r="B61" s="7" t="s">
        <v>15</v>
      </c>
      <c r="C61" s="8">
        <v>154.0</v>
      </c>
      <c r="D61" s="8">
        <v>349.0</v>
      </c>
      <c r="E61" s="19">
        <v>0.56</v>
      </c>
      <c r="F61" s="10">
        <v>4.3</v>
      </c>
      <c r="G61" s="11">
        <v>7064.0</v>
      </c>
    </row>
    <row r="62">
      <c r="A62" s="7" t="s">
        <v>84</v>
      </c>
      <c r="B62" s="7" t="s">
        <v>71</v>
      </c>
      <c r="C62" s="8">
        <v>179.0</v>
      </c>
      <c r="D62" s="8">
        <v>799.0</v>
      </c>
      <c r="E62" s="19">
        <v>0.78</v>
      </c>
      <c r="F62" s="10">
        <v>3.7</v>
      </c>
      <c r="G62" s="11">
        <v>2201.0</v>
      </c>
    </row>
    <row r="63">
      <c r="A63" s="7" t="s">
        <v>85</v>
      </c>
      <c r="B63" s="7" t="s">
        <v>37</v>
      </c>
      <c r="C63" s="8">
        <v>32990.0</v>
      </c>
      <c r="D63" s="8">
        <v>47900.0</v>
      </c>
      <c r="E63" s="19">
        <v>0.31</v>
      </c>
      <c r="F63" s="10">
        <v>4.3</v>
      </c>
      <c r="G63" s="11">
        <v>7109.0</v>
      </c>
    </row>
    <row r="64">
      <c r="A64" s="7" t="s">
        <v>86</v>
      </c>
      <c r="B64" s="7" t="s">
        <v>15</v>
      </c>
      <c r="C64" s="8">
        <v>139.0</v>
      </c>
      <c r="D64" s="8">
        <v>999.0</v>
      </c>
      <c r="E64" s="19">
        <v>0.86</v>
      </c>
      <c r="F64" s="10">
        <v>4.0</v>
      </c>
      <c r="G64" s="11">
        <v>1313.0</v>
      </c>
    </row>
    <row r="65">
      <c r="A65" s="7" t="s">
        <v>87</v>
      </c>
      <c r="B65" s="7" t="s">
        <v>15</v>
      </c>
      <c r="C65" s="8">
        <v>329.0</v>
      </c>
      <c r="D65" s="8">
        <v>845.0</v>
      </c>
      <c r="E65" s="19">
        <v>0.61</v>
      </c>
      <c r="F65" s="10">
        <v>4.2</v>
      </c>
      <c r="G65" s="11">
        <v>29746.0</v>
      </c>
    </row>
    <row r="66">
      <c r="A66" s="7" t="s">
        <v>88</v>
      </c>
      <c r="B66" s="7" t="s">
        <v>37</v>
      </c>
      <c r="C66" s="8">
        <v>13999.0</v>
      </c>
      <c r="D66" s="8">
        <v>24999.0</v>
      </c>
      <c r="E66" s="19">
        <v>0.44</v>
      </c>
      <c r="F66" s="10">
        <v>4.2</v>
      </c>
      <c r="G66" s="11">
        <v>45238.0</v>
      </c>
    </row>
    <row r="67">
      <c r="A67" s="7" t="s">
        <v>89</v>
      </c>
      <c r="B67" s="7" t="s">
        <v>31</v>
      </c>
      <c r="C67" s="8">
        <v>309.0</v>
      </c>
      <c r="D67" s="8">
        <v>1400.0</v>
      </c>
      <c r="E67" s="19">
        <v>0.78</v>
      </c>
      <c r="F67" s="10">
        <v>4.4</v>
      </c>
      <c r="G67" s="7" t="s">
        <v>32</v>
      </c>
    </row>
    <row r="68">
      <c r="A68" s="7" t="s">
        <v>90</v>
      </c>
      <c r="B68" s="7" t="s">
        <v>15</v>
      </c>
      <c r="C68" s="8">
        <v>263.0</v>
      </c>
      <c r="D68" s="8">
        <v>699.0</v>
      </c>
      <c r="E68" s="19">
        <v>0.62</v>
      </c>
      <c r="F68" s="10">
        <v>4.1</v>
      </c>
      <c r="G68" s="10">
        <v>450.0</v>
      </c>
    </row>
    <row r="69">
      <c r="A69" s="7" t="s">
        <v>91</v>
      </c>
      <c r="B69" s="7" t="s">
        <v>77</v>
      </c>
      <c r="C69" s="8">
        <v>7999.0</v>
      </c>
      <c r="D69" s="8">
        <v>14990.0</v>
      </c>
      <c r="E69" s="19">
        <v>0.47</v>
      </c>
      <c r="F69" s="10">
        <v>4.3</v>
      </c>
      <c r="G69" s="10">
        <v>457.0</v>
      </c>
    </row>
    <row r="70">
      <c r="A70" s="7" t="s">
        <v>92</v>
      </c>
      <c r="B70" s="7" t="s">
        <v>93</v>
      </c>
      <c r="C70" s="8">
        <v>1599.0</v>
      </c>
      <c r="D70" s="8">
        <v>2999.0</v>
      </c>
      <c r="E70" s="19">
        <v>0.47</v>
      </c>
      <c r="F70" s="10">
        <v>4.2</v>
      </c>
      <c r="G70" s="11">
        <v>2727.0</v>
      </c>
    </row>
    <row r="71">
      <c r="A71" s="7" t="s">
        <v>94</v>
      </c>
      <c r="B71" s="7" t="s">
        <v>15</v>
      </c>
      <c r="C71" s="8">
        <v>219.0</v>
      </c>
      <c r="D71" s="8">
        <v>700.0</v>
      </c>
      <c r="E71" s="19">
        <v>0.69</v>
      </c>
      <c r="F71" s="10">
        <v>4.3</v>
      </c>
      <c r="G71" s="11">
        <v>20053.0</v>
      </c>
    </row>
    <row r="72">
      <c r="A72" s="7" t="s">
        <v>95</v>
      </c>
      <c r="B72" s="7" t="s">
        <v>15</v>
      </c>
      <c r="C72" s="8">
        <v>349.0</v>
      </c>
      <c r="D72" s="8">
        <v>899.0</v>
      </c>
      <c r="E72" s="19">
        <v>0.61</v>
      </c>
      <c r="F72" s="10">
        <v>4.5</v>
      </c>
      <c r="G72" s="10">
        <v>149.0</v>
      </c>
    </row>
    <row r="73">
      <c r="A73" s="7" t="s">
        <v>96</v>
      </c>
      <c r="B73" s="7" t="s">
        <v>15</v>
      </c>
      <c r="C73" s="8">
        <v>349.0</v>
      </c>
      <c r="D73" s="8">
        <v>599.0</v>
      </c>
      <c r="E73" s="19">
        <v>0.42</v>
      </c>
      <c r="F73" s="10">
        <v>4.1</v>
      </c>
      <c r="G73" s="10">
        <v>210.0</v>
      </c>
    </row>
    <row r="74">
      <c r="A74" s="7" t="s">
        <v>97</v>
      </c>
      <c r="B74" s="7" t="s">
        <v>37</v>
      </c>
      <c r="C74" s="8">
        <v>26999.0</v>
      </c>
      <c r="D74" s="8">
        <v>42999.0</v>
      </c>
      <c r="E74" s="19">
        <v>0.37</v>
      </c>
      <c r="F74" s="10">
        <v>4.2</v>
      </c>
      <c r="G74" s="11">
        <v>45238.0</v>
      </c>
    </row>
    <row r="75">
      <c r="A75" s="7" t="s">
        <v>98</v>
      </c>
      <c r="B75" s="7" t="s">
        <v>15</v>
      </c>
      <c r="C75" s="8">
        <v>115.0</v>
      </c>
      <c r="D75" s="8">
        <v>499.0</v>
      </c>
      <c r="E75" s="19">
        <v>0.77</v>
      </c>
      <c r="F75" s="10">
        <v>4.0</v>
      </c>
      <c r="G75" s="11">
        <v>7732.0</v>
      </c>
    </row>
    <row r="76">
      <c r="A76" s="7" t="s">
        <v>99</v>
      </c>
      <c r="B76" s="7" t="s">
        <v>15</v>
      </c>
      <c r="C76" s="8">
        <v>399.0</v>
      </c>
      <c r="D76" s="8">
        <v>999.0</v>
      </c>
      <c r="E76" s="19">
        <v>0.6</v>
      </c>
      <c r="F76" s="10">
        <v>4.1</v>
      </c>
      <c r="G76" s="11">
        <v>1780.0</v>
      </c>
    </row>
    <row r="77">
      <c r="A77" s="7" t="s">
        <v>100</v>
      </c>
      <c r="B77" s="7" t="s">
        <v>15</v>
      </c>
      <c r="C77" s="8">
        <v>199.0</v>
      </c>
      <c r="D77" s="8">
        <v>499.0</v>
      </c>
      <c r="E77" s="19">
        <v>0.6</v>
      </c>
      <c r="F77" s="10">
        <v>4.1</v>
      </c>
      <c r="G77" s="10">
        <v>602.0</v>
      </c>
    </row>
    <row r="78">
      <c r="A78" s="7" t="s">
        <v>101</v>
      </c>
      <c r="B78" s="7" t="s">
        <v>15</v>
      </c>
      <c r="C78" s="8">
        <v>179.0</v>
      </c>
      <c r="D78" s="8">
        <v>399.0</v>
      </c>
      <c r="E78" s="19">
        <v>0.55</v>
      </c>
      <c r="F78" s="10">
        <v>4.0</v>
      </c>
      <c r="G78" s="11">
        <v>1423.0</v>
      </c>
    </row>
    <row r="79">
      <c r="A79" s="7" t="s">
        <v>102</v>
      </c>
      <c r="B79" s="7" t="s">
        <v>37</v>
      </c>
      <c r="C79" s="8">
        <v>10901.0</v>
      </c>
      <c r="D79" s="8">
        <v>30990.0</v>
      </c>
      <c r="E79" s="19">
        <v>0.65</v>
      </c>
      <c r="F79" s="10">
        <v>4.1</v>
      </c>
      <c r="G79" s="10">
        <v>398.0</v>
      </c>
    </row>
    <row r="80">
      <c r="A80" s="7" t="s">
        <v>103</v>
      </c>
      <c r="B80" s="7" t="s">
        <v>15</v>
      </c>
      <c r="C80" s="8">
        <v>209.0</v>
      </c>
      <c r="D80" s="8">
        <v>499.0</v>
      </c>
      <c r="E80" s="19">
        <v>0.58</v>
      </c>
      <c r="F80" s="10">
        <v>3.9</v>
      </c>
      <c r="G80" s="10">
        <v>536.0</v>
      </c>
    </row>
    <row r="81">
      <c r="A81" s="7" t="s">
        <v>104</v>
      </c>
      <c r="B81" s="7" t="s">
        <v>71</v>
      </c>
      <c r="C81" s="8">
        <v>1434.0</v>
      </c>
      <c r="D81" s="8">
        <v>3999.0</v>
      </c>
      <c r="E81" s="19">
        <v>0.64</v>
      </c>
      <c r="F81" s="10">
        <v>4.0</v>
      </c>
      <c r="G81" s="10">
        <v>32.0</v>
      </c>
    </row>
    <row r="82">
      <c r="A82" s="7" t="s">
        <v>105</v>
      </c>
      <c r="B82" s="7" t="s">
        <v>15</v>
      </c>
      <c r="C82" s="8">
        <v>399.0</v>
      </c>
      <c r="D82" s="8">
        <v>1099.0</v>
      </c>
      <c r="E82" s="19">
        <v>0.64</v>
      </c>
      <c r="F82" s="10">
        <v>4.2</v>
      </c>
      <c r="G82" s="11">
        <v>24269.0</v>
      </c>
    </row>
    <row r="83">
      <c r="A83" s="7" t="s">
        <v>106</v>
      </c>
      <c r="B83" s="7" t="s">
        <v>15</v>
      </c>
      <c r="C83" s="8">
        <v>139.0</v>
      </c>
      <c r="D83" s="8">
        <v>249.0</v>
      </c>
      <c r="E83" s="19">
        <v>0.44</v>
      </c>
      <c r="F83" s="10">
        <v>4.0</v>
      </c>
      <c r="G83" s="11">
        <v>9378.0</v>
      </c>
    </row>
    <row r="84">
      <c r="A84" s="7" t="s">
        <v>107</v>
      </c>
      <c r="B84" s="7" t="s">
        <v>37</v>
      </c>
      <c r="C84" s="8">
        <v>7299.0</v>
      </c>
      <c r="D84" s="8">
        <v>19125.0</v>
      </c>
      <c r="E84" s="19">
        <v>0.62</v>
      </c>
      <c r="F84" s="10">
        <v>3.4</v>
      </c>
      <c r="G84" s="10">
        <v>902.0</v>
      </c>
    </row>
    <row r="85">
      <c r="A85" s="7" t="s">
        <v>108</v>
      </c>
      <c r="B85" s="7" t="s">
        <v>15</v>
      </c>
      <c r="C85" s="8">
        <v>299.0</v>
      </c>
      <c r="D85" s="8">
        <v>799.0</v>
      </c>
      <c r="E85" s="19">
        <v>0.63</v>
      </c>
      <c r="F85" s="10">
        <v>4.4</v>
      </c>
      <c r="G85" s="11">
        <v>28791.0</v>
      </c>
    </row>
    <row r="86">
      <c r="A86" s="7" t="s">
        <v>109</v>
      </c>
      <c r="B86" s="7" t="s">
        <v>15</v>
      </c>
      <c r="C86" s="8">
        <v>325.0</v>
      </c>
      <c r="D86" s="8">
        <v>1299.0</v>
      </c>
      <c r="E86" s="19">
        <v>0.75</v>
      </c>
      <c r="F86" s="10">
        <v>4.2</v>
      </c>
      <c r="G86" s="11">
        <v>10576.0</v>
      </c>
    </row>
    <row r="87">
      <c r="A87" s="7" t="s">
        <v>110</v>
      </c>
      <c r="B87" s="7" t="s">
        <v>37</v>
      </c>
      <c r="C87" s="8">
        <v>29999.0</v>
      </c>
      <c r="D87" s="8">
        <v>39999.0</v>
      </c>
      <c r="E87" s="19">
        <v>0.25</v>
      </c>
      <c r="F87" s="10">
        <v>4.2</v>
      </c>
      <c r="G87" s="11">
        <v>7298.0</v>
      </c>
    </row>
    <row r="88">
      <c r="A88" s="7" t="s">
        <v>111</v>
      </c>
      <c r="B88" s="7" t="s">
        <v>37</v>
      </c>
      <c r="C88" s="8">
        <v>27999.0</v>
      </c>
      <c r="D88" s="8">
        <v>40990.0</v>
      </c>
      <c r="E88" s="19">
        <v>0.32</v>
      </c>
      <c r="F88" s="10">
        <v>4.3</v>
      </c>
      <c r="G88" s="11">
        <v>4703.0</v>
      </c>
    </row>
    <row r="89">
      <c r="A89" s="7" t="s">
        <v>112</v>
      </c>
      <c r="B89" s="7" t="s">
        <v>37</v>
      </c>
      <c r="C89" s="8">
        <v>30990.0</v>
      </c>
      <c r="D89" s="8">
        <v>52900.0</v>
      </c>
      <c r="E89" s="19">
        <v>0.41</v>
      </c>
      <c r="F89" s="10">
        <v>4.3</v>
      </c>
      <c r="G89" s="11">
        <v>7109.0</v>
      </c>
    </row>
    <row r="90">
      <c r="A90" s="7" t="s">
        <v>113</v>
      </c>
      <c r="B90" s="7" t="s">
        <v>15</v>
      </c>
      <c r="C90" s="8">
        <v>199.0</v>
      </c>
      <c r="D90" s="8">
        <v>999.0</v>
      </c>
      <c r="E90" s="19">
        <v>0.8</v>
      </c>
      <c r="F90" s="10">
        <v>4.5</v>
      </c>
      <c r="G90" s="10">
        <v>127.0</v>
      </c>
    </row>
    <row r="91">
      <c r="A91" s="7" t="s">
        <v>114</v>
      </c>
      <c r="B91" s="7" t="s">
        <v>15</v>
      </c>
      <c r="C91" s="8">
        <v>649.0</v>
      </c>
      <c r="D91" s="8">
        <v>1999.0</v>
      </c>
      <c r="E91" s="19">
        <v>0.68</v>
      </c>
      <c r="F91" s="10">
        <v>4.2</v>
      </c>
      <c r="G91" s="11">
        <v>24269.0</v>
      </c>
    </row>
    <row r="92">
      <c r="A92" s="7" t="s">
        <v>115</v>
      </c>
      <c r="B92" s="7" t="s">
        <v>25</v>
      </c>
      <c r="C92" s="8">
        <v>269.0</v>
      </c>
      <c r="D92" s="8">
        <v>800.0</v>
      </c>
      <c r="E92" s="19">
        <v>0.66</v>
      </c>
      <c r="F92" s="10">
        <v>3.6</v>
      </c>
      <c r="G92" s="11">
        <v>10134.0</v>
      </c>
    </row>
    <row r="93">
      <c r="A93" s="7" t="s">
        <v>116</v>
      </c>
      <c r="B93" s="7" t="s">
        <v>37</v>
      </c>
      <c r="C93" s="8">
        <v>24999.0</v>
      </c>
      <c r="D93" s="8">
        <v>31999.0</v>
      </c>
      <c r="E93" s="19">
        <v>0.22</v>
      </c>
      <c r="F93" s="10">
        <v>4.2</v>
      </c>
      <c r="G93" s="11">
        <v>34899.0</v>
      </c>
    </row>
    <row r="94">
      <c r="A94" s="7" t="s">
        <v>117</v>
      </c>
      <c r="B94" s="7" t="s">
        <v>15</v>
      </c>
      <c r="C94" s="8">
        <v>299.0</v>
      </c>
      <c r="D94" s="8">
        <v>699.0</v>
      </c>
      <c r="E94" s="19">
        <v>0.57</v>
      </c>
      <c r="F94" s="10">
        <v>4.2</v>
      </c>
      <c r="G94" s="11">
        <v>94363.0</v>
      </c>
    </row>
    <row r="95">
      <c r="A95" s="7" t="s">
        <v>118</v>
      </c>
      <c r="B95" s="7" t="s">
        <v>15</v>
      </c>
      <c r="C95" s="8">
        <v>199.0</v>
      </c>
      <c r="D95" s="8">
        <v>999.0</v>
      </c>
      <c r="E95" s="19">
        <v>0.8</v>
      </c>
      <c r="F95" s="10">
        <v>4.1</v>
      </c>
      <c r="G95" s="10">
        <v>425.0</v>
      </c>
    </row>
    <row r="96">
      <c r="A96" s="7" t="s">
        <v>119</v>
      </c>
      <c r="B96" s="7" t="s">
        <v>37</v>
      </c>
      <c r="C96" s="8">
        <v>18990.0</v>
      </c>
      <c r="D96" s="8">
        <v>40990.0</v>
      </c>
      <c r="E96" s="19">
        <v>0.54</v>
      </c>
      <c r="F96" s="10">
        <v>4.2</v>
      </c>
      <c r="G96" s="11">
        <v>6659.0</v>
      </c>
    </row>
    <row r="97">
      <c r="A97" s="7" t="s">
        <v>120</v>
      </c>
      <c r="B97" s="7" t="s">
        <v>25</v>
      </c>
      <c r="C97" s="8">
        <v>290.0</v>
      </c>
      <c r="D97" s="8">
        <v>349.0</v>
      </c>
      <c r="E97" s="19">
        <v>0.17</v>
      </c>
      <c r="F97" s="10">
        <v>3.7</v>
      </c>
      <c r="G97" s="11">
        <v>1977.0</v>
      </c>
    </row>
    <row r="98">
      <c r="A98" s="7" t="s">
        <v>121</v>
      </c>
      <c r="B98" s="7" t="s">
        <v>71</v>
      </c>
      <c r="C98" s="8">
        <v>249.0</v>
      </c>
      <c r="D98" s="8">
        <v>799.0</v>
      </c>
      <c r="E98" s="19">
        <v>0.69</v>
      </c>
      <c r="F98" s="10">
        <v>3.8</v>
      </c>
      <c r="G98" s="11">
        <v>1079.0</v>
      </c>
    </row>
    <row r="99">
      <c r="A99" s="7" t="s">
        <v>122</v>
      </c>
      <c r="B99" s="7" t="s">
        <v>15</v>
      </c>
      <c r="C99" s="8">
        <v>345.0</v>
      </c>
      <c r="D99" s="8">
        <v>999.0</v>
      </c>
      <c r="E99" s="19">
        <v>0.65</v>
      </c>
      <c r="F99" s="10">
        <v>3.7</v>
      </c>
      <c r="G99" s="11">
        <v>1097.0</v>
      </c>
    </row>
    <row r="100">
      <c r="A100" s="7" t="s">
        <v>123</v>
      </c>
      <c r="B100" s="7" t="s">
        <v>25</v>
      </c>
      <c r="C100" s="8">
        <v>1099.0</v>
      </c>
      <c r="D100" s="8">
        <v>1899.0</v>
      </c>
      <c r="E100" s="19">
        <v>0.42</v>
      </c>
      <c r="F100" s="10">
        <v>4.5</v>
      </c>
      <c r="G100" s="11">
        <v>22420.0</v>
      </c>
    </row>
    <row r="101">
      <c r="A101" s="7" t="s">
        <v>124</v>
      </c>
      <c r="B101" s="7" t="s">
        <v>15</v>
      </c>
      <c r="C101" s="8">
        <v>719.0</v>
      </c>
      <c r="D101" s="8">
        <v>1499.0</v>
      </c>
      <c r="E101" s="19">
        <v>0.52</v>
      </c>
      <c r="F101" s="10">
        <v>4.1</v>
      </c>
      <c r="G101" s="11">
        <v>1045.0</v>
      </c>
    </row>
    <row r="102">
      <c r="A102" s="7" t="s">
        <v>125</v>
      </c>
      <c r="B102" s="7" t="s">
        <v>71</v>
      </c>
      <c r="C102" s="8">
        <v>349.0</v>
      </c>
      <c r="D102" s="8">
        <v>1499.0</v>
      </c>
      <c r="E102" s="19">
        <v>0.77</v>
      </c>
      <c r="F102" s="10">
        <v>4.3</v>
      </c>
      <c r="G102" s="11">
        <v>4145.0</v>
      </c>
    </row>
    <row r="103">
      <c r="A103" s="7" t="s">
        <v>126</v>
      </c>
      <c r="B103" s="7" t="s">
        <v>15</v>
      </c>
      <c r="C103" s="8">
        <v>849.0</v>
      </c>
      <c r="D103" s="8">
        <v>1809.0</v>
      </c>
      <c r="E103" s="19">
        <v>0.53</v>
      </c>
      <c r="F103" s="10">
        <v>4.3</v>
      </c>
      <c r="G103" s="11">
        <v>6547.0</v>
      </c>
    </row>
    <row r="104">
      <c r="A104" s="7" t="s">
        <v>127</v>
      </c>
      <c r="B104" s="7" t="s">
        <v>71</v>
      </c>
      <c r="C104" s="8">
        <v>299.0</v>
      </c>
      <c r="D104" s="8">
        <v>899.0</v>
      </c>
      <c r="E104" s="19">
        <v>0.67</v>
      </c>
      <c r="F104" s="10">
        <v>4.0</v>
      </c>
      <c r="G104" s="11">
        <v>1588.0</v>
      </c>
    </row>
    <row r="105">
      <c r="A105" s="7" t="s">
        <v>128</v>
      </c>
      <c r="B105" s="7" t="s">
        <v>37</v>
      </c>
      <c r="C105" s="8">
        <v>21999.0</v>
      </c>
      <c r="D105" s="8">
        <v>29999.0</v>
      </c>
      <c r="E105" s="19">
        <v>0.27</v>
      </c>
      <c r="F105" s="10">
        <v>4.2</v>
      </c>
      <c r="G105" s="11">
        <v>32840.0</v>
      </c>
    </row>
    <row r="106">
      <c r="A106" s="7" t="s">
        <v>129</v>
      </c>
      <c r="B106" s="7" t="s">
        <v>15</v>
      </c>
      <c r="C106" s="8">
        <v>349.0</v>
      </c>
      <c r="D106" s="8">
        <v>999.0</v>
      </c>
      <c r="E106" s="19">
        <v>0.65</v>
      </c>
      <c r="F106" s="10">
        <v>4.2</v>
      </c>
      <c r="G106" s="11">
        <v>13120.0</v>
      </c>
    </row>
    <row r="107">
      <c r="A107" s="7" t="s">
        <v>130</v>
      </c>
      <c r="B107" s="7" t="s">
        <v>15</v>
      </c>
      <c r="C107" s="8">
        <v>399.0</v>
      </c>
      <c r="D107" s="8">
        <v>999.0</v>
      </c>
      <c r="E107" s="19">
        <v>0.6</v>
      </c>
      <c r="F107" s="10">
        <v>4.3</v>
      </c>
      <c r="G107" s="11">
        <v>2806.0</v>
      </c>
    </row>
    <row r="108">
      <c r="A108" s="7" t="s">
        <v>131</v>
      </c>
      <c r="B108" s="7" t="s">
        <v>15</v>
      </c>
      <c r="C108" s="8">
        <v>449.0</v>
      </c>
      <c r="D108" s="8">
        <v>1299.0</v>
      </c>
      <c r="E108" s="19">
        <v>0.65</v>
      </c>
      <c r="F108" s="10">
        <v>4.2</v>
      </c>
      <c r="G108" s="11">
        <v>24269.0</v>
      </c>
    </row>
    <row r="109">
      <c r="A109" s="7" t="s">
        <v>132</v>
      </c>
      <c r="B109" s="7" t="s">
        <v>15</v>
      </c>
      <c r="C109" s="8">
        <v>299.0</v>
      </c>
      <c r="D109" s="8">
        <v>999.0</v>
      </c>
      <c r="E109" s="19">
        <v>0.7</v>
      </c>
      <c r="F109" s="10">
        <v>4.3</v>
      </c>
      <c r="G109" s="10">
        <v>766.0</v>
      </c>
    </row>
    <row r="110">
      <c r="A110" s="7" t="s">
        <v>133</v>
      </c>
      <c r="B110" s="7" t="s">
        <v>37</v>
      </c>
      <c r="C110" s="8">
        <v>37999.0</v>
      </c>
      <c r="D110" s="8">
        <v>65000.0</v>
      </c>
      <c r="E110" s="19">
        <v>0.42</v>
      </c>
      <c r="F110" s="10">
        <v>4.3</v>
      </c>
      <c r="G110" s="11">
        <v>3587.0</v>
      </c>
    </row>
    <row r="111">
      <c r="A111" s="7" t="s">
        <v>134</v>
      </c>
      <c r="B111" s="7" t="s">
        <v>15</v>
      </c>
      <c r="C111" s="8">
        <v>99.0</v>
      </c>
      <c r="D111" s="8">
        <v>800.0</v>
      </c>
      <c r="E111" s="19">
        <v>0.88</v>
      </c>
      <c r="F111" s="10">
        <v>3.9</v>
      </c>
      <c r="G111" s="11">
        <v>24871.0</v>
      </c>
    </row>
    <row r="112">
      <c r="A112" s="7" t="s">
        <v>135</v>
      </c>
      <c r="B112" s="7" t="s">
        <v>77</v>
      </c>
      <c r="C112" s="8">
        <v>7390.0</v>
      </c>
      <c r="D112" s="8">
        <v>20000.0</v>
      </c>
      <c r="E112" s="19">
        <v>0.63</v>
      </c>
      <c r="F112" s="10">
        <v>4.1</v>
      </c>
      <c r="G112" s="11">
        <v>2581.0</v>
      </c>
    </row>
    <row r="113">
      <c r="A113" s="7" t="s">
        <v>136</v>
      </c>
      <c r="B113" s="7" t="s">
        <v>15</v>
      </c>
      <c r="C113" s="8">
        <v>273.1</v>
      </c>
      <c r="D113" s="8">
        <v>999.0</v>
      </c>
      <c r="E113" s="19">
        <v>0.73</v>
      </c>
      <c r="F113" s="10">
        <v>4.3</v>
      </c>
      <c r="G113" s="11">
        <v>20850.0</v>
      </c>
    </row>
    <row r="114">
      <c r="A114" s="7" t="s">
        <v>137</v>
      </c>
      <c r="B114" s="7" t="s">
        <v>37</v>
      </c>
      <c r="C114" s="8">
        <v>15990.0</v>
      </c>
      <c r="D114" s="8">
        <v>23990.0</v>
      </c>
      <c r="E114" s="19">
        <v>0.33</v>
      </c>
      <c r="F114" s="10">
        <v>4.3</v>
      </c>
      <c r="G114" s="11">
        <v>1035.0</v>
      </c>
    </row>
    <row r="115">
      <c r="A115" s="7" t="s">
        <v>138</v>
      </c>
      <c r="B115" s="7" t="s">
        <v>15</v>
      </c>
      <c r="C115" s="8">
        <v>399.0</v>
      </c>
      <c r="D115" s="8">
        <v>999.0</v>
      </c>
      <c r="E115" s="19">
        <v>0.6</v>
      </c>
      <c r="F115" s="10">
        <v>4.1</v>
      </c>
      <c r="G115" s="11">
        <v>1780.0</v>
      </c>
    </row>
    <row r="116">
      <c r="A116" s="7" t="s">
        <v>139</v>
      </c>
      <c r="B116" s="7" t="s">
        <v>71</v>
      </c>
      <c r="C116" s="8">
        <v>399.0</v>
      </c>
      <c r="D116" s="8">
        <v>1999.0</v>
      </c>
      <c r="E116" s="19">
        <v>0.8</v>
      </c>
      <c r="F116" s="10">
        <v>4.5</v>
      </c>
      <c r="G116" s="10">
        <v>505.0</v>
      </c>
    </row>
    <row r="117">
      <c r="A117" s="7" t="s">
        <v>140</v>
      </c>
      <c r="B117" s="7" t="s">
        <v>15</v>
      </c>
      <c r="C117" s="8">
        <v>210.0</v>
      </c>
      <c r="D117" s="8">
        <v>399.0</v>
      </c>
      <c r="E117" s="19">
        <v>0.47</v>
      </c>
      <c r="F117" s="10">
        <v>4.1</v>
      </c>
      <c r="G117" s="11">
        <v>1717.0</v>
      </c>
    </row>
    <row r="118">
      <c r="A118" s="7" t="s">
        <v>141</v>
      </c>
      <c r="B118" s="7" t="s">
        <v>71</v>
      </c>
      <c r="C118" s="8">
        <v>1299.0</v>
      </c>
      <c r="D118" s="8">
        <v>1999.0</v>
      </c>
      <c r="E118" s="19">
        <v>0.35</v>
      </c>
      <c r="F118" s="10">
        <v>3.6</v>
      </c>
      <c r="G118" s="10">
        <v>590.0</v>
      </c>
    </row>
    <row r="119">
      <c r="A119" s="7" t="s">
        <v>142</v>
      </c>
      <c r="B119" s="7" t="s">
        <v>15</v>
      </c>
      <c r="C119" s="8">
        <v>347.0</v>
      </c>
      <c r="D119" s="8">
        <v>999.0</v>
      </c>
      <c r="E119" s="19">
        <v>0.65</v>
      </c>
      <c r="F119" s="10">
        <v>3.5</v>
      </c>
      <c r="G119" s="11">
        <v>1121.0</v>
      </c>
    </row>
    <row r="120">
      <c r="A120" s="7" t="s">
        <v>143</v>
      </c>
      <c r="B120" s="7" t="s">
        <v>15</v>
      </c>
      <c r="C120" s="8">
        <v>149.0</v>
      </c>
      <c r="D120" s="8">
        <v>999.0</v>
      </c>
      <c r="E120" s="19">
        <v>0.85</v>
      </c>
      <c r="F120" s="10">
        <v>4.0</v>
      </c>
      <c r="G120" s="11">
        <v>1313.0</v>
      </c>
    </row>
    <row r="121">
      <c r="A121" s="7" t="s">
        <v>144</v>
      </c>
      <c r="B121" s="7" t="s">
        <v>15</v>
      </c>
      <c r="C121" s="8">
        <v>228.0</v>
      </c>
      <c r="D121" s="8">
        <v>899.0</v>
      </c>
      <c r="E121" s="19">
        <v>0.75</v>
      </c>
      <c r="F121" s="10">
        <v>3.8</v>
      </c>
      <c r="G121" s="10">
        <v>132.0</v>
      </c>
    </row>
    <row r="122">
      <c r="A122" s="7" t="s">
        <v>145</v>
      </c>
      <c r="B122" s="7" t="s">
        <v>15</v>
      </c>
      <c r="C122" s="8">
        <v>1599.0</v>
      </c>
      <c r="D122" s="8">
        <v>1999.0</v>
      </c>
      <c r="E122" s="19">
        <v>0.2</v>
      </c>
      <c r="F122" s="10">
        <v>4.4</v>
      </c>
      <c r="G122" s="11">
        <v>1951.0</v>
      </c>
    </row>
    <row r="123">
      <c r="A123" s="7" t="s">
        <v>146</v>
      </c>
      <c r="B123" s="7" t="s">
        <v>71</v>
      </c>
      <c r="C123" s="8">
        <v>1499.0</v>
      </c>
      <c r="D123" s="8">
        <v>3999.0</v>
      </c>
      <c r="E123" s="19">
        <v>0.63</v>
      </c>
      <c r="F123" s="10">
        <v>3.7</v>
      </c>
      <c r="G123" s="10">
        <v>37.0</v>
      </c>
    </row>
    <row r="124">
      <c r="A124" s="7" t="s">
        <v>147</v>
      </c>
      <c r="B124" s="7" t="s">
        <v>37</v>
      </c>
      <c r="C124" s="8">
        <v>8499.0</v>
      </c>
      <c r="D124" s="8">
        <v>15999.0</v>
      </c>
      <c r="E124" s="19">
        <v>0.47</v>
      </c>
      <c r="F124" s="10">
        <v>4.3</v>
      </c>
      <c r="G124" s="10">
        <v>592.0</v>
      </c>
    </row>
    <row r="125">
      <c r="A125" s="7" t="s">
        <v>148</v>
      </c>
      <c r="B125" s="7" t="s">
        <v>37</v>
      </c>
      <c r="C125" s="8">
        <v>20990.0</v>
      </c>
      <c r="D125" s="8">
        <v>44990.0</v>
      </c>
      <c r="E125" s="19">
        <v>0.53</v>
      </c>
      <c r="F125" s="10">
        <v>4.1</v>
      </c>
      <c r="G125" s="11">
        <v>1259.0</v>
      </c>
    </row>
    <row r="126">
      <c r="A126" s="7" t="s">
        <v>149</v>
      </c>
      <c r="B126" s="7" t="s">
        <v>37</v>
      </c>
      <c r="C126" s="8">
        <v>32999.0</v>
      </c>
      <c r="D126" s="8">
        <v>44999.0</v>
      </c>
      <c r="E126" s="19">
        <v>0.27</v>
      </c>
      <c r="F126" s="10">
        <v>4.2</v>
      </c>
      <c r="G126" s="11">
        <v>45238.0</v>
      </c>
    </row>
    <row r="127">
      <c r="A127" s="7" t="s">
        <v>150</v>
      </c>
      <c r="B127" s="7" t="s">
        <v>31</v>
      </c>
      <c r="C127" s="8">
        <v>799.0</v>
      </c>
      <c r="D127" s="8">
        <v>1700.0</v>
      </c>
      <c r="E127" s="19">
        <v>0.53</v>
      </c>
      <c r="F127" s="10">
        <v>4.1</v>
      </c>
      <c r="G127" s="11">
        <v>28638.0</v>
      </c>
    </row>
    <row r="128">
      <c r="A128" s="7" t="s">
        <v>151</v>
      </c>
      <c r="B128" s="7" t="s">
        <v>31</v>
      </c>
      <c r="C128" s="8">
        <v>229.0</v>
      </c>
      <c r="D128" s="8">
        <v>595.0</v>
      </c>
      <c r="E128" s="19">
        <v>0.62</v>
      </c>
      <c r="F128" s="10">
        <v>4.3</v>
      </c>
      <c r="G128" s="11">
        <v>12835.0</v>
      </c>
    </row>
    <row r="129">
      <c r="A129" s="7" t="s">
        <v>152</v>
      </c>
      <c r="B129" s="7" t="s">
        <v>37</v>
      </c>
      <c r="C129" s="8">
        <v>9999.0</v>
      </c>
      <c r="D129" s="8">
        <v>27990.0</v>
      </c>
      <c r="E129" s="19">
        <v>0.64</v>
      </c>
      <c r="F129" s="10">
        <v>4.2</v>
      </c>
      <c r="G129" s="11">
        <v>1269.0</v>
      </c>
    </row>
    <row r="130">
      <c r="A130" s="7" t="s">
        <v>153</v>
      </c>
      <c r="B130" s="7" t="s">
        <v>71</v>
      </c>
      <c r="C130" s="8">
        <v>349.0</v>
      </c>
      <c r="D130" s="8">
        <v>599.0</v>
      </c>
      <c r="E130" s="19">
        <v>0.42</v>
      </c>
      <c r="F130" s="10">
        <v>4.2</v>
      </c>
      <c r="G130" s="10">
        <v>284.0</v>
      </c>
    </row>
    <row r="131">
      <c r="A131" s="7" t="s">
        <v>154</v>
      </c>
      <c r="B131" s="7" t="s">
        <v>155</v>
      </c>
      <c r="C131" s="8">
        <v>489.0</v>
      </c>
      <c r="D131" s="8">
        <v>1200.0</v>
      </c>
      <c r="E131" s="19">
        <v>0.59</v>
      </c>
      <c r="F131" s="10">
        <v>4.4</v>
      </c>
      <c r="G131" s="11">
        <v>69538.0</v>
      </c>
    </row>
    <row r="132">
      <c r="A132" s="7" t="s">
        <v>156</v>
      </c>
      <c r="B132" s="7" t="s">
        <v>37</v>
      </c>
      <c r="C132" s="8">
        <v>23999.0</v>
      </c>
      <c r="D132" s="8">
        <v>34990.0</v>
      </c>
      <c r="E132" s="19">
        <v>0.31</v>
      </c>
      <c r="F132" s="10">
        <v>4.3</v>
      </c>
      <c r="G132" s="11">
        <v>4703.0</v>
      </c>
    </row>
    <row r="133">
      <c r="A133" s="7" t="s">
        <v>157</v>
      </c>
      <c r="B133" s="7" t="s">
        <v>15</v>
      </c>
      <c r="C133" s="8">
        <v>399.0</v>
      </c>
      <c r="D133" s="8">
        <v>999.0</v>
      </c>
      <c r="E133" s="19">
        <v>0.6</v>
      </c>
      <c r="F133" s="10">
        <v>4.3</v>
      </c>
      <c r="G133" s="11">
        <v>2806.0</v>
      </c>
    </row>
    <row r="134">
      <c r="A134" s="7" t="s">
        <v>158</v>
      </c>
      <c r="B134" s="7" t="s">
        <v>159</v>
      </c>
      <c r="C134" s="8">
        <v>349.0</v>
      </c>
      <c r="D134" s="8">
        <v>1299.0</v>
      </c>
      <c r="E134" s="19">
        <v>0.73</v>
      </c>
      <c r="F134" s="10">
        <v>4.0</v>
      </c>
      <c r="G134" s="11">
        <v>3295.0</v>
      </c>
    </row>
    <row r="135">
      <c r="A135" s="7" t="s">
        <v>160</v>
      </c>
      <c r="B135" s="7" t="s">
        <v>15</v>
      </c>
      <c r="C135" s="8">
        <v>179.0</v>
      </c>
      <c r="D135" s="8">
        <v>299.0</v>
      </c>
      <c r="E135" s="19">
        <v>0.4</v>
      </c>
      <c r="F135" s="10">
        <v>3.9</v>
      </c>
      <c r="G135" s="10">
        <v>81.0</v>
      </c>
    </row>
    <row r="136">
      <c r="A136" s="7" t="s">
        <v>161</v>
      </c>
      <c r="B136" s="7" t="s">
        <v>15</v>
      </c>
      <c r="C136" s="8">
        <v>689.0</v>
      </c>
      <c r="D136" s="8">
        <v>1500.0</v>
      </c>
      <c r="E136" s="19">
        <v>0.54</v>
      </c>
      <c r="F136" s="10">
        <v>4.2</v>
      </c>
      <c r="G136" s="11">
        <v>42301.0</v>
      </c>
    </row>
    <row r="137">
      <c r="A137" s="7" t="s">
        <v>162</v>
      </c>
      <c r="B137" s="7" t="s">
        <v>37</v>
      </c>
      <c r="C137" s="8">
        <v>30990.0</v>
      </c>
      <c r="D137" s="8">
        <v>49990.0</v>
      </c>
      <c r="E137" s="19">
        <v>0.38</v>
      </c>
      <c r="F137" s="10">
        <v>4.3</v>
      </c>
      <c r="G137" s="11">
        <v>1376.0</v>
      </c>
    </row>
    <row r="138">
      <c r="A138" s="7" t="s">
        <v>163</v>
      </c>
      <c r="B138" s="7" t="s">
        <v>15</v>
      </c>
      <c r="C138" s="8">
        <v>249.0</v>
      </c>
      <c r="D138" s="8">
        <v>931.0</v>
      </c>
      <c r="E138" s="19">
        <v>0.73</v>
      </c>
      <c r="F138" s="10">
        <v>3.9</v>
      </c>
      <c r="G138" s="11">
        <v>1075.0</v>
      </c>
    </row>
    <row r="139">
      <c r="A139" s="7" t="s">
        <v>164</v>
      </c>
      <c r="B139" s="7" t="s">
        <v>31</v>
      </c>
      <c r="C139" s="8">
        <v>999.0</v>
      </c>
      <c r="D139" s="8">
        <v>2399.0</v>
      </c>
      <c r="E139" s="19">
        <v>0.58</v>
      </c>
      <c r="F139" s="10">
        <v>4.6</v>
      </c>
      <c r="G139" s="11">
        <v>3664.0</v>
      </c>
    </row>
    <row r="140">
      <c r="A140" s="7" t="s">
        <v>165</v>
      </c>
      <c r="B140" s="7" t="s">
        <v>71</v>
      </c>
      <c r="C140" s="8">
        <v>399.0</v>
      </c>
      <c r="D140" s="8">
        <v>399.0</v>
      </c>
      <c r="E140" s="19">
        <v>0.0</v>
      </c>
      <c r="F140" s="10">
        <v>3.9</v>
      </c>
      <c r="G140" s="11">
        <v>1951.0</v>
      </c>
    </row>
    <row r="141">
      <c r="A141" s="7" t="s">
        <v>166</v>
      </c>
      <c r="B141" s="7" t="s">
        <v>15</v>
      </c>
      <c r="C141" s="8">
        <v>349.0</v>
      </c>
      <c r="D141" s="8">
        <v>699.0</v>
      </c>
      <c r="E141" s="19">
        <v>0.5</v>
      </c>
      <c r="F141" s="10">
        <v>4.3</v>
      </c>
      <c r="G141" s="11">
        <v>20850.0</v>
      </c>
    </row>
    <row r="142">
      <c r="A142" s="7" t="s">
        <v>167</v>
      </c>
      <c r="B142" s="7" t="s">
        <v>15</v>
      </c>
      <c r="C142" s="8">
        <v>399.0</v>
      </c>
      <c r="D142" s="8">
        <v>1099.0</v>
      </c>
      <c r="E142" s="19">
        <v>0.64</v>
      </c>
      <c r="F142" s="10">
        <v>4.1</v>
      </c>
      <c r="G142" s="11">
        <v>2685.0</v>
      </c>
    </row>
    <row r="143">
      <c r="A143" s="7" t="s">
        <v>168</v>
      </c>
      <c r="B143" s="7" t="s">
        <v>25</v>
      </c>
      <c r="C143" s="8">
        <v>1699.0</v>
      </c>
      <c r="D143" s="8">
        <v>2999.0</v>
      </c>
      <c r="E143" s="19">
        <v>0.43</v>
      </c>
      <c r="F143" s="10">
        <v>4.4</v>
      </c>
      <c r="G143" s="11">
        <v>24780.0</v>
      </c>
    </row>
    <row r="144">
      <c r="A144" s="7" t="s">
        <v>169</v>
      </c>
      <c r="B144" s="7" t="s">
        <v>71</v>
      </c>
      <c r="C144" s="8">
        <v>655.0</v>
      </c>
      <c r="D144" s="8">
        <v>1099.0</v>
      </c>
      <c r="E144" s="19">
        <v>0.4</v>
      </c>
      <c r="F144" s="10">
        <v>3.2</v>
      </c>
      <c r="G144" s="10">
        <v>285.0</v>
      </c>
    </row>
    <row r="145">
      <c r="A145" s="7" t="s">
        <v>170</v>
      </c>
      <c r="B145" s="7" t="s">
        <v>25</v>
      </c>
      <c r="C145" s="8">
        <v>749.0</v>
      </c>
      <c r="D145" s="8">
        <v>1339.0</v>
      </c>
      <c r="E145" s="19">
        <v>0.44</v>
      </c>
      <c r="F145" s="10">
        <v>4.2</v>
      </c>
      <c r="G145" s="7" t="s">
        <v>171</v>
      </c>
    </row>
    <row r="146">
      <c r="A146" s="7" t="s">
        <v>172</v>
      </c>
      <c r="B146" s="7" t="s">
        <v>37</v>
      </c>
      <c r="C146" s="8">
        <v>9999.0</v>
      </c>
      <c r="D146" s="8">
        <v>12999.0</v>
      </c>
      <c r="E146" s="19">
        <v>0.23</v>
      </c>
      <c r="F146" s="10">
        <v>4.2</v>
      </c>
      <c r="G146" s="11">
        <v>6088.0</v>
      </c>
    </row>
    <row r="147">
      <c r="A147" s="7" t="s">
        <v>173</v>
      </c>
      <c r="B147" s="7" t="s">
        <v>71</v>
      </c>
      <c r="C147" s="8">
        <v>195.0</v>
      </c>
      <c r="D147" s="8">
        <v>499.0</v>
      </c>
      <c r="E147" s="19">
        <v>0.61</v>
      </c>
      <c r="F147" s="10">
        <v>3.7</v>
      </c>
      <c r="G147" s="11">
        <v>1383.0</v>
      </c>
    </row>
    <row r="148">
      <c r="A148" s="7" t="s">
        <v>174</v>
      </c>
      <c r="B148" s="7" t="s">
        <v>15</v>
      </c>
      <c r="C148" s="8">
        <v>999.0</v>
      </c>
      <c r="D148" s="8">
        <v>2100.0</v>
      </c>
      <c r="E148" s="19">
        <v>0.52</v>
      </c>
      <c r="F148" s="10">
        <v>4.5</v>
      </c>
      <c r="G148" s="11">
        <v>5492.0</v>
      </c>
    </row>
    <row r="149">
      <c r="A149" s="7" t="s">
        <v>175</v>
      </c>
      <c r="B149" s="7" t="s">
        <v>15</v>
      </c>
      <c r="C149" s="8">
        <v>499.0</v>
      </c>
      <c r="D149" s="8">
        <v>899.0</v>
      </c>
      <c r="E149" s="19">
        <v>0.44</v>
      </c>
      <c r="F149" s="10">
        <v>4.2</v>
      </c>
      <c r="G149" s="10">
        <v>919.0</v>
      </c>
    </row>
    <row r="150">
      <c r="A150" s="7" t="s">
        <v>176</v>
      </c>
      <c r="B150" s="7" t="s">
        <v>177</v>
      </c>
      <c r="C150" s="8">
        <v>416.0</v>
      </c>
      <c r="D150" s="8">
        <v>599.0</v>
      </c>
      <c r="E150" s="19">
        <v>0.31</v>
      </c>
      <c r="F150" s="10">
        <v>4.2</v>
      </c>
      <c r="G150" s="11">
        <v>30023.0</v>
      </c>
    </row>
    <row r="151">
      <c r="A151" s="7" t="s">
        <v>178</v>
      </c>
      <c r="B151" s="7" t="s">
        <v>15</v>
      </c>
      <c r="C151" s="8">
        <v>368.0</v>
      </c>
      <c r="D151" s="8">
        <v>699.0</v>
      </c>
      <c r="E151" s="19">
        <v>0.47</v>
      </c>
      <c r="F151" s="10">
        <v>4.2</v>
      </c>
      <c r="G151" s="10">
        <v>387.0</v>
      </c>
    </row>
    <row r="152">
      <c r="A152" s="7" t="s">
        <v>179</v>
      </c>
      <c r="B152" s="7" t="s">
        <v>37</v>
      </c>
      <c r="C152" s="8">
        <v>29990.0</v>
      </c>
      <c r="D152" s="8">
        <v>65000.0</v>
      </c>
      <c r="E152" s="19">
        <v>0.54</v>
      </c>
      <c r="F152" s="10">
        <v>4.1</v>
      </c>
      <c r="G152" s="10">
        <v>211.0</v>
      </c>
    </row>
    <row r="153">
      <c r="A153" s="7" t="s">
        <v>180</v>
      </c>
      <c r="B153" s="7" t="s">
        <v>15</v>
      </c>
      <c r="C153" s="8">
        <v>339.0</v>
      </c>
      <c r="D153" s="8">
        <v>1099.0</v>
      </c>
      <c r="E153" s="19">
        <v>0.69</v>
      </c>
      <c r="F153" s="10">
        <v>4.3</v>
      </c>
      <c r="G153" s="10">
        <v>974.0</v>
      </c>
    </row>
    <row r="154">
      <c r="A154" s="7" t="s">
        <v>181</v>
      </c>
      <c r="B154" s="7" t="s">
        <v>37</v>
      </c>
      <c r="C154" s="8">
        <v>15490.0</v>
      </c>
      <c r="D154" s="8">
        <v>20900.0</v>
      </c>
      <c r="E154" s="19">
        <v>0.26</v>
      </c>
      <c r="F154" s="10">
        <v>4.3</v>
      </c>
      <c r="G154" s="11">
        <v>16299.0</v>
      </c>
    </row>
    <row r="155">
      <c r="A155" s="7" t="s">
        <v>182</v>
      </c>
      <c r="B155" s="7" t="s">
        <v>15</v>
      </c>
      <c r="C155" s="8">
        <v>499.0</v>
      </c>
      <c r="D155" s="8">
        <v>1299.0</v>
      </c>
      <c r="E155" s="19">
        <v>0.62</v>
      </c>
      <c r="F155" s="10">
        <v>4.3</v>
      </c>
      <c r="G155" s="11">
        <v>30411.0</v>
      </c>
    </row>
    <row r="156">
      <c r="A156" s="7" t="s">
        <v>183</v>
      </c>
      <c r="B156" s="7" t="s">
        <v>25</v>
      </c>
      <c r="C156" s="8">
        <v>249.0</v>
      </c>
      <c r="D156" s="8">
        <v>399.0</v>
      </c>
      <c r="E156" s="19">
        <v>0.38</v>
      </c>
      <c r="F156" s="10">
        <v>3.4</v>
      </c>
      <c r="G156" s="11">
        <v>4642.0</v>
      </c>
    </row>
    <row r="157">
      <c r="A157" s="7" t="s">
        <v>184</v>
      </c>
      <c r="B157" s="7" t="s">
        <v>71</v>
      </c>
      <c r="C157" s="8">
        <v>399.0</v>
      </c>
      <c r="D157" s="8">
        <v>799.0</v>
      </c>
      <c r="E157" s="19">
        <v>0.5</v>
      </c>
      <c r="F157" s="10">
        <v>4.3</v>
      </c>
      <c r="G157" s="10">
        <v>12.0</v>
      </c>
    </row>
    <row r="158">
      <c r="A158" s="7" t="s">
        <v>185</v>
      </c>
      <c r="B158" s="7" t="s">
        <v>15</v>
      </c>
      <c r="C158" s="8">
        <v>1499.0</v>
      </c>
      <c r="D158" s="8">
        <v>1999.0</v>
      </c>
      <c r="E158" s="19">
        <v>0.25</v>
      </c>
      <c r="F158" s="10">
        <v>4.4</v>
      </c>
      <c r="G158" s="11">
        <v>1951.0</v>
      </c>
    </row>
    <row r="159">
      <c r="A159" s="7" t="s">
        <v>186</v>
      </c>
      <c r="B159" s="7" t="s">
        <v>187</v>
      </c>
      <c r="C159" s="8">
        <v>9490.0</v>
      </c>
      <c r="D159" s="8">
        <v>15990.0</v>
      </c>
      <c r="E159" s="19">
        <v>0.41</v>
      </c>
      <c r="F159" s="10">
        <v>3.9</v>
      </c>
      <c r="G159" s="11">
        <v>10480.0</v>
      </c>
    </row>
    <row r="160">
      <c r="A160" s="7" t="s">
        <v>188</v>
      </c>
      <c r="B160" s="7" t="s">
        <v>31</v>
      </c>
      <c r="C160" s="8">
        <v>637.0</v>
      </c>
      <c r="D160" s="8">
        <v>1499.0</v>
      </c>
      <c r="E160" s="19">
        <v>0.58</v>
      </c>
      <c r="F160" s="10">
        <v>4.1</v>
      </c>
      <c r="G160" s="10">
        <v>24.0</v>
      </c>
    </row>
    <row r="161">
      <c r="A161" s="7" t="s">
        <v>189</v>
      </c>
      <c r="B161" s="7" t="s">
        <v>71</v>
      </c>
      <c r="C161" s="8">
        <v>399.0</v>
      </c>
      <c r="D161" s="8">
        <v>899.0</v>
      </c>
      <c r="E161" s="19">
        <v>0.56</v>
      </c>
      <c r="F161" s="10">
        <v>3.9</v>
      </c>
      <c r="G161" s="10">
        <v>254.0</v>
      </c>
    </row>
    <row r="162">
      <c r="A162" s="7" t="s">
        <v>190</v>
      </c>
      <c r="B162" s="7" t="s">
        <v>177</v>
      </c>
      <c r="C162" s="8">
        <v>1089.0</v>
      </c>
      <c r="D162" s="8">
        <v>1600.0</v>
      </c>
      <c r="E162" s="19">
        <v>0.32</v>
      </c>
      <c r="F162" s="10">
        <v>4.0</v>
      </c>
      <c r="G162" s="11">
        <v>3565.0</v>
      </c>
    </row>
    <row r="163">
      <c r="A163" s="7" t="s">
        <v>191</v>
      </c>
      <c r="B163" s="7" t="s">
        <v>15</v>
      </c>
      <c r="C163" s="8">
        <v>339.0</v>
      </c>
      <c r="D163" s="8">
        <v>999.0</v>
      </c>
      <c r="E163" s="19">
        <v>0.66</v>
      </c>
      <c r="F163" s="10">
        <v>4.3</v>
      </c>
      <c r="G163" s="11">
        <v>6255.0</v>
      </c>
    </row>
    <row r="164">
      <c r="A164" s="7" t="s">
        <v>192</v>
      </c>
      <c r="B164" s="7" t="s">
        <v>15</v>
      </c>
      <c r="C164" s="8">
        <v>149.0</v>
      </c>
      <c r="D164" s="8">
        <v>499.0</v>
      </c>
      <c r="E164" s="19">
        <v>0.7</v>
      </c>
      <c r="F164" s="10">
        <v>4.0</v>
      </c>
      <c r="G164" s="11">
        <v>7732.0</v>
      </c>
    </row>
    <row r="165">
      <c r="A165" s="7" t="s">
        <v>193</v>
      </c>
      <c r="B165" s="7" t="s">
        <v>15</v>
      </c>
      <c r="C165" s="8">
        <v>149.0</v>
      </c>
      <c r="D165" s="8">
        <v>399.0</v>
      </c>
      <c r="E165" s="19">
        <v>0.63</v>
      </c>
      <c r="F165" s="10">
        <v>3.9</v>
      </c>
      <c r="G165" s="10">
        <v>57.0</v>
      </c>
    </row>
    <row r="166">
      <c r="A166" s="7" t="s">
        <v>194</v>
      </c>
      <c r="B166" s="7" t="s">
        <v>15</v>
      </c>
      <c r="C166" s="8">
        <v>599.0</v>
      </c>
      <c r="D166" s="8">
        <v>849.0</v>
      </c>
      <c r="E166" s="19">
        <v>0.29</v>
      </c>
      <c r="F166" s="10">
        <v>4.5</v>
      </c>
      <c r="G166" s="10">
        <v>577.0</v>
      </c>
    </row>
    <row r="167">
      <c r="A167" s="7" t="s">
        <v>195</v>
      </c>
      <c r="B167" s="7" t="s">
        <v>71</v>
      </c>
      <c r="C167" s="8">
        <v>299.0</v>
      </c>
      <c r="D167" s="8">
        <v>1199.0</v>
      </c>
      <c r="E167" s="19">
        <v>0.75</v>
      </c>
      <c r="F167" s="10">
        <v>3.9</v>
      </c>
      <c r="G167" s="11">
        <v>1193.0</v>
      </c>
    </row>
    <row r="168">
      <c r="A168" s="7" t="s">
        <v>196</v>
      </c>
      <c r="B168" s="7" t="s">
        <v>15</v>
      </c>
      <c r="C168" s="8">
        <v>399.0</v>
      </c>
      <c r="D168" s="8">
        <v>1299.0</v>
      </c>
      <c r="E168" s="19">
        <v>0.69</v>
      </c>
      <c r="F168" s="10">
        <v>4.2</v>
      </c>
      <c r="G168" s="11">
        <v>13120.0</v>
      </c>
    </row>
    <row r="169">
      <c r="A169" s="7" t="s">
        <v>197</v>
      </c>
      <c r="B169" s="7" t="s">
        <v>71</v>
      </c>
      <c r="C169" s="8">
        <v>339.0</v>
      </c>
      <c r="D169" s="8">
        <v>1999.0</v>
      </c>
      <c r="E169" s="19">
        <v>0.83</v>
      </c>
      <c r="F169" s="10">
        <v>4.0</v>
      </c>
      <c r="G169" s="10">
        <v>343.0</v>
      </c>
    </row>
    <row r="170">
      <c r="A170" s="7" t="s">
        <v>198</v>
      </c>
      <c r="B170" s="7" t="s">
        <v>37</v>
      </c>
      <c r="C170" s="8">
        <v>12499.0</v>
      </c>
      <c r="D170" s="8">
        <v>22990.0</v>
      </c>
      <c r="E170" s="19">
        <v>0.46</v>
      </c>
      <c r="F170" s="10">
        <v>4.3</v>
      </c>
      <c r="G170" s="11">
        <v>1611.0</v>
      </c>
    </row>
    <row r="171">
      <c r="A171" s="7" t="s">
        <v>199</v>
      </c>
      <c r="B171" s="7" t="s">
        <v>15</v>
      </c>
      <c r="C171" s="8">
        <v>249.0</v>
      </c>
      <c r="D171" s="8">
        <v>399.0</v>
      </c>
      <c r="E171" s="19">
        <v>0.38</v>
      </c>
      <c r="F171" s="10">
        <v>4.0</v>
      </c>
      <c r="G171" s="11">
        <v>6558.0</v>
      </c>
    </row>
    <row r="172">
      <c r="A172" s="7" t="s">
        <v>200</v>
      </c>
      <c r="B172" s="7" t="s">
        <v>25</v>
      </c>
      <c r="C172" s="8">
        <v>1399.0</v>
      </c>
      <c r="D172" s="8">
        <v>2499.0</v>
      </c>
      <c r="E172" s="19">
        <v>0.44</v>
      </c>
      <c r="F172" s="10">
        <v>4.4</v>
      </c>
      <c r="G172" s="11">
        <v>23169.0</v>
      </c>
    </row>
    <row r="173">
      <c r="A173" s="7" t="s">
        <v>201</v>
      </c>
      <c r="B173" s="7" t="s">
        <v>37</v>
      </c>
      <c r="C173" s="8">
        <v>32999.0</v>
      </c>
      <c r="D173" s="8">
        <v>47990.0</v>
      </c>
      <c r="E173" s="19">
        <v>0.31</v>
      </c>
      <c r="F173" s="10">
        <v>4.3</v>
      </c>
      <c r="G173" s="11">
        <v>4703.0</v>
      </c>
    </row>
    <row r="174">
      <c r="A174" s="7" t="s">
        <v>202</v>
      </c>
      <c r="B174" s="7" t="s">
        <v>15</v>
      </c>
      <c r="C174" s="8">
        <v>149.0</v>
      </c>
      <c r="D174" s="8">
        <v>399.0</v>
      </c>
      <c r="E174" s="19">
        <v>0.63</v>
      </c>
      <c r="F174" s="10">
        <v>4.0</v>
      </c>
      <c r="G174" s="11">
        <v>1423.0</v>
      </c>
    </row>
    <row r="175">
      <c r="A175" s="7" t="s">
        <v>203</v>
      </c>
      <c r="B175" s="7" t="s">
        <v>15</v>
      </c>
      <c r="C175" s="8">
        <v>325.0</v>
      </c>
      <c r="D175" s="8">
        <v>999.0</v>
      </c>
      <c r="E175" s="19">
        <v>0.67</v>
      </c>
      <c r="F175" s="10">
        <v>4.3</v>
      </c>
      <c r="G175" s="11">
        <v>2651.0</v>
      </c>
    </row>
    <row r="176">
      <c r="A176" s="7" t="s">
        <v>204</v>
      </c>
      <c r="B176" s="7" t="s">
        <v>15</v>
      </c>
      <c r="C176" s="8">
        <v>399.0</v>
      </c>
      <c r="D176" s="8">
        <v>1999.0</v>
      </c>
      <c r="E176" s="19">
        <v>0.8</v>
      </c>
      <c r="F176" s="10">
        <v>5.0</v>
      </c>
      <c r="G176" s="10">
        <v>5.0</v>
      </c>
    </row>
    <row r="177">
      <c r="A177" s="7" t="s">
        <v>205</v>
      </c>
      <c r="B177" s="7" t="s">
        <v>25</v>
      </c>
      <c r="C177" s="8">
        <v>199.0</v>
      </c>
      <c r="D177" s="8">
        <v>499.0</v>
      </c>
      <c r="E177" s="19">
        <v>0.6</v>
      </c>
      <c r="F177" s="10">
        <v>3.7</v>
      </c>
      <c r="G177" s="10">
        <v>612.0</v>
      </c>
    </row>
    <row r="178">
      <c r="A178" s="7" t="s">
        <v>206</v>
      </c>
      <c r="B178" s="7" t="s">
        <v>15</v>
      </c>
      <c r="C178" s="8">
        <v>88.0</v>
      </c>
      <c r="D178" s="8">
        <v>299.0</v>
      </c>
      <c r="E178" s="19">
        <v>0.71</v>
      </c>
      <c r="F178" s="10">
        <v>4.0</v>
      </c>
      <c r="G178" s="11">
        <v>9378.0</v>
      </c>
    </row>
    <row r="179">
      <c r="A179" s="7" t="s">
        <v>207</v>
      </c>
      <c r="B179" s="7" t="s">
        <v>15</v>
      </c>
      <c r="C179" s="8">
        <v>399.0</v>
      </c>
      <c r="D179" s="8">
        <v>1099.0</v>
      </c>
      <c r="E179" s="19">
        <v>0.64</v>
      </c>
      <c r="F179" s="10">
        <v>4.1</v>
      </c>
      <c r="G179" s="11">
        <v>2685.0</v>
      </c>
    </row>
    <row r="180">
      <c r="A180" s="7" t="s">
        <v>208</v>
      </c>
      <c r="B180" s="7" t="s">
        <v>15</v>
      </c>
      <c r="C180" s="8">
        <v>57.89</v>
      </c>
      <c r="D180" s="8">
        <v>199.0</v>
      </c>
      <c r="E180" s="19">
        <v>0.71</v>
      </c>
      <c r="F180" s="10">
        <v>4.0</v>
      </c>
      <c r="G180" s="11">
        <v>9378.0</v>
      </c>
    </row>
    <row r="181">
      <c r="A181" s="7" t="s">
        <v>209</v>
      </c>
      <c r="B181" s="7" t="s">
        <v>71</v>
      </c>
      <c r="C181" s="8">
        <v>799.0</v>
      </c>
      <c r="D181" s="8">
        <v>1999.0</v>
      </c>
      <c r="E181" s="19">
        <v>0.6</v>
      </c>
      <c r="F181" s="10">
        <v>3.3</v>
      </c>
      <c r="G181" s="10">
        <v>576.0</v>
      </c>
    </row>
    <row r="182">
      <c r="A182" s="7" t="s">
        <v>210</v>
      </c>
      <c r="B182" s="7" t="s">
        <v>71</v>
      </c>
      <c r="C182" s="8">
        <v>205.0</v>
      </c>
      <c r="D182" s="8">
        <v>499.0</v>
      </c>
      <c r="E182" s="19">
        <v>0.59</v>
      </c>
      <c r="F182" s="10">
        <v>3.8</v>
      </c>
      <c r="G182" s="10">
        <v>313.0</v>
      </c>
    </row>
    <row r="183">
      <c r="A183" s="7" t="s">
        <v>211</v>
      </c>
      <c r="B183" s="7" t="s">
        <v>15</v>
      </c>
      <c r="C183" s="8">
        <v>299.0</v>
      </c>
      <c r="D183" s="8">
        <v>699.0</v>
      </c>
      <c r="E183" s="19">
        <v>0.57</v>
      </c>
      <c r="F183" s="10">
        <v>4.1</v>
      </c>
      <c r="G183" s="11">
        <v>2957.0</v>
      </c>
    </row>
    <row r="184">
      <c r="A184" s="7" t="s">
        <v>212</v>
      </c>
      <c r="B184" s="7" t="s">
        <v>15</v>
      </c>
      <c r="C184" s="8">
        <v>849.0</v>
      </c>
      <c r="D184" s="8">
        <v>999.0</v>
      </c>
      <c r="E184" s="19">
        <v>0.15</v>
      </c>
      <c r="F184" s="10">
        <v>4.1</v>
      </c>
      <c r="G184" s="11">
        <v>6736.0</v>
      </c>
    </row>
    <row r="185">
      <c r="A185" s="7" t="s">
        <v>213</v>
      </c>
      <c r="B185" s="7" t="s">
        <v>15</v>
      </c>
      <c r="C185" s="8">
        <v>949.0</v>
      </c>
      <c r="D185" s="8">
        <v>1999.0</v>
      </c>
      <c r="E185" s="19">
        <v>0.53</v>
      </c>
      <c r="F185" s="10">
        <v>4.4</v>
      </c>
      <c r="G185" s="11">
        <v>13552.0</v>
      </c>
    </row>
    <row r="186">
      <c r="A186" s="7" t="s">
        <v>214</v>
      </c>
      <c r="B186" s="7" t="s">
        <v>15</v>
      </c>
      <c r="C186" s="8">
        <v>499.0</v>
      </c>
      <c r="D186" s="8">
        <v>1200.0</v>
      </c>
      <c r="E186" s="19">
        <v>0.58</v>
      </c>
      <c r="F186" s="10">
        <v>4.3</v>
      </c>
      <c r="G186" s="11">
        <v>5451.0</v>
      </c>
    </row>
    <row r="187">
      <c r="A187" s="7" t="s">
        <v>215</v>
      </c>
      <c r="B187" s="7" t="s">
        <v>15</v>
      </c>
      <c r="C187" s="8">
        <v>299.0</v>
      </c>
      <c r="D187" s="8">
        <v>485.0</v>
      </c>
      <c r="E187" s="19">
        <v>0.38</v>
      </c>
      <c r="F187" s="10">
        <v>4.3</v>
      </c>
      <c r="G187" s="11">
        <v>10911.0</v>
      </c>
    </row>
    <row r="188">
      <c r="A188" s="7" t="s">
        <v>216</v>
      </c>
      <c r="B188" s="7" t="s">
        <v>15</v>
      </c>
      <c r="C188" s="8">
        <v>949.0</v>
      </c>
      <c r="D188" s="8">
        <v>1999.0</v>
      </c>
      <c r="E188" s="19">
        <v>0.53</v>
      </c>
      <c r="F188" s="10">
        <v>4.4</v>
      </c>
      <c r="G188" s="11">
        <v>13552.0</v>
      </c>
    </row>
    <row r="189">
      <c r="A189" s="7" t="s">
        <v>217</v>
      </c>
      <c r="B189" s="7" t="s">
        <v>15</v>
      </c>
      <c r="C189" s="8">
        <v>379.0</v>
      </c>
      <c r="D189" s="8">
        <v>1099.0</v>
      </c>
      <c r="E189" s="19">
        <v>0.66</v>
      </c>
      <c r="F189" s="10">
        <v>4.3</v>
      </c>
      <c r="G189" s="11">
        <v>2806.0</v>
      </c>
    </row>
    <row r="190">
      <c r="A190" s="7" t="s">
        <v>218</v>
      </c>
      <c r="B190" s="7" t="s">
        <v>37</v>
      </c>
      <c r="C190" s="8">
        <v>8990.0</v>
      </c>
      <c r="D190" s="8">
        <v>18990.0</v>
      </c>
      <c r="E190" s="19">
        <v>0.53</v>
      </c>
      <c r="F190" s="10">
        <v>3.9</v>
      </c>
      <c r="G190" s="10">
        <v>350.0</v>
      </c>
    </row>
    <row r="191">
      <c r="A191" s="7" t="s">
        <v>219</v>
      </c>
      <c r="B191" s="7" t="s">
        <v>177</v>
      </c>
      <c r="C191" s="8">
        <v>486.0</v>
      </c>
      <c r="D191" s="8">
        <v>1999.0</v>
      </c>
      <c r="E191" s="19">
        <v>0.76</v>
      </c>
      <c r="F191" s="10">
        <v>4.2</v>
      </c>
      <c r="G191" s="11">
        <v>30023.0</v>
      </c>
    </row>
    <row r="192">
      <c r="A192" s="7" t="s">
        <v>220</v>
      </c>
      <c r="B192" s="7" t="s">
        <v>77</v>
      </c>
      <c r="C192" s="8">
        <v>5699.0</v>
      </c>
      <c r="D192" s="8">
        <v>11000.0</v>
      </c>
      <c r="E192" s="19">
        <v>0.48</v>
      </c>
      <c r="F192" s="10">
        <v>4.2</v>
      </c>
      <c r="G192" s="11">
        <v>4003.0</v>
      </c>
    </row>
    <row r="193">
      <c r="A193" s="7" t="s">
        <v>221</v>
      </c>
      <c r="B193" s="7" t="s">
        <v>15</v>
      </c>
      <c r="C193" s="8">
        <v>709.0</v>
      </c>
      <c r="D193" s="8">
        <v>1999.0</v>
      </c>
      <c r="E193" s="19">
        <v>0.65</v>
      </c>
      <c r="F193" s="10">
        <v>4.1</v>
      </c>
      <c r="G193" s="7" t="s">
        <v>222</v>
      </c>
    </row>
    <row r="194">
      <c r="A194" s="7" t="s">
        <v>223</v>
      </c>
      <c r="B194" s="7" t="s">
        <v>37</v>
      </c>
      <c r="C194" s="8">
        <v>47990.0</v>
      </c>
      <c r="D194" s="8">
        <v>70900.0</v>
      </c>
      <c r="E194" s="19">
        <v>0.32</v>
      </c>
      <c r="F194" s="10">
        <v>4.3</v>
      </c>
      <c r="G194" s="11">
        <v>7109.0</v>
      </c>
    </row>
    <row r="195">
      <c r="A195" s="7" t="s">
        <v>224</v>
      </c>
      <c r="B195" s="7" t="s">
        <v>71</v>
      </c>
      <c r="C195" s="8">
        <v>299.0</v>
      </c>
      <c r="D195" s="8">
        <v>1199.0</v>
      </c>
      <c r="E195" s="19">
        <v>0.75</v>
      </c>
      <c r="F195" s="10">
        <v>3.7</v>
      </c>
      <c r="G195" s="10">
        <v>490.0</v>
      </c>
    </row>
    <row r="196">
      <c r="A196" s="7" t="s">
        <v>225</v>
      </c>
      <c r="B196" s="7" t="s">
        <v>15</v>
      </c>
      <c r="C196" s="8">
        <v>320.0</v>
      </c>
      <c r="D196" s="8">
        <v>599.0</v>
      </c>
      <c r="E196" s="19">
        <v>0.47</v>
      </c>
      <c r="F196" s="10">
        <v>4.1</v>
      </c>
      <c r="G196" s="10">
        <v>491.0</v>
      </c>
    </row>
    <row r="197">
      <c r="A197" s="7" t="s">
        <v>226</v>
      </c>
      <c r="B197" s="7" t="s">
        <v>15</v>
      </c>
      <c r="C197" s="8">
        <v>139.0</v>
      </c>
      <c r="D197" s="8">
        <v>549.0</v>
      </c>
      <c r="E197" s="19">
        <v>0.75</v>
      </c>
      <c r="F197" s="10">
        <v>3.9</v>
      </c>
      <c r="G197" s="10">
        <v>61.0</v>
      </c>
    </row>
    <row r="198">
      <c r="A198" s="7" t="s">
        <v>227</v>
      </c>
      <c r="B198" s="7" t="s">
        <v>15</v>
      </c>
      <c r="C198" s="8">
        <v>129.0</v>
      </c>
      <c r="D198" s="8">
        <v>249.0</v>
      </c>
      <c r="E198" s="19">
        <v>0.48</v>
      </c>
      <c r="F198" s="10">
        <v>4.0</v>
      </c>
      <c r="G198" s="11">
        <v>9378.0</v>
      </c>
    </row>
    <row r="199">
      <c r="A199" s="7" t="s">
        <v>228</v>
      </c>
      <c r="B199" s="7" t="s">
        <v>37</v>
      </c>
      <c r="C199" s="8">
        <v>24999.0</v>
      </c>
      <c r="D199" s="8">
        <v>35999.0</v>
      </c>
      <c r="E199" s="19">
        <v>0.31</v>
      </c>
      <c r="F199" s="10">
        <v>4.2</v>
      </c>
      <c r="G199" s="11">
        <v>32840.0</v>
      </c>
    </row>
    <row r="200">
      <c r="A200" s="7" t="s">
        <v>229</v>
      </c>
      <c r="B200" s="7" t="s">
        <v>15</v>
      </c>
      <c r="C200" s="8">
        <v>999.0</v>
      </c>
      <c r="D200" s="8">
        <v>1699.0</v>
      </c>
      <c r="E200" s="19">
        <v>0.41</v>
      </c>
      <c r="F200" s="10">
        <v>4.4</v>
      </c>
      <c r="G200" s="11">
        <v>7318.0</v>
      </c>
    </row>
    <row r="201">
      <c r="A201" s="7" t="s">
        <v>230</v>
      </c>
      <c r="B201" s="7" t="s">
        <v>15</v>
      </c>
      <c r="C201" s="8">
        <v>225.0</v>
      </c>
      <c r="D201" s="8">
        <v>499.0</v>
      </c>
      <c r="E201" s="19">
        <v>0.55</v>
      </c>
      <c r="F201" s="10">
        <v>4.1</v>
      </c>
      <c r="G201" s="10">
        <v>789.0</v>
      </c>
    </row>
    <row r="202">
      <c r="A202" s="7" t="s">
        <v>231</v>
      </c>
      <c r="B202" s="7" t="s">
        <v>71</v>
      </c>
      <c r="C202" s="8">
        <v>547.0</v>
      </c>
      <c r="D202" s="8">
        <v>2999.0</v>
      </c>
      <c r="E202" s="19">
        <v>0.82</v>
      </c>
      <c r="F202" s="10">
        <v>4.3</v>
      </c>
      <c r="G202" s="10">
        <v>407.0</v>
      </c>
    </row>
    <row r="203">
      <c r="A203" s="7" t="s">
        <v>232</v>
      </c>
      <c r="B203" s="7" t="s">
        <v>15</v>
      </c>
      <c r="C203" s="8">
        <v>259.0</v>
      </c>
      <c r="D203" s="8">
        <v>699.0</v>
      </c>
      <c r="E203" s="19">
        <v>0.63</v>
      </c>
      <c r="F203" s="10">
        <v>3.8</v>
      </c>
      <c r="G203" s="11">
        <v>2399.0</v>
      </c>
    </row>
    <row r="204">
      <c r="A204" s="7" t="s">
        <v>233</v>
      </c>
      <c r="B204" s="7" t="s">
        <v>71</v>
      </c>
      <c r="C204" s="8">
        <v>239.0</v>
      </c>
      <c r="D204" s="8">
        <v>699.0</v>
      </c>
      <c r="E204" s="19">
        <v>0.66</v>
      </c>
      <c r="F204" s="10">
        <v>4.4</v>
      </c>
      <c r="G204" s="11">
        <v>2640.0</v>
      </c>
    </row>
    <row r="205">
      <c r="A205" s="7" t="s">
        <v>234</v>
      </c>
      <c r="B205" s="7" t="s">
        <v>71</v>
      </c>
      <c r="C205" s="8">
        <v>349.0</v>
      </c>
      <c r="D205" s="8">
        <v>999.0</v>
      </c>
      <c r="E205" s="19">
        <v>0.65</v>
      </c>
      <c r="F205" s="10">
        <v>4.0</v>
      </c>
      <c r="G205" s="10">
        <v>839.0</v>
      </c>
    </row>
    <row r="206">
      <c r="A206" s="7" t="s">
        <v>235</v>
      </c>
      <c r="B206" s="7" t="s">
        <v>31</v>
      </c>
      <c r="C206" s="8">
        <v>467.0</v>
      </c>
      <c r="D206" s="8">
        <v>599.0</v>
      </c>
      <c r="E206" s="19">
        <v>0.22</v>
      </c>
      <c r="F206" s="10">
        <v>4.4</v>
      </c>
      <c r="G206" s="11">
        <v>44054.0</v>
      </c>
    </row>
    <row r="207">
      <c r="A207" s="7" t="s">
        <v>236</v>
      </c>
      <c r="B207" s="7" t="s">
        <v>15</v>
      </c>
      <c r="C207" s="8">
        <v>449.0</v>
      </c>
      <c r="D207" s="8">
        <v>599.0</v>
      </c>
      <c r="E207" s="19">
        <v>0.25</v>
      </c>
      <c r="F207" s="10">
        <v>4.0</v>
      </c>
      <c r="G207" s="11">
        <v>3231.0</v>
      </c>
    </row>
    <row r="208">
      <c r="A208" s="7" t="s">
        <v>237</v>
      </c>
      <c r="B208" s="7" t="s">
        <v>37</v>
      </c>
      <c r="C208" s="8">
        <v>11990.0</v>
      </c>
      <c r="D208" s="8">
        <v>31990.0</v>
      </c>
      <c r="E208" s="19">
        <v>0.63</v>
      </c>
      <c r="F208" s="10">
        <v>4.2</v>
      </c>
      <c r="G208" s="10">
        <v>64.0</v>
      </c>
    </row>
    <row r="209">
      <c r="A209" s="7" t="s">
        <v>238</v>
      </c>
      <c r="B209" s="7" t="s">
        <v>15</v>
      </c>
      <c r="C209" s="8">
        <v>350.0</v>
      </c>
      <c r="D209" s="8">
        <v>599.0</v>
      </c>
      <c r="E209" s="19">
        <v>0.42</v>
      </c>
      <c r="F209" s="10">
        <v>3.9</v>
      </c>
      <c r="G209" s="11">
        <v>8314.0</v>
      </c>
    </row>
    <row r="210">
      <c r="A210" s="7" t="s">
        <v>239</v>
      </c>
      <c r="B210" s="7" t="s">
        <v>15</v>
      </c>
      <c r="C210" s="8">
        <v>252.0</v>
      </c>
      <c r="D210" s="8">
        <v>999.0</v>
      </c>
      <c r="E210" s="19">
        <v>0.75</v>
      </c>
      <c r="F210" s="10">
        <v>3.7</v>
      </c>
      <c r="G210" s="11">
        <v>2249.0</v>
      </c>
    </row>
    <row r="211">
      <c r="A211" s="7" t="s">
        <v>240</v>
      </c>
      <c r="B211" s="7" t="s">
        <v>71</v>
      </c>
      <c r="C211" s="8">
        <v>204.0</v>
      </c>
      <c r="D211" s="8">
        <v>599.0</v>
      </c>
      <c r="E211" s="19">
        <v>0.66</v>
      </c>
      <c r="F211" s="10">
        <v>3.6</v>
      </c>
      <c r="G211" s="10">
        <v>339.0</v>
      </c>
    </row>
    <row r="212">
      <c r="A212" s="7" t="s">
        <v>241</v>
      </c>
      <c r="B212" s="7" t="s">
        <v>187</v>
      </c>
      <c r="C212" s="8">
        <v>6490.0</v>
      </c>
      <c r="D212" s="8">
        <v>9990.0</v>
      </c>
      <c r="E212" s="19">
        <v>0.35</v>
      </c>
      <c r="F212" s="10">
        <v>4.0</v>
      </c>
      <c r="G212" s="10">
        <v>27.0</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v>0.7</v>
      </c>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v>0.67</v>
      </c>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v>0.58</v>
      </c>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v>0.5</v>
      </c>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v>0.38</v>
      </c>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v>0.57</v>
      </c>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v>0.62</v>
      </c>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1606</v>
      </c>
      <c r="K2" s="17">
        <f>MATCH(I5,A1:A1466,0)</f>
        <v>1121</v>
      </c>
    </row>
    <row r="3">
      <c r="A3" s="7" t="s">
        <v>17</v>
      </c>
      <c r="B3" s="7" t="s">
        <v>15</v>
      </c>
      <c r="C3" s="8">
        <v>199.0</v>
      </c>
      <c r="D3" s="8">
        <v>349.0</v>
      </c>
      <c r="E3" s="19">
        <v>0.43</v>
      </c>
      <c r="F3" s="10">
        <v>4.0</v>
      </c>
      <c r="G3" s="11">
        <v>43994.0</v>
      </c>
    </row>
    <row r="4">
      <c r="A4" s="7" t="s">
        <v>18</v>
      </c>
      <c r="B4" s="7" t="s">
        <v>15</v>
      </c>
      <c r="C4" s="8">
        <v>199.0</v>
      </c>
      <c r="D4" s="8">
        <v>1899.0</v>
      </c>
      <c r="E4" s="19">
        <v>0.9</v>
      </c>
      <c r="F4" s="10">
        <v>3.9</v>
      </c>
      <c r="G4" s="11">
        <v>7928.0</v>
      </c>
      <c r="I4" s="22"/>
    </row>
    <row r="5">
      <c r="A5" s="7" t="s">
        <v>19</v>
      </c>
      <c r="B5" s="7" t="s">
        <v>15</v>
      </c>
      <c r="C5" s="8">
        <v>329.0</v>
      </c>
      <c r="D5" s="8">
        <v>699.0</v>
      </c>
      <c r="E5" s="19">
        <v>0.53</v>
      </c>
      <c r="F5" s="10">
        <v>4.2</v>
      </c>
      <c r="G5" s="11">
        <v>94363.0</v>
      </c>
      <c r="I5" s="6" t="s">
        <v>1216</v>
      </c>
    </row>
    <row r="6">
      <c r="A6" s="7" t="s">
        <v>20</v>
      </c>
      <c r="B6" s="7" t="s">
        <v>15</v>
      </c>
      <c r="C6" s="8">
        <v>154.0</v>
      </c>
      <c r="D6" s="8">
        <v>399.0</v>
      </c>
      <c r="E6" s="19">
        <v>0.61</v>
      </c>
      <c r="F6" s="10">
        <v>4.2</v>
      </c>
      <c r="G6" s="11">
        <v>16905.0</v>
      </c>
    </row>
    <row r="7">
      <c r="A7" s="7" t="s">
        <v>21</v>
      </c>
      <c r="B7" s="7" t="s">
        <v>15</v>
      </c>
      <c r="C7" s="8">
        <v>149.0</v>
      </c>
      <c r="D7" s="8">
        <v>1000.0</v>
      </c>
      <c r="E7" s="19">
        <v>0.85</v>
      </c>
      <c r="F7" s="10">
        <v>3.9</v>
      </c>
      <c r="G7" s="11">
        <v>24871.0</v>
      </c>
    </row>
    <row r="8">
      <c r="A8" s="7" t="s">
        <v>22</v>
      </c>
      <c r="B8" s="7" t="s">
        <v>15</v>
      </c>
      <c r="C8" s="8">
        <v>176.63</v>
      </c>
      <c r="D8" s="8">
        <v>499.0</v>
      </c>
      <c r="E8" s="19">
        <v>0.65</v>
      </c>
      <c r="F8" s="10">
        <v>4.1</v>
      </c>
      <c r="G8" s="11">
        <v>15188.0</v>
      </c>
    </row>
    <row r="9">
      <c r="A9" s="7" t="s">
        <v>23</v>
      </c>
      <c r="B9" s="7" t="s">
        <v>15</v>
      </c>
      <c r="C9" s="8">
        <v>229.0</v>
      </c>
      <c r="D9" s="8">
        <v>299.0</v>
      </c>
      <c r="E9" s="19">
        <v>0.23</v>
      </c>
      <c r="F9" s="10">
        <v>4.3</v>
      </c>
      <c r="G9" s="11">
        <v>30411.0</v>
      </c>
    </row>
    <row r="10">
      <c r="A10" s="7" t="s">
        <v>24</v>
      </c>
      <c r="B10" s="7" t="s">
        <v>25</v>
      </c>
      <c r="C10" s="8">
        <v>499.0</v>
      </c>
      <c r="D10" s="8">
        <v>999.0</v>
      </c>
      <c r="E10" s="19">
        <v>0.5</v>
      </c>
      <c r="F10" s="10">
        <v>4.2</v>
      </c>
      <c r="G10" s="7" t="s">
        <v>26</v>
      </c>
    </row>
    <row r="11">
      <c r="A11" s="7" t="s">
        <v>27</v>
      </c>
      <c r="B11" s="7" t="s">
        <v>15</v>
      </c>
      <c r="C11" s="8">
        <v>199.0</v>
      </c>
      <c r="D11" s="8">
        <v>299.0</v>
      </c>
      <c r="E11" s="19">
        <v>0.33</v>
      </c>
      <c r="F11" s="10">
        <v>4.0</v>
      </c>
      <c r="G11" s="11">
        <v>43994.0</v>
      </c>
    </row>
    <row r="12">
      <c r="A12" s="7" t="s">
        <v>28</v>
      </c>
      <c r="B12" s="7" t="s">
        <v>15</v>
      </c>
      <c r="C12" s="8">
        <v>154.0</v>
      </c>
      <c r="D12" s="8">
        <v>339.0</v>
      </c>
      <c r="E12" s="19">
        <v>0.55</v>
      </c>
      <c r="F12" s="10">
        <v>4.3</v>
      </c>
      <c r="G12" s="11">
        <v>13391.0</v>
      </c>
    </row>
    <row r="13">
      <c r="A13" s="7" t="s">
        <v>29</v>
      </c>
      <c r="B13" s="7" t="s">
        <v>15</v>
      </c>
      <c r="C13" s="8">
        <v>299.0</v>
      </c>
      <c r="D13" s="8">
        <v>799.0</v>
      </c>
      <c r="E13" s="19">
        <v>0.63</v>
      </c>
      <c r="F13" s="10">
        <v>4.2</v>
      </c>
      <c r="G13" s="11">
        <v>94363.0</v>
      </c>
    </row>
    <row r="14">
      <c r="A14" s="7" t="s">
        <v>30</v>
      </c>
      <c r="B14" s="7" t="s">
        <v>31</v>
      </c>
      <c r="C14" s="8">
        <v>219.0</v>
      </c>
      <c r="D14" s="8">
        <v>700.0</v>
      </c>
      <c r="E14" s="19">
        <v>0.69</v>
      </c>
      <c r="F14" s="10">
        <v>4.4</v>
      </c>
      <c r="G14" s="7" t="s">
        <v>32</v>
      </c>
    </row>
    <row r="15">
      <c r="A15" s="7" t="s">
        <v>33</v>
      </c>
      <c r="B15" s="7" t="s">
        <v>15</v>
      </c>
      <c r="C15" s="8">
        <v>350.0</v>
      </c>
      <c r="D15" s="8">
        <v>899.0</v>
      </c>
      <c r="E15" s="19">
        <v>0.61</v>
      </c>
      <c r="F15" s="10">
        <v>4.2</v>
      </c>
      <c r="G15" s="11">
        <v>2262.0</v>
      </c>
    </row>
    <row r="16">
      <c r="A16" s="7" t="s">
        <v>34</v>
      </c>
      <c r="B16" s="7" t="s">
        <v>15</v>
      </c>
      <c r="C16" s="8">
        <v>159.0</v>
      </c>
      <c r="D16" s="8">
        <v>399.0</v>
      </c>
      <c r="E16" s="19">
        <v>0.6</v>
      </c>
      <c r="F16" s="10">
        <v>4.1</v>
      </c>
      <c r="G16" s="11">
        <v>4768.0</v>
      </c>
    </row>
    <row r="17">
      <c r="A17" s="7" t="s">
        <v>35</v>
      </c>
      <c r="B17" s="7" t="s">
        <v>15</v>
      </c>
      <c r="C17" s="8">
        <v>349.0</v>
      </c>
      <c r="D17" s="8">
        <v>399.0</v>
      </c>
      <c r="E17" s="19">
        <v>0.13</v>
      </c>
      <c r="F17" s="10">
        <v>4.4</v>
      </c>
      <c r="G17" s="11">
        <v>18757.0</v>
      </c>
    </row>
    <row r="18">
      <c r="A18" s="7" t="s">
        <v>36</v>
      </c>
      <c r="B18" s="7" t="s">
        <v>37</v>
      </c>
      <c r="C18" s="8">
        <v>13999.0</v>
      </c>
      <c r="D18" s="8">
        <v>24999.0</v>
      </c>
      <c r="E18" s="19">
        <v>0.44</v>
      </c>
      <c r="F18" s="10">
        <v>4.2</v>
      </c>
      <c r="G18" s="11">
        <v>32840.0</v>
      </c>
    </row>
    <row r="19">
      <c r="A19" s="7" t="s">
        <v>38</v>
      </c>
      <c r="B19" s="7" t="s">
        <v>15</v>
      </c>
      <c r="C19" s="8">
        <v>249.0</v>
      </c>
      <c r="D19" s="8">
        <v>399.0</v>
      </c>
      <c r="E19" s="19">
        <v>0.38</v>
      </c>
      <c r="F19" s="10">
        <v>4.0</v>
      </c>
      <c r="G19" s="11">
        <v>43994.0</v>
      </c>
    </row>
    <row r="20">
      <c r="A20" s="7" t="s">
        <v>39</v>
      </c>
      <c r="B20" s="7" t="s">
        <v>15</v>
      </c>
      <c r="C20" s="8">
        <v>199.0</v>
      </c>
      <c r="D20" s="8">
        <v>499.0</v>
      </c>
      <c r="E20" s="19">
        <v>0.6</v>
      </c>
      <c r="F20" s="10">
        <v>4.1</v>
      </c>
      <c r="G20" s="11">
        <v>13045.0</v>
      </c>
    </row>
    <row r="21">
      <c r="A21" s="7" t="s">
        <v>40</v>
      </c>
      <c r="B21" s="7" t="s">
        <v>37</v>
      </c>
      <c r="C21" s="8">
        <v>13490.0</v>
      </c>
      <c r="D21" s="8">
        <v>21990.0</v>
      </c>
      <c r="E21" s="19">
        <v>0.39</v>
      </c>
      <c r="F21" s="10">
        <v>4.3</v>
      </c>
      <c r="G21" s="11">
        <v>11976.0</v>
      </c>
    </row>
    <row r="22">
      <c r="A22" s="7" t="s">
        <v>41</v>
      </c>
      <c r="B22" s="7" t="s">
        <v>15</v>
      </c>
      <c r="C22" s="8">
        <v>970.0</v>
      </c>
      <c r="D22" s="8">
        <v>1799.0</v>
      </c>
      <c r="E22" s="19">
        <v>0.46</v>
      </c>
      <c r="F22" s="10">
        <v>4.5</v>
      </c>
      <c r="G22" s="10">
        <v>815.0</v>
      </c>
    </row>
    <row r="23">
      <c r="A23" s="7" t="s">
        <v>42</v>
      </c>
      <c r="B23" s="7" t="s">
        <v>31</v>
      </c>
      <c r="C23" s="8">
        <v>279.0</v>
      </c>
      <c r="D23" s="8">
        <v>499.0</v>
      </c>
      <c r="E23" s="19">
        <v>0.44</v>
      </c>
      <c r="F23" s="10">
        <v>3.7</v>
      </c>
      <c r="G23" s="11">
        <v>10962.0</v>
      </c>
    </row>
    <row r="24">
      <c r="A24" s="7" t="s">
        <v>43</v>
      </c>
      <c r="B24" s="7" t="s">
        <v>37</v>
      </c>
      <c r="C24" s="8">
        <v>13490.0</v>
      </c>
      <c r="D24" s="8">
        <v>22900.0</v>
      </c>
      <c r="E24" s="19">
        <v>0.41</v>
      </c>
      <c r="F24" s="10">
        <v>4.3</v>
      </c>
      <c r="G24" s="11">
        <v>16299.0</v>
      </c>
    </row>
    <row r="25">
      <c r="A25" s="7" t="s">
        <v>44</v>
      </c>
      <c r="B25" s="7" t="s">
        <v>15</v>
      </c>
      <c r="C25" s="8">
        <v>59.0</v>
      </c>
      <c r="D25" s="8">
        <v>199.0</v>
      </c>
      <c r="E25" s="19">
        <v>0.7</v>
      </c>
      <c r="F25" s="10">
        <v>4.0</v>
      </c>
      <c r="G25" s="11">
        <v>9378.0</v>
      </c>
    </row>
    <row r="26">
      <c r="A26" s="7" t="s">
        <v>45</v>
      </c>
      <c r="B26" s="7" t="s">
        <v>37</v>
      </c>
      <c r="C26" s="8">
        <v>11499.0</v>
      </c>
      <c r="D26" s="8">
        <v>19990.0</v>
      </c>
      <c r="E26" s="19">
        <v>0.42</v>
      </c>
      <c r="F26" s="10">
        <v>4.3</v>
      </c>
      <c r="G26" s="11">
        <v>4703.0</v>
      </c>
    </row>
    <row r="27">
      <c r="A27" s="7" t="s">
        <v>46</v>
      </c>
      <c r="B27" s="7" t="s">
        <v>31</v>
      </c>
      <c r="C27" s="8">
        <v>199.0</v>
      </c>
      <c r="D27" s="8">
        <v>699.0</v>
      </c>
      <c r="E27" s="19">
        <v>0.72</v>
      </c>
      <c r="F27" s="10">
        <v>4.2</v>
      </c>
      <c r="G27" s="11">
        <v>12153.0</v>
      </c>
    </row>
    <row r="28">
      <c r="A28" s="7" t="s">
        <v>47</v>
      </c>
      <c r="B28" s="7" t="s">
        <v>37</v>
      </c>
      <c r="C28" s="8">
        <v>14999.0</v>
      </c>
      <c r="D28" s="8">
        <v>19999.0</v>
      </c>
      <c r="E28" s="19">
        <v>0.25</v>
      </c>
      <c r="F28" s="10">
        <v>4.2</v>
      </c>
      <c r="G28" s="11">
        <v>34899.0</v>
      </c>
    </row>
    <row r="29">
      <c r="A29" s="7" t="s">
        <v>48</v>
      </c>
      <c r="B29" s="7" t="s">
        <v>15</v>
      </c>
      <c r="C29" s="8">
        <v>299.0</v>
      </c>
      <c r="D29" s="8">
        <v>399.0</v>
      </c>
      <c r="E29" s="19">
        <v>0.25</v>
      </c>
      <c r="F29" s="10">
        <v>4.0</v>
      </c>
      <c r="G29" s="11">
        <v>2766.0</v>
      </c>
    </row>
    <row r="30">
      <c r="A30" s="7" t="s">
        <v>49</v>
      </c>
      <c r="B30" s="7" t="s">
        <v>15</v>
      </c>
      <c r="C30" s="8">
        <v>970.0</v>
      </c>
      <c r="D30" s="8">
        <v>1999.0</v>
      </c>
      <c r="E30" s="19">
        <v>0.51</v>
      </c>
      <c r="F30" s="10">
        <v>4.4</v>
      </c>
      <c r="G30" s="10">
        <v>184.0</v>
      </c>
    </row>
    <row r="31">
      <c r="A31" s="7" t="s">
        <v>50</v>
      </c>
      <c r="B31" s="7" t="s">
        <v>15</v>
      </c>
      <c r="C31" s="8">
        <v>299.0</v>
      </c>
      <c r="D31" s="8">
        <v>999.0</v>
      </c>
      <c r="E31" s="19">
        <v>0.7</v>
      </c>
      <c r="F31" s="10">
        <v>4.3</v>
      </c>
      <c r="G31" s="11">
        <v>20850.0</v>
      </c>
    </row>
    <row r="32">
      <c r="A32" s="7" t="s">
        <v>51</v>
      </c>
      <c r="B32" s="7" t="s">
        <v>15</v>
      </c>
      <c r="C32" s="8">
        <v>199.0</v>
      </c>
      <c r="D32" s="8">
        <v>750.0</v>
      </c>
      <c r="E32" s="19">
        <v>0.73</v>
      </c>
      <c r="F32" s="10">
        <v>4.5</v>
      </c>
      <c r="G32" s="11">
        <v>74976.0</v>
      </c>
    </row>
    <row r="33">
      <c r="A33" s="7" t="s">
        <v>52</v>
      </c>
      <c r="B33" s="7" t="s">
        <v>15</v>
      </c>
      <c r="C33" s="8">
        <v>179.0</v>
      </c>
      <c r="D33" s="8">
        <v>499.0</v>
      </c>
      <c r="E33" s="19">
        <v>0.64</v>
      </c>
      <c r="F33" s="10">
        <v>4.0</v>
      </c>
      <c r="G33" s="11">
        <v>1934.0</v>
      </c>
    </row>
    <row r="34">
      <c r="A34" s="7" t="s">
        <v>53</v>
      </c>
      <c r="B34" s="7" t="s">
        <v>15</v>
      </c>
      <c r="C34" s="8">
        <v>389.0</v>
      </c>
      <c r="D34" s="8">
        <v>1099.0</v>
      </c>
      <c r="E34" s="19">
        <v>0.65</v>
      </c>
      <c r="F34" s="10">
        <v>4.3</v>
      </c>
      <c r="G34" s="10">
        <v>974.0</v>
      </c>
    </row>
    <row r="35">
      <c r="A35" s="7" t="s">
        <v>54</v>
      </c>
      <c r="B35" s="7" t="s">
        <v>15</v>
      </c>
      <c r="C35" s="8">
        <v>599.0</v>
      </c>
      <c r="D35" s="8">
        <v>599.0</v>
      </c>
      <c r="E35" s="19">
        <v>0.0</v>
      </c>
      <c r="F35" s="10">
        <v>4.3</v>
      </c>
      <c r="G35" s="10">
        <v>355.0</v>
      </c>
    </row>
    <row r="36">
      <c r="A36" s="7" t="s">
        <v>55</v>
      </c>
      <c r="B36" s="7" t="s">
        <v>15</v>
      </c>
      <c r="C36" s="8">
        <v>199.0</v>
      </c>
      <c r="D36" s="8">
        <v>999.0</v>
      </c>
      <c r="E36" s="19">
        <v>0.8</v>
      </c>
      <c r="F36" s="10">
        <v>3.9</v>
      </c>
      <c r="G36" s="11">
        <v>1075.0</v>
      </c>
    </row>
    <row r="37">
      <c r="A37" s="7" t="s">
        <v>56</v>
      </c>
      <c r="B37" s="7" t="s">
        <v>15</v>
      </c>
      <c r="C37" s="8">
        <v>99.0</v>
      </c>
      <c r="D37" s="8">
        <v>666.66</v>
      </c>
      <c r="E37" s="19">
        <v>0.85</v>
      </c>
      <c r="F37" s="10">
        <v>3.9</v>
      </c>
      <c r="G37" s="11">
        <v>24871.0</v>
      </c>
    </row>
    <row r="38">
      <c r="A38" s="7" t="s">
        <v>57</v>
      </c>
      <c r="B38" s="7" t="s">
        <v>15</v>
      </c>
      <c r="C38" s="8">
        <v>899.0</v>
      </c>
      <c r="D38" s="8">
        <v>1900.0</v>
      </c>
      <c r="E38" s="19">
        <v>0.53</v>
      </c>
      <c r="F38" s="10">
        <v>4.4</v>
      </c>
      <c r="G38" s="11">
        <v>13552.0</v>
      </c>
    </row>
    <row r="39">
      <c r="A39" s="7" t="s">
        <v>58</v>
      </c>
      <c r="B39" s="7" t="s">
        <v>15</v>
      </c>
      <c r="C39" s="8">
        <v>199.0</v>
      </c>
      <c r="D39" s="8">
        <v>999.0</v>
      </c>
      <c r="E39" s="19">
        <v>0.8</v>
      </c>
      <c r="F39" s="10">
        <v>4.0</v>
      </c>
      <c r="G39" s="10">
        <v>576.0</v>
      </c>
    </row>
    <row r="40">
      <c r="A40" s="7" t="s">
        <v>59</v>
      </c>
      <c r="B40" s="7" t="s">
        <v>37</v>
      </c>
      <c r="C40" s="8">
        <v>32999.0</v>
      </c>
      <c r="D40" s="8">
        <v>45999.0</v>
      </c>
      <c r="E40" s="19">
        <v>0.28</v>
      </c>
      <c r="F40" s="10">
        <v>4.2</v>
      </c>
      <c r="G40" s="11">
        <v>7298.0</v>
      </c>
    </row>
    <row r="41">
      <c r="A41" s="7" t="s">
        <v>60</v>
      </c>
      <c r="B41" s="7" t="s">
        <v>15</v>
      </c>
      <c r="C41" s="8">
        <v>970.0</v>
      </c>
      <c r="D41" s="8">
        <v>1999.0</v>
      </c>
      <c r="E41" s="19">
        <v>0.51</v>
      </c>
      <c r="F41" s="10">
        <v>4.2</v>
      </c>
      <c r="G41" s="10">
        <v>462.0</v>
      </c>
    </row>
    <row r="42">
      <c r="A42" s="7" t="s">
        <v>61</v>
      </c>
      <c r="B42" s="7" t="s">
        <v>15</v>
      </c>
      <c r="C42" s="8">
        <v>209.0</v>
      </c>
      <c r="D42" s="8">
        <v>695.0</v>
      </c>
      <c r="E42" s="19">
        <v>0.7</v>
      </c>
      <c r="F42" s="10">
        <v>4.5</v>
      </c>
      <c r="G42" s="7" t="s">
        <v>62</v>
      </c>
    </row>
    <row r="43">
      <c r="A43" s="7" t="s">
        <v>63</v>
      </c>
      <c r="B43" s="7" t="s">
        <v>37</v>
      </c>
      <c r="C43" s="8">
        <v>19999.0</v>
      </c>
      <c r="D43" s="8">
        <v>34999.0</v>
      </c>
      <c r="E43" s="19">
        <v>0.43</v>
      </c>
      <c r="F43" s="10">
        <v>4.3</v>
      </c>
      <c r="G43" s="11">
        <v>27151.0</v>
      </c>
    </row>
    <row r="44">
      <c r="A44" s="7" t="s">
        <v>64</v>
      </c>
      <c r="B44" s="7" t="s">
        <v>15</v>
      </c>
      <c r="C44" s="8">
        <v>399.0</v>
      </c>
      <c r="D44" s="8">
        <v>1099.0</v>
      </c>
      <c r="E44" s="19">
        <v>0.64</v>
      </c>
      <c r="F44" s="10">
        <v>4.2</v>
      </c>
      <c r="G44" s="11">
        <v>24269.0</v>
      </c>
    </row>
    <row r="45">
      <c r="A45" s="7" t="s">
        <v>65</v>
      </c>
      <c r="B45" s="7" t="s">
        <v>25</v>
      </c>
      <c r="C45" s="8">
        <v>999.0</v>
      </c>
      <c r="D45" s="8">
        <v>1599.0</v>
      </c>
      <c r="E45" s="19">
        <v>0.38</v>
      </c>
      <c r="F45" s="10">
        <v>4.3</v>
      </c>
      <c r="G45" s="11">
        <v>12093.0</v>
      </c>
    </row>
    <row r="46">
      <c r="A46" s="7" t="s">
        <v>66</v>
      </c>
      <c r="B46" s="7" t="s">
        <v>15</v>
      </c>
      <c r="C46" s="8">
        <v>59.0</v>
      </c>
      <c r="D46" s="8">
        <v>199.0</v>
      </c>
      <c r="E46" s="19">
        <v>0.7</v>
      </c>
      <c r="F46" s="10">
        <v>4.0</v>
      </c>
      <c r="G46" s="11">
        <v>9378.0</v>
      </c>
    </row>
    <row r="47">
      <c r="A47" s="7" t="s">
        <v>67</v>
      </c>
      <c r="B47" s="7" t="s">
        <v>15</v>
      </c>
      <c r="C47" s="8">
        <v>333.0</v>
      </c>
      <c r="D47" s="8">
        <v>999.0</v>
      </c>
      <c r="E47" s="19">
        <v>0.67</v>
      </c>
      <c r="F47" s="10">
        <v>3.3</v>
      </c>
      <c r="G47" s="11">
        <v>9792.0</v>
      </c>
    </row>
    <row r="48">
      <c r="A48" s="7" t="s">
        <v>68</v>
      </c>
      <c r="B48" s="7" t="s">
        <v>25</v>
      </c>
      <c r="C48" s="8">
        <v>507.0</v>
      </c>
      <c r="D48" s="8">
        <v>1208.0</v>
      </c>
      <c r="E48" s="19">
        <v>0.58</v>
      </c>
      <c r="F48" s="10">
        <v>4.1</v>
      </c>
      <c r="G48" s="11">
        <v>8131.0</v>
      </c>
    </row>
    <row r="49">
      <c r="A49" s="7" t="s">
        <v>69</v>
      </c>
      <c r="B49" s="7" t="s">
        <v>31</v>
      </c>
      <c r="C49" s="8">
        <v>309.0</v>
      </c>
      <c r="D49" s="8">
        <v>475.0</v>
      </c>
      <c r="E49" s="19">
        <v>0.35</v>
      </c>
      <c r="F49" s="10">
        <v>4.4</v>
      </c>
      <c r="G49" s="7" t="s">
        <v>32</v>
      </c>
    </row>
    <row r="50">
      <c r="A50" s="7" t="s">
        <v>70</v>
      </c>
      <c r="B50" s="7" t="s">
        <v>71</v>
      </c>
      <c r="C50" s="8">
        <v>399.0</v>
      </c>
      <c r="D50" s="8">
        <v>999.0</v>
      </c>
      <c r="E50" s="19">
        <v>0.6</v>
      </c>
      <c r="F50" s="10">
        <v>3.6</v>
      </c>
      <c r="G50" s="10">
        <v>493.0</v>
      </c>
    </row>
    <row r="51">
      <c r="A51" s="7" t="s">
        <v>72</v>
      </c>
      <c r="B51" s="7" t="s">
        <v>15</v>
      </c>
      <c r="C51" s="8">
        <v>199.0</v>
      </c>
      <c r="D51" s="8">
        <v>395.0</v>
      </c>
      <c r="E51" s="19">
        <v>0.5</v>
      </c>
      <c r="F51" s="10">
        <v>4.2</v>
      </c>
      <c r="G51" s="11">
        <v>92595.0</v>
      </c>
    </row>
    <row r="52">
      <c r="A52" s="7" t="s">
        <v>73</v>
      </c>
      <c r="B52" s="7" t="s">
        <v>25</v>
      </c>
      <c r="C52" s="8">
        <v>1199.0</v>
      </c>
      <c r="D52" s="8">
        <v>2199.0</v>
      </c>
      <c r="E52" s="19">
        <v>0.45</v>
      </c>
      <c r="F52" s="10">
        <v>4.4</v>
      </c>
      <c r="G52" s="11">
        <v>24780.0</v>
      </c>
    </row>
    <row r="53">
      <c r="A53" s="7" t="s">
        <v>74</v>
      </c>
      <c r="B53" s="7" t="s">
        <v>15</v>
      </c>
      <c r="C53" s="8">
        <v>179.0</v>
      </c>
      <c r="D53" s="8">
        <v>500.0</v>
      </c>
      <c r="E53" s="19">
        <v>0.64</v>
      </c>
      <c r="F53" s="10">
        <v>4.2</v>
      </c>
      <c r="G53" s="11">
        <v>92595.0</v>
      </c>
    </row>
    <row r="54">
      <c r="A54" s="7" t="s">
        <v>75</v>
      </c>
      <c r="B54" s="7" t="s">
        <v>15</v>
      </c>
      <c r="C54" s="8">
        <v>799.0</v>
      </c>
      <c r="D54" s="8">
        <v>2100.0</v>
      </c>
      <c r="E54" s="19">
        <v>0.62</v>
      </c>
      <c r="F54" s="10">
        <v>4.3</v>
      </c>
      <c r="G54" s="11">
        <v>8188.0</v>
      </c>
    </row>
    <row r="55">
      <c r="A55" s="7" t="s">
        <v>76</v>
      </c>
      <c r="B55" s="7" t="s">
        <v>77</v>
      </c>
      <c r="C55" s="8">
        <v>6999.0</v>
      </c>
      <c r="D55" s="8">
        <v>12999.0</v>
      </c>
      <c r="E55" s="19">
        <v>0.46</v>
      </c>
      <c r="F55" s="10">
        <v>4.2</v>
      </c>
      <c r="G55" s="11">
        <v>4003.0</v>
      </c>
    </row>
    <row r="56">
      <c r="A56" s="7" t="s">
        <v>78</v>
      </c>
      <c r="B56" s="7" t="s">
        <v>15</v>
      </c>
      <c r="C56" s="8">
        <v>199.0</v>
      </c>
      <c r="D56" s="8">
        <v>349.0</v>
      </c>
      <c r="E56" s="19">
        <v>0.43</v>
      </c>
      <c r="F56" s="10">
        <v>4.1</v>
      </c>
      <c r="G56" s="10">
        <v>314.0</v>
      </c>
    </row>
    <row r="57">
      <c r="A57" s="7" t="s">
        <v>79</v>
      </c>
      <c r="B57" s="7" t="s">
        <v>71</v>
      </c>
      <c r="C57" s="8">
        <v>230.0</v>
      </c>
      <c r="D57" s="8">
        <v>499.0</v>
      </c>
      <c r="E57" s="19">
        <v>0.54</v>
      </c>
      <c r="F57" s="10">
        <v>3.7</v>
      </c>
      <c r="G57" s="11">
        <v>2960.0</v>
      </c>
    </row>
    <row r="58">
      <c r="A58" s="7" t="s">
        <v>80</v>
      </c>
      <c r="B58" s="7" t="s">
        <v>25</v>
      </c>
      <c r="C58" s="8">
        <v>649.0</v>
      </c>
      <c r="D58" s="8">
        <v>1399.0</v>
      </c>
      <c r="E58" s="19">
        <v>0.54</v>
      </c>
      <c r="F58" s="10">
        <v>4.2</v>
      </c>
      <c r="G58" s="7" t="s">
        <v>26</v>
      </c>
    </row>
    <row r="59">
      <c r="A59" s="7" t="s">
        <v>81</v>
      </c>
      <c r="B59" s="7" t="s">
        <v>37</v>
      </c>
      <c r="C59" s="8">
        <v>15999.0</v>
      </c>
      <c r="D59" s="8">
        <v>21999.0</v>
      </c>
      <c r="E59" s="19">
        <v>0.27</v>
      </c>
      <c r="F59" s="10">
        <v>4.2</v>
      </c>
      <c r="G59" s="11">
        <v>34899.0</v>
      </c>
    </row>
    <row r="60">
      <c r="A60" s="7" t="s">
        <v>82</v>
      </c>
      <c r="B60" s="7" t="s">
        <v>15</v>
      </c>
      <c r="C60" s="8">
        <v>348.0</v>
      </c>
      <c r="D60" s="8">
        <v>1499.0</v>
      </c>
      <c r="E60" s="19">
        <v>0.77</v>
      </c>
      <c r="F60" s="10">
        <v>4.2</v>
      </c>
      <c r="G60" s="10">
        <v>656.0</v>
      </c>
    </row>
    <row r="61">
      <c r="A61" s="7" t="s">
        <v>83</v>
      </c>
      <c r="B61" s="7" t="s">
        <v>15</v>
      </c>
      <c r="C61" s="8">
        <v>154.0</v>
      </c>
      <c r="D61" s="8">
        <v>349.0</v>
      </c>
      <c r="E61" s="19">
        <v>0.56</v>
      </c>
      <c r="F61" s="10">
        <v>4.3</v>
      </c>
      <c r="G61" s="11">
        <v>7064.0</v>
      </c>
    </row>
    <row r="62">
      <c r="A62" s="7" t="s">
        <v>84</v>
      </c>
      <c r="B62" s="7" t="s">
        <v>71</v>
      </c>
      <c r="C62" s="8">
        <v>179.0</v>
      </c>
      <c r="D62" s="8">
        <v>799.0</v>
      </c>
      <c r="E62" s="19">
        <v>0.78</v>
      </c>
      <c r="F62" s="10">
        <v>3.7</v>
      </c>
      <c r="G62" s="11">
        <v>2201.0</v>
      </c>
    </row>
    <row r="63">
      <c r="A63" s="7" t="s">
        <v>85</v>
      </c>
      <c r="B63" s="7" t="s">
        <v>37</v>
      </c>
      <c r="C63" s="8">
        <v>32990.0</v>
      </c>
      <c r="D63" s="8">
        <v>47900.0</v>
      </c>
      <c r="E63" s="19">
        <v>0.31</v>
      </c>
      <c r="F63" s="10">
        <v>4.3</v>
      </c>
      <c r="G63" s="11">
        <v>7109.0</v>
      </c>
    </row>
    <row r="64">
      <c r="A64" s="7" t="s">
        <v>86</v>
      </c>
      <c r="B64" s="7" t="s">
        <v>15</v>
      </c>
      <c r="C64" s="8">
        <v>139.0</v>
      </c>
      <c r="D64" s="8">
        <v>999.0</v>
      </c>
      <c r="E64" s="19">
        <v>0.86</v>
      </c>
      <c r="F64" s="10">
        <v>4.0</v>
      </c>
      <c r="G64" s="11">
        <v>1313.0</v>
      </c>
    </row>
    <row r="65">
      <c r="A65" s="7" t="s">
        <v>87</v>
      </c>
      <c r="B65" s="7" t="s">
        <v>15</v>
      </c>
      <c r="C65" s="8">
        <v>329.0</v>
      </c>
      <c r="D65" s="8">
        <v>845.0</v>
      </c>
      <c r="E65" s="19">
        <v>0.61</v>
      </c>
      <c r="F65" s="10">
        <v>4.2</v>
      </c>
      <c r="G65" s="11">
        <v>29746.0</v>
      </c>
    </row>
    <row r="66">
      <c r="A66" s="7" t="s">
        <v>88</v>
      </c>
      <c r="B66" s="7" t="s">
        <v>37</v>
      </c>
      <c r="C66" s="8">
        <v>13999.0</v>
      </c>
      <c r="D66" s="8">
        <v>24999.0</v>
      </c>
      <c r="E66" s="19">
        <v>0.44</v>
      </c>
      <c r="F66" s="10">
        <v>4.2</v>
      </c>
      <c r="G66" s="11">
        <v>45238.0</v>
      </c>
    </row>
    <row r="67">
      <c r="A67" s="7" t="s">
        <v>89</v>
      </c>
      <c r="B67" s="7" t="s">
        <v>31</v>
      </c>
      <c r="C67" s="8">
        <v>309.0</v>
      </c>
      <c r="D67" s="8">
        <v>1400.0</v>
      </c>
      <c r="E67" s="19">
        <v>0.78</v>
      </c>
      <c r="F67" s="10">
        <v>4.4</v>
      </c>
      <c r="G67" s="7" t="s">
        <v>32</v>
      </c>
    </row>
    <row r="68">
      <c r="A68" s="7" t="s">
        <v>90</v>
      </c>
      <c r="B68" s="7" t="s">
        <v>15</v>
      </c>
      <c r="C68" s="8">
        <v>263.0</v>
      </c>
      <c r="D68" s="8">
        <v>699.0</v>
      </c>
      <c r="E68" s="19">
        <v>0.62</v>
      </c>
      <c r="F68" s="10">
        <v>4.1</v>
      </c>
      <c r="G68" s="10">
        <v>450.0</v>
      </c>
    </row>
    <row r="69">
      <c r="A69" s="7" t="s">
        <v>91</v>
      </c>
      <c r="B69" s="7" t="s">
        <v>77</v>
      </c>
      <c r="C69" s="8">
        <v>7999.0</v>
      </c>
      <c r="D69" s="8">
        <v>14990.0</v>
      </c>
      <c r="E69" s="19">
        <v>0.47</v>
      </c>
      <c r="F69" s="10">
        <v>4.3</v>
      </c>
      <c r="G69" s="10">
        <v>457.0</v>
      </c>
    </row>
    <row r="70">
      <c r="A70" s="7" t="s">
        <v>92</v>
      </c>
      <c r="B70" s="7" t="s">
        <v>93</v>
      </c>
      <c r="C70" s="8">
        <v>1599.0</v>
      </c>
      <c r="D70" s="8">
        <v>2999.0</v>
      </c>
      <c r="E70" s="19">
        <v>0.47</v>
      </c>
      <c r="F70" s="10">
        <v>4.2</v>
      </c>
      <c r="G70" s="11">
        <v>2727.0</v>
      </c>
    </row>
    <row r="71">
      <c r="A71" s="7" t="s">
        <v>94</v>
      </c>
      <c r="B71" s="7" t="s">
        <v>15</v>
      </c>
      <c r="C71" s="8">
        <v>219.0</v>
      </c>
      <c r="D71" s="8">
        <v>700.0</v>
      </c>
      <c r="E71" s="19">
        <v>0.69</v>
      </c>
      <c r="F71" s="10">
        <v>4.3</v>
      </c>
      <c r="G71" s="11">
        <v>20053.0</v>
      </c>
    </row>
    <row r="72">
      <c r="A72" s="7" t="s">
        <v>95</v>
      </c>
      <c r="B72" s="7" t="s">
        <v>15</v>
      </c>
      <c r="C72" s="8">
        <v>349.0</v>
      </c>
      <c r="D72" s="8">
        <v>899.0</v>
      </c>
      <c r="E72" s="19">
        <v>0.61</v>
      </c>
      <c r="F72" s="10">
        <v>4.5</v>
      </c>
      <c r="G72" s="10">
        <v>149.0</v>
      </c>
    </row>
    <row r="73">
      <c r="A73" s="7" t="s">
        <v>96</v>
      </c>
      <c r="B73" s="7" t="s">
        <v>15</v>
      </c>
      <c r="C73" s="8">
        <v>349.0</v>
      </c>
      <c r="D73" s="8">
        <v>599.0</v>
      </c>
      <c r="E73" s="19">
        <v>0.42</v>
      </c>
      <c r="F73" s="10">
        <v>4.1</v>
      </c>
      <c r="G73" s="10">
        <v>210.0</v>
      </c>
    </row>
    <row r="74">
      <c r="A74" s="7" t="s">
        <v>97</v>
      </c>
      <c r="B74" s="7" t="s">
        <v>37</v>
      </c>
      <c r="C74" s="8">
        <v>26999.0</v>
      </c>
      <c r="D74" s="8">
        <v>42999.0</v>
      </c>
      <c r="E74" s="19">
        <v>0.37</v>
      </c>
      <c r="F74" s="10">
        <v>4.2</v>
      </c>
      <c r="G74" s="11">
        <v>45238.0</v>
      </c>
    </row>
    <row r="75">
      <c r="A75" s="7" t="s">
        <v>98</v>
      </c>
      <c r="B75" s="7" t="s">
        <v>15</v>
      </c>
      <c r="C75" s="8">
        <v>115.0</v>
      </c>
      <c r="D75" s="8">
        <v>499.0</v>
      </c>
      <c r="E75" s="19">
        <v>0.77</v>
      </c>
      <c r="F75" s="10">
        <v>4.0</v>
      </c>
      <c r="G75" s="11">
        <v>7732.0</v>
      </c>
    </row>
    <row r="76">
      <c r="A76" s="7" t="s">
        <v>99</v>
      </c>
      <c r="B76" s="7" t="s">
        <v>15</v>
      </c>
      <c r="C76" s="8">
        <v>399.0</v>
      </c>
      <c r="D76" s="8">
        <v>999.0</v>
      </c>
      <c r="E76" s="19">
        <v>0.6</v>
      </c>
      <c r="F76" s="10">
        <v>4.1</v>
      </c>
      <c r="G76" s="11">
        <v>1780.0</v>
      </c>
    </row>
    <row r="77">
      <c r="A77" s="7" t="s">
        <v>100</v>
      </c>
      <c r="B77" s="7" t="s">
        <v>15</v>
      </c>
      <c r="C77" s="8">
        <v>199.0</v>
      </c>
      <c r="D77" s="8">
        <v>499.0</v>
      </c>
      <c r="E77" s="19">
        <v>0.6</v>
      </c>
      <c r="F77" s="10">
        <v>4.1</v>
      </c>
      <c r="G77" s="10">
        <v>602.0</v>
      </c>
    </row>
    <row r="78">
      <c r="A78" s="7" t="s">
        <v>101</v>
      </c>
      <c r="B78" s="7" t="s">
        <v>15</v>
      </c>
      <c r="C78" s="8">
        <v>179.0</v>
      </c>
      <c r="D78" s="8">
        <v>399.0</v>
      </c>
      <c r="E78" s="19">
        <v>0.55</v>
      </c>
      <c r="F78" s="10">
        <v>4.0</v>
      </c>
      <c r="G78" s="11">
        <v>1423.0</v>
      </c>
    </row>
    <row r="79">
      <c r="A79" s="7" t="s">
        <v>102</v>
      </c>
      <c r="B79" s="7" t="s">
        <v>37</v>
      </c>
      <c r="C79" s="8">
        <v>10901.0</v>
      </c>
      <c r="D79" s="8">
        <v>30990.0</v>
      </c>
      <c r="E79" s="19">
        <v>0.65</v>
      </c>
      <c r="F79" s="10">
        <v>4.1</v>
      </c>
      <c r="G79" s="10">
        <v>398.0</v>
      </c>
    </row>
    <row r="80">
      <c r="A80" s="7" t="s">
        <v>103</v>
      </c>
      <c r="B80" s="7" t="s">
        <v>15</v>
      </c>
      <c r="C80" s="8">
        <v>209.0</v>
      </c>
      <c r="D80" s="8">
        <v>499.0</v>
      </c>
      <c r="E80" s="19">
        <v>0.58</v>
      </c>
      <c r="F80" s="10">
        <v>3.9</v>
      </c>
      <c r="G80" s="10">
        <v>536.0</v>
      </c>
    </row>
    <row r="81">
      <c r="A81" s="7" t="s">
        <v>104</v>
      </c>
      <c r="B81" s="7" t="s">
        <v>71</v>
      </c>
      <c r="C81" s="8">
        <v>1434.0</v>
      </c>
      <c r="D81" s="8">
        <v>3999.0</v>
      </c>
      <c r="E81" s="19">
        <v>0.64</v>
      </c>
      <c r="F81" s="10">
        <v>4.0</v>
      </c>
      <c r="G81" s="10">
        <v>32.0</v>
      </c>
    </row>
    <row r="82">
      <c r="A82" s="7" t="s">
        <v>105</v>
      </c>
      <c r="B82" s="7" t="s">
        <v>15</v>
      </c>
      <c r="C82" s="8">
        <v>399.0</v>
      </c>
      <c r="D82" s="8">
        <v>1099.0</v>
      </c>
      <c r="E82" s="19">
        <v>0.64</v>
      </c>
      <c r="F82" s="10">
        <v>4.2</v>
      </c>
      <c r="G82" s="11">
        <v>24269.0</v>
      </c>
    </row>
    <row r="83">
      <c r="A83" s="7" t="s">
        <v>106</v>
      </c>
      <c r="B83" s="7" t="s">
        <v>15</v>
      </c>
      <c r="C83" s="8">
        <v>139.0</v>
      </c>
      <c r="D83" s="8">
        <v>249.0</v>
      </c>
      <c r="E83" s="19">
        <v>0.44</v>
      </c>
      <c r="F83" s="10">
        <v>4.0</v>
      </c>
      <c r="G83" s="11">
        <v>9378.0</v>
      </c>
    </row>
    <row r="84">
      <c r="A84" s="7" t="s">
        <v>107</v>
      </c>
      <c r="B84" s="7" t="s">
        <v>37</v>
      </c>
      <c r="C84" s="8">
        <v>7299.0</v>
      </c>
      <c r="D84" s="8">
        <v>19125.0</v>
      </c>
      <c r="E84" s="19">
        <v>0.62</v>
      </c>
      <c r="F84" s="10">
        <v>3.4</v>
      </c>
      <c r="G84" s="10">
        <v>902.0</v>
      </c>
    </row>
    <row r="85">
      <c r="A85" s="7" t="s">
        <v>108</v>
      </c>
      <c r="B85" s="7" t="s">
        <v>15</v>
      </c>
      <c r="C85" s="8">
        <v>299.0</v>
      </c>
      <c r="D85" s="8">
        <v>799.0</v>
      </c>
      <c r="E85" s="19">
        <v>0.63</v>
      </c>
      <c r="F85" s="10">
        <v>4.4</v>
      </c>
      <c r="G85" s="11">
        <v>28791.0</v>
      </c>
    </row>
    <row r="86">
      <c r="A86" s="7" t="s">
        <v>109</v>
      </c>
      <c r="B86" s="7" t="s">
        <v>15</v>
      </c>
      <c r="C86" s="8">
        <v>325.0</v>
      </c>
      <c r="D86" s="8">
        <v>1299.0</v>
      </c>
      <c r="E86" s="19">
        <v>0.75</v>
      </c>
      <c r="F86" s="10">
        <v>4.2</v>
      </c>
      <c r="G86" s="11">
        <v>10576.0</v>
      </c>
    </row>
    <row r="87">
      <c r="A87" s="7" t="s">
        <v>110</v>
      </c>
      <c r="B87" s="7" t="s">
        <v>37</v>
      </c>
      <c r="C87" s="8">
        <v>29999.0</v>
      </c>
      <c r="D87" s="8">
        <v>39999.0</v>
      </c>
      <c r="E87" s="19">
        <v>0.25</v>
      </c>
      <c r="F87" s="10">
        <v>4.2</v>
      </c>
      <c r="G87" s="11">
        <v>7298.0</v>
      </c>
    </row>
    <row r="88">
      <c r="A88" s="7" t="s">
        <v>111</v>
      </c>
      <c r="B88" s="7" t="s">
        <v>37</v>
      </c>
      <c r="C88" s="8">
        <v>27999.0</v>
      </c>
      <c r="D88" s="8">
        <v>40990.0</v>
      </c>
      <c r="E88" s="19">
        <v>0.32</v>
      </c>
      <c r="F88" s="10">
        <v>4.3</v>
      </c>
      <c r="G88" s="11">
        <v>4703.0</v>
      </c>
    </row>
    <row r="89">
      <c r="A89" s="7" t="s">
        <v>112</v>
      </c>
      <c r="B89" s="7" t="s">
        <v>37</v>
      </c>
      <c r="C89" s="8">
        <v>30990.0</v>
      </c>
      <c r="D89" s="8">
        <v>52900.0</v>
      </c>
      <c r="E89" s="19">
        <v>0.41</v>
      </c>
      <c r="F89" s="10">
        <v>4.3</v>
      </c>
      <c r="G89" s="11">
        <v>7109.0</v>
      </c>
    </row>
    <row r="90">
      <c r="A90" s="7" t="s">
        <v>113</v>
      </c>
      <c r="B90" s="7" t="s">
        <v>15</v>
      </c>
      <c r="C90" s="8">
        <v>199.0</v>
      </c>
      <c r="D90" s="8">
        <v>999.0</v>
      </c>
      <c r="E90" s="19">
        <v>0.8</v>
      </c>
      <c r="F90" s="10">
        <v>4.5</v>
      </c>
      <c r="G90" s="10">
        <v>127.0</v>
      </c>
    </row>
    <row r="91">
      <c r="A91" s="7" t="s">
        <v>114</v>
      </c>
      <c r="B91" s="7" t="s">
        <v>15</v>
      </c>
      <c r="C91" s="8">
        <v>649.0</v>
      </c>
      <c r="D91" s="8">
        <v>1999.0</v>
      </c>
      <c r="E91" s="19">
        <v>0.68</v>
      </c>
      <c r="F91" s="10">
        <v>4.2</v>
      </c>
      <c r="G91" s="11">
        <v>24269.0</v>
      </c>
    </row>
    <row r="92">
      <c r="A92" s="7" t="s">
        <v>115</v>
      </c>
      <c r="B92" s="7" t="s">
        <v>25</v>
      </c>
      <c r="C92" s="8">
        <v>269.0</v>
      </c>
      <c r="D92" s="8">
        <v>800.0</v>
      </c>
      <c r="E92" s="19">
        <v>0.66</v>
      </c>
      <c r="F92" s="10">
        <v>3.6</v>
      </c>
      <c r="G92" s="11">
        <v>10134.0</v>
      </c>
    </row>
    <row r="93">
      <c r="A93" s="7" t="s">
        <v>116</v>
      </c>
      <c r="B93" s="7" t="s">
        <v>37</v>
      </c>
      <c r="C93" s="8">
        <v>24999.0</v>
      </c>
      <c r="D93" s="8">
        <v>31999.0</v>
      </c>
      <c r="E93" s="19">
        <v>0.22</v>
      </c>
      <c r="F93" s="10">
        <v>4.2</v>
      </c>
      <c r="G93" s="11">
        <v>34899.0</v>
      </c>
    </row>
    <row r="94">
      <c r="A94" s="7" t="s">
        <v>117</v>
      </c>
      <c r="B94" s="7" t="s">
        <v>15</v>
      </c>
      <c r="C94" s="8">
        <v>299.0</v>
      </c>
      <c r="D94" s="8">
        <v>699.0</v>
      </c>
      <c r="E94" s="19">
        <v>0.57</v>
      </c>
      <c r="F94" s="10">
        <v>4.2</v>
      </c>
      <c r="G94" s="11">
        <v>94363.0</v>
      </c>
    </row>
    <row r="95">
      <c r="A95" s="7" t="s">
        <v>118</v>
      </c>
      <c r="B95" s="7" t="s">
        <v>15</v>
      </c>
      <c r="C95" s="8">
        <v>199.0</v>
      </c>
      <c r="D95" s="8">
        <v>999.0</v>
      </c>
      <c r="E95" s="19">
        <v>0.8</v>
      </c>
      <c r="F95" s="10">
        <v>4.1</v>
      </c>
      <c r="G95" s="10">
        <v>425.0</v>
      </c>
    </row>
    <row r="96">
      <c r="A96" s="7" t="s">
        <v>119</v>
      </c>
      <c r="B96" s="7" t="s">
        <v>37</v>
      </c>
      <c r="C96" s="8">
        <v>18990.0</v>
      </c>
      <c r="D96" s="8">
        <v>40990.0</v>
      </c>
      <c r="E96" s="19">
        <v>0.54</v>
      </c>
      <c r="F96" s="10">
        <v>4.2</v>
      </c>
      <c r="G96" s="11">
        <v>6659.0</v>
      </c>
    </row>
    <row r="97">
      <c r="A97" s="7" t="s">
        <v>120</v>
      </c>
      <c r="B97" s="7" t="s">
        <v>25</v>
      </c>
      <c r="C97" s="8">
        <v>290.0</v>
      </c>
      <c r="D97" s="8">
        <v>349.0</v>
      </c>
      <c r="E97" s="19">
        <v>0.17</v>
      </c>
      <c r="F97" s="10">
        <v>3.7</v>
      </c>
      <c r="G97" s="11">
        <v>1977.0</v>
      </c>
    </row>
    <row r="98">
      <c r="A98" s="7" t="s">
        <v>121</v>
      </c>
      <c r="B98" s="7" t="s">
        <v>71</v>
      </c>
      <c r="C98" s="8">
        <v>249.0</v>
      </c>
      <c r="D98" s="8">
        <v>799.0</v>
      </c>
      <c r="E98" s="19">
        <v>0.69</v>
      </c>
      <c r="F98" s="10">
        <v>3.8</v>
      </c>
      <c r="G98" s="11">
        <v>1079.0</v>
      </c>
    </row>
    <row r="99">
      <c r="A99" s="7" t="s">
        <v>122</v>
      </c>
      <c r="B99" s="7" t="s">
        <v>15</v>
      </c>
      <c r="C99" s="8">
        <v>345.0</v>
      </c>
      <c r="D99" s="8">
        <v>999.0</v>
      </c>
      <c r="E99" s="19">
        <v>0.65</v>
      </c>
      <c r="F99" s="10">
        <v>3.7</v>
      </c>
      <c r="G99" s="11">
        <v>1097.0</v>
      </c>
    </row>
    <row r="100">
      <c r="A100" s="7" t="s">
        <v>123</v>
      </c>
      <c r="B100" s="7" t="s">
        <v>25</v>
      </c>
      <c r="C100" s="8">
        <v>1099.0</v>
      </c>
      <c r="D100" s="8">
        <v>1899.0</v>
      </c>
      <c r="E100" s="19">
        <v>0.42</v>
      </c>
      <c r="F100" s="10">
        <v>4.5</v>
      </c>
      <c r="G100" s="11">
        <v>22420.0</v>
      </c>
    </row>
    <row r="101">
      <c r="A101" s="7" t="s">
        <v>124</v>
      </c>
      <c r="B101" s="7" t="s">
        <v>15</v>
      </c>
      <c r="C101" s="8">
        <v>719.0</v>
      </c>
      <c r="D101" s="8">
        <v>1499.0</v>
      </c>
      <c r="E101" s="19">
        <v>0.52</v>
      </c>
      <c r="F101" s="10">
        <v>4.1</v>
      </c>
      <c r="G101" s="11">
        <v>1045.0</v>
      </c>
    </row>
    <row r="102">
      <c r="A102" s="7" t="s">
        <v>125</v>
      </c>
      <c r="B102" s="7" t="s">
        <v>71</v>
      </c>
      <c r="C102" s="8">
        <v>349.0</v>
      </c>
      <c r="D102" s="8">
        <v>1499.0</v>
      </c>
      <c r="E102" s="19">
        <v>0.77</v>
      </c>
      <c r="F102" s="10">
        <v>4.3</v>
      </c>
      <c r="G102" s="11">
        <v>4145.0</v>
      </c>
    </row>
    <row r="103">
      <c r="A103" s="7" t="s">
        <v>126</v>
      </c>
      <c r="B103" s="7" t="s">
        <v>15</v>
      </c>
      <c r="C103" s="8">
        <v>849.0</v>
      </c>
      <c r="D103" s="8">
        <v>1809.0</v>
      </c>
      <c r="E103" s="19">
        <v>0.53</v>
      </c>
      <c r="F103" s="10">
        <v>4.3</v>
      </c>
      <c r="G103" s="11">
        <v>6547.0</v>
      </c>
    </row>
    <row r="104">
      <c r="A104" s="7" t="s">
        <v>127</v>
      </c>
      <c r="B104" s="7" t="s">
        <v>71</v>
      </c>
      <c r="C104" s="8">
        <v>299.0</v>
      </c>
      <c r="D104" s="8">
        <v>899.0</v>
      </c>
      <c r="E104" s="19">
        <v>0.67</v>
      </c>
      <c r="F104" s="10">
        <v>4.0</v>
      </c>
      <c r="G104" s="11">
        <v>1588.0</v>
      </c>
    </row>
    <row r="105">
      <c r="A105" s="7" t="s">
        <v>128</v>
      </c>
      <c r="B105" s="7" t="s">
        <v>37</v>
      </c>
      <c r="C105" s="8">
        <v>21999.0</v>
      </c>
      <c r="D105" s="8">
        <v>29999.0</v>
      </c>
      <c r="E105" s="19">
        <v>0.27</v>
      </c>
      <c r="F105" s="10">
        <v>4.2</v>
      </c>
      <c r="G105" s="11">
        <v>32840.0</v>
      </c>
    </row>
    <row r="106">
      <c r="A106" s="7" t="s">
        <v>129</v>
      </c>
      <c r="B106" s="7" t="s">
        <v>15</v>
      </c>
      <c r="C106" s="8">
        <v>349.0</v>
      </c>
      <c r="D106" s="8">
        <v>999.0</v>
      </c>
      <c r="E106" s="19">
        <v>0.65</v>
      </c>
      <c r="F106" s="10">
        <v>4.2</v>
      </c>
      <c r="G106" s="11">
        <v>13120.0</v>
      </c>
    </row>
    <row r="107">
      <c r="A107" s="7" t="s">
        <v>130</v>
      </c>
      <c r="B107" s="7" t="s">
        <v>15</v>
      </c>
      <c r="C107" s="8">
        <v>399.0</v>
      </c>
      <c r="D107" s="8">
        <v>999.0</v>
      </c>
      <c r="E107" s="19">
        <v>0.6</v>
      </c>
      <c r="F107" s="10">
        <v>4.3</v>
      </c>
      <c r="G107" s="11">
        <v>2806.0</v>
      </c>
    </row>
    <row r="108">
      <c r="A108" s="7" t="s">
        <v>131</v>
      </c>
      <c r="B108" s="7" t="s">
        <v>15</v>
      </c>
      <c r="C108" s="8">
        <v>449.0</v>
      </c>
      <c r="D108" s="8">
        <v>1299.0</v>
      </c>
      <c r="E108" s="19">
        <v>0.65</v>
      </c>
      <c r="F108" s="10">
        <v>4.2</v>
      </c>
      <c r="G108" s="11">
        <v>24269.0</v>
      </c>
    </row>
    <row r="109">
      <c r="A109" s="7" t="s">
        <v>132</v>
      </c>
      <c r="B109" s="7" t="s">
        <v>15</v>
      </c>
      <c r="C109" s="8">
        <v>299.0</v>
      </c>
      <c r="D109" s="8">
        <v>999.0</v>
      </c>
      <c r="E109" s="19">
        <v>0.7</v>
      </c>
      <c r="F109" s="10">
        <v>4.3</v>
      </c>
      <c r="G109" s="10">
        <v>766.0</v>
      </c>
    </row>
    <row r="110">
      <c r="A110" s="7" t="s">
        <v>133</v>
      </c>
      <c r="B110" s="7" t="s">
        <v>37</v>
      </c>
      <c r="C110" s="8">
        <v>37999.0</v>
      </c>
      <c r="D110" s="8">
        <v>65000.0</v>
      </c>
      <c r="E110" s="19">
        <v>0.42</v>
      </c>
      <c r="F110" s="10">
        <v>4.3</v>
      </c>
      <c r="G110" s="11">
        <v>3587.0</v>
      </c>
    </row>
    <row r="111">
      <c r="A111" s="7" t="s">
        <v>134</v>
      </c>
      <c r="B111" s="7" t="s">
        <v>15</v>
      </c>
      <c r="C111" s="8">
        <v>99.0</v>
      </c>
      <c r="D111" s="8">
        <v>800.0</v>
      </c>
      <c r="E111" s="19">
        <v>0.88</v>
      </c>
      <c r="F111" s="10">
        <v>3.9</v>
      </c>
      <c r="G111" s="11">
        <v>24871.0</v>
      </c>
    </row>
    <row r="112">
      <c r="A112" s="7" t="s">
        <v>135</v>
      </c>
      <c r="B112" s="7" t="s">
        <v>77</v>
      </c>
      <c r="C112" s="8">
        <v>7390.0</v>
      </c>
      <c r="D112" s="8">
        <v>20000.0</v>
      </c>
      <c r="E112" s="19">
        <v>0.63</v>
      </c>
      <c r="F112" s="10">
        <v>4.1</v>
      </c>
      <c r="G112" s="11">
        <v>2581.0</v>
      </c>
    </row>
    <row r="113">
      <c r="A113" s="7" t="s">
        <v>136</v>
      </c>
      <c r="B113" s="7" t="s">
        <v>15</v>
      </c>
      <c r="C113" s="8">
        <v>273.1</v>
      </c>
      <c r="D113" s="8">
        <v>999.0</v>
      </c>
      <c r="E113" s="19">
        <v>0.73</v>
      </c>
      <c r="F113" s="10">
        <v>4.3</v>
      </c>
      <c r="G113" s="11">
        <v>20850.0</v>
      </c>
    </row>
    <row r="114">
      <c r="A114" s="7" t="s">
        <v>137</v>
      </c>
      <c r="B114" s="7" t="s">
        <v>37</v>
      </c>
      <c r="C114" s="8">
        <v>15990.0</v>
      </c>
      <c r="D114" s="8">
        <v>23990.0</v>
      </c>
      <c r="E114" s="19">
        <v>0.33</v>
      </c>
      <c r="F114" s="10">
        <v>4.3</v>
      </c>
      <c r="G114" s="11">
        <v>1035.0</v>
      </c>
    </row>
    <row r="115">
      <c r="A115" s="7" t="s">
        <v>138</v>
      </c>
      <c r="B115" s="7" t="s">
        <v>15</v>
      </c>
      <c r="C115" s="8">
        <v>399.0</v>
      </c>
      <c r="D115" s="8">
        <v>999.0</v>
      </c>
      <c r="E115" s="19">
        <v>0.6</v>
      </c>
      <c r="F115" s="10">
        <v>4.1</v>
      </c>
      <c r="G115" s="11">
        <v>1780.0</v>
      </c>
    </row>
    <row r="116">
      <c r="A116" s="7" t="s">
        <v>139</v>
      </c>
      <c r="B116" s="7" t="s">
        <v>71</v>
      </c>
      <c r="C116" s="8">
        <v>399.0</v>
      </c>
      <c r="D116" s="8">
        <v>1999.0</v>
      </c>
      <c r="E116" s="19">
        <v>0.8</v>
      </c>
      <c r="F116" s="10">
        <v>4.5</v>
      </c>
      <c r="G116" s="10">
        <v>505.0</v>
      </c>
    </row>
    <row r="117">
      <c r="A117" s="7" t="s">
        <v>140</v>
      </c>
      <c r="B117" s="7" t="s">
        <v>15</v>
      </c>
      <c r="C117" s="8">
        <v>210.0</v>
      </c>
      <c r="D117" s="8">
        <v>399.0</v>
      </c>
      <c r="E117" s="19">
        <v>0.47</v>
      </c>
      <c r="F117" s="10">
        <v>4.1</v>
      </c>
      <c r="G117" s="11">
        <v>1717.0</v>
      </c>
    </row>
    <row r="118">
      <c r="A118" s="7" t="s">
        <v>141</v>
      </c>
      <c r="B118" s="7" t="s">
        <v>71</v>
      </c>
      <c r="C118" s="8">
        <v>1299.0</v>
      </c>
      <c r="D118" s="8">
        <v>1999.0</v>
      </c>
      <c r="E118" s="19">
        <v>0.35</v>
      </c>
      <c r="F118" s="10">
        <v>3.6</v>
      </c>
      <c r="G118" s="10">
        <v>590.0</v>
      </c>
    </row>
    <row r="119">
      <c r="A119" s="7" t="s">
        <v>142</v>
      </c>
      <c r="B119" s="7" t="s">
        <v>15</v>
      </c>
      <c r="C119" s="8">
        <v>347.0</v>
      </c>
      <c r="D119" s="8">
        <v>999.0</v>
      </c>
      <c r="E119" s="19">
        <v>0.65</v>
      </c>
      <c r="F119" s="10">
        <v>3.5</v>
      </c>
      <c r="G119" s="11">
        <v>1121.0</v>
      </c>
    </row>
    <row r="120">
      <c r="A120" s="7" t="s">
        <v>143</v>
      </c>
      <c r="B120" s="7" t="s">
        <v>15</v>
      </c>
      <c r="C120" s="8">
        <v>149.0</v>
      </c>
      <c r="D120" s="8">
        <v>999.0</v>
      </c>
      <c r="E120" s="19">
        <v>0.85</v>
      </c>
      <c r="F120" s="10">
        <v>4.0</v>
      </c>
      <c r="G120" s="11">
        <v>1313.0</v>
      </c>
    </row>
    <row r="121">
      <c r="A121" s="7" t="s">
        <v>144</v>
      </c>
      <c r="B121" s="7" t="s">
        <v>15</v>
      </c>
      <c r="C121" s="8">
        <v>228.0</v>
      </c>
      <c r="D121" s="8">
        <v>899.0</v>
      </c>
      <c r="E121" s="19">
        <v>0.75</v>
      </c>
      <c r="F121" s="10">
        <v>3.8</v>
      </c>
      <c r="G121" s="10">
        <v>132.0</v>
      </c>
    </row>
    <row r="122">
      <c r="A122" s="7" t="s">
        <v>145</v>
      </c>
      <c r="B122" s="7" t="s">
        <v>15</v>
      </c>
      <c r="C122" s="8">
        <v>1599.0</v>
      </c>
      <c r="D122" s="8">
        <v>1999.0</v>
      </c>
      <c r="E122" s="19">
        <v>0.2</v>
      </c>
      <c r="F122" s="10">
        <v>4.4</v>
      </c>
      <c r="G122" s="11">
        <v>1951.0</v>
      </c>
    </row>
    <row r="123">
      <c r="A123" s="7" t="s">
        <v>146</v>
      </c>
      <c r="B123" s="7" t="s">
        <v>71</v>
      </c>
      <c r="C123" s="8">
        <v>1499.0</v>
      </c>
      <c r="D123" s="8">
        <v>3999.0</v>
      </c>
      <c r="E123" s="19">
        <v>0.63</v>
      </c>
      <c r="F123" s="10">
        <v>3.7</v>
      </c>
      <c r="G123" s="10">
        <v>37.0</v>
      </c>
    </row>
    <row r="124">
      <c r="A124" s="7" t="s">
        <v>147</v>
      </c>
      <c r="B124" s="7" t="s">
        <v>37</v>
      </c>
      <c r="C124" s="8">
        <v>8499.0</v>
      </c>
      <c r="D124" s="8">
        <v>15999.0</v>
      </c>
      <c r="E124" s="19">
        <v>0.47</v>
      </c>
      <c r="F124" s="10">
        <v>4.3</v>
      </c>
      <c r="G124" s="10">
        <v>592.0</v>
      </c>
    </row>
    <row r="125">
      <c r="A125" s="7" t="s">
        <v>148</v>
      </c>
      <c r="B125" s="7" t="s">
        <v>37</v>
      </c>
      <c r="C125" s="8">
        <v>20990.0</v>
      </c>
      <c r="D125" s="8">
        <v>44990.0</v>
      </c>
      <c r="E125" s="19">
        <v>0.53</v>
      </c>
      <c r="F125" s="10">
        <v>4.1</v>
      </c>
      <c r="G125" s="11">
        <v>1259.0</v>
      </c>
    </row>
    <row r="126">
      <c r="A126" s="7" t="s">
        <v>149</v>
      </c>
      <c r="B126" s="7" t="s">
        <v>37</v>
      </c>
      <c r="C126" s="8">
        <v>32999.0</v>
      </c>
      <c r="D126" s="8">
        <v>44999.0</v>
      </c>
      <c r="E126" s="19">
        <v>0.27</v>
      </c>
      <c r="F126" s="10">
        <v>4.2</v>
      </c>
      <c r="G126" s="11">
        <v>45238.0</v>
      </c>
    </row>
    <row r="127">
      <c r="A127" s="7" t="s">
        <v>150</v>
      </c>
      <c r="B127" s="7" t="s">
        <v>31</v>
      </c>
      <c r="C127" s="8">
        <v>799.0</v>
      </c>
      <c r="D127" s="8">
        <v>1700.0</v>
      </c>
      <c r="E127" s="19">
        <v>0.53</v>
      </c>
      <c r="F127" s="10">
        <v>4.1</v>
      </c>
      <c r="G127" s="11">
        <v>28638.0</v>
      </c>
    </row>
    <row r="128">
      <c r="A128" s="7" t="s">
        <v>151</v>
      </c>
      <c r="B128" s="7" t="s">
        <v>31</v>
      </c>
      <c r="C128" s="8">
        <v>229.0</v>
      </c>
      <c r="D128" s="8">
        <v>595.0</v>
      </c>
      <c r="E128" s="19">
        <v>0.62</v>
      </c>
      <c r="F128" s="10">
        <v>4.3</v>
      </c>
      <c r="G128" s="11">
        <v>12835.0</v>
      </c>
    </row>
    <row r="129">
      <c r="A129" s="7" t="s">
        <v>152</v>
      </c>
      <c r="B129" s="7" t="s">
        <v>37</v>
      </c>
      <c r="C129" s="8">
        <v>9999.0</v>
      </c>
      <c r="D129" s="8">
        <v>27990.0</v>
      </c>
      <c r="E129" s="19">
        <v>0.64</v>
      </c>
      <c r="F129" s="10">
        <v>4.2</v>
      </c>
      <c r="G129" s="11">
        <v>1269.0</v>
      </c>
    </row>
    <row r="130">
      <c r="A130" s="7" t="s">
        <v>153</v>
      </c>
      <c r="B130" s="7" t="s">
        <v>71</v>
      </c>
      <c r="C130" s="8">
        <v>349.0</v>
      </c>
      <c r="D130" s="8">
        <v>599.0</v>
      </c>
      <c r="E130" s="19">
        <v>0.42</v>
      </c>
      <c r="F130" s="10">
        <v>4.2</v>
      </c>
      <c r="G130" s="10">
        <v>284.0</v>
      </c>
    </row>
    <row r="131">
      <c r="A131" s="7" t="s">
        <v>154</v>
      </c>
      <c r="B131" s="7" t="s">
        <v>155</v>
      </c>
      <c r="C131" s="8">
        <v>489.0</v>
      </c>
      <c r="D131" s="8">
        <v>1200.0</v>
      </c>
      <c r="E131" s="19">
        <v>0.59</v>
      </c>
      <c r="F131" s="10">
        <v>4.4</v>
      </c>
      <c r="G131" s="11">
        <v>69538.0</v>
      </c>
    </row>
    <row r="132">
      <c r="A132" s="7" t="s">
        <v>156</v>
      </c>
      <c r="B132" s="7" t="s">
        <v>37</v>
      </c>
      <c r="C132" s="8">
        <v>23999.0</v>
      </c>
      <c r="D132" s="8">
        <v>34990.0</v>
      </c>
      <c r="E132" s="19">
        <v>0.31</v>
      </c>
      <c r="F132" s="10">
        <v>4.3</v>
      </c>
      <c r="G132" s="11">
        <v>4703.0</v>
      </c>
    </row>
    <row r="133">
      <c r="A133" s="7" t="s">
        <v>157</v>
      </c>
      <c r="B133" s="7" t="s">
        <v>15</v>
      </c>
      <c r="C133" s="8">
        <v>399.0</v>
      </c>
      <c r="D133" s="8">
        <v>999.0</v>
      </c>
      <c r="E133" s="19">
        <v>0.6</v>
      </c>
      <c r="F133" s="10">
        <v>4.3</v>
      </c>
      <c r="G133" s="11">
        <v>2806.0</v>
      </c>
    </row>
    <row r="134">
      <c r="A134" s="7" t="s">
        <v>158</v>
      </c>
      <c r="B134" s="7" t="s">
        <v>159</v>
      </c>
      <c r="C134" s="8">
        <v>349.0</v>
      </c>
      <c r="D134" s="8">
        <v>1299.0</v>
      </c>
      <c r="E134" s="19">
        <v>0.73</v>
      </c>
      <c r="F134" s="10">
        <v>4.0</v>
      </c>
      <c r="G134" s="11">
        <v>3295.0</v>
      </c>
    </row>
    <row r="135">
      <c r="A135" s="7" t="s">
        <v>160</v>
      </c>
      <c r="B135" s="7" t="s">
        <v>15</v>
      </c>
      <c r="C135" s="8">
        <v>179.0</v>
      </c>
      <c r="D135" s="8">
        <v>299.0</v>
      </c>
      <c r="E135" s="19">
        <v>0.4</v>
      </c>
      <c r="F135" s="10">
        <v>3.9</v>
      </c>
      <c r="G135" s="10">
        <v>81.0</v>
      </c>
    </row>
    <row r="136">
      <c r="A136" s="7" t="s">
        <v>161</v>
      </c>
      <c r="B136" s="7" t="s">
        <v>15</v>
      </c>
      <c r="C136" s="8">
        <v>689.0</v>
      </c>
      <c r="D136" s="8">
        <v>1500.0</v>
      </c>
      <c r="E136" s="19">
        <v>0.54</v>
      </c>
      <c r="F136" s="10">
        <v>4.2</v>
      </c>
      <c r="G136" s="11">
        <v>42301.0</v>
      </c>
    </row>
    <row r="137">
      <c r="A137" s="7" t="s">
        <v>162</v>
      </c>
      <c r="B137" s="7" t="s">
        <v>37</v>
      </c>
      <c r="C137" s="8">
        <v>30990.0</v>
      </c>
      <c r="D137" s="8">
        <v>49990.0</v>
      </c>
      <c r="E137" s="19">
        <v>0.38</v>
      </c>
      <c r="F137" s="10">
        <v>4.3</v>
      </c>
      <c r="G137" s="11">
        <v>1376.0</v>
      </c>
    </row>
    <row r="138">
      <c r="A138" s="7" t="s">
        <v>163</v>
      </c>
      <c r="B138" s="7" t="s">
        <v>15</v>
      </c>
      <c r="C138" s="8">
        <v>249.0</v>
      </c>
      <c r="D138" s="8">
        <v>931.0</v>
      </c>
      <c r="E138" s="19">
        <v>0.73</v>
      </c>
      <c r="F138" s="10">
        <v>3.9</v>
      </c>
      <c r="G138" s="11">
        <v>1075.0</v>
      </c>
    </row>
    <row r="139">
      <c r="A139" s="7" t="s">
        <v>164</v>
      </c>
      <c r="B139" s="7" t="s">
        <v>31</v>
      </c>
      <c r="C139" s="8">
        <v>999.0</v>
      </c>
      <c r="D139" s="8">
        <v>2399.0</v>
      </c>
      <c r="E139" s="19">
        <v>0.58</v>
      </c>
      <c r="F139" s="10">
        <v>4.6</v>
      </c>
      <c r="G139" s="11">
        <v>3664.0</v>
      </c>
    </row>
    <row r="140">
      <c r="A140" s="7" t="s">
        <v>165</v>
      </c>
      <c r="B140" s="7" t="s">
        <v>71</v>
      </c>
      <c r="C140" s="8">
        <v>399.0</v>
      </c>
      <c r="D140" s="8">
        <v>399.0</v>
      </c>
      <c r="E140" s="19">
        <v>0.0</v>
      </c>
      <c r="F140" s="10">
        <v>3.9</v>
      </c>
      <c r="G140" s="11">
        <v>1951.0</v>
      </c>
    </row>
    <row r="141">
      <c r="A141" s="7" t="s">
        <v>166</v>
      </c>
      <c r="B141" s="7" t="s">
        <v>15</v>
      </c>
      <c r="C141" s="8">
        <v>349.0</v>
      </c>
      <c r="D141" s="8">
        <v>699.0</v>
      </c>
      <c r="E141" s="19">
        <v>0.5</v>
      </c>
      <c r="F141" s="10">
        <v>4.3</v>
      </c>
      <c r="G141" s="11">
        <v>20850.0</v>
      </c>
    </row>
    <row r="142">
      <c r="A142" s="7" t="s">
        <v>167</v>
      </c>
      <c r="B142" s="7" t="s">
        <v>15</v>
      </c>
      <c r="C142" s="8">
        <v>399.0</v>
      </c>
      <c r="D142" s="8">
        <v>1099.0</v>
      </c>
      <c r="E142" s="19">
        <v>0.64</v>
      </c>
      <c r="F142" s="10">
        <v>4.1</v>
      </c>
      <c r="G142" s="11">
        <v>2685.0</v>
      </c>
    </row>
    <row r="143">
      <c r="A143" s="7" t="s">
        <v>168</v>
      </c>
      <c r="B143" s="7" t="s">
        <v>25</v>
      </c>
      <c r="C143" s="8">
        <v>1699.0</v>
      </c>
      <c r="D143" s="8">
        <v>2999.0</v>
      </c>
      <c r="E143" s="19">
        <v>0.43</v>
      </c>
      <c r="F143" s="10">
        <v>4.4</v>
      </c>
      <c r="G143" s="11">
        <v>24780.0</v>
      </c>
    </row>
    <row r="144">
      <c r="A144" s="7" t="s">
        <v>169</v>
      </c>
      <c r="B144" s="7" t="s">
        <v>71</v>
      </c>
      <c r="C144" s="8">
        <v>655.0</v>
      </c>
      <c r="D144" s="8">
        <v>1099.0</v>
      </c>
      <c r="E144" s="19">
        <v>0.4</v>
      </c>
      <c r="F144" s="10">
        <v>3.2</v>
      </c>
      <c r="G144" s="10">
        <v>285.0</v>
      </c>
    </row>
    <row r="145">
      <c r="A145" s="7" t="s">
        <v>170</v>
      </c>
      <c r="B145" s="7" t="s">
        <v>25</v>
      </c>
      <c r="C145" s="8">
        <v>749.0</v>
      </c>
      <c r="D145" s="8">
        <v>1339.0</v>
      </c>
      <c r="E145" s="19">
        <v>0.44</v>
      </c>
      <c r="F145" s="10">
        <v>4.2</v>
      </c>
      <c r="G145" s="7" t="s">
        <v>171</v>
      </c>
    </row>
    <row r="146">
      <c r="A146" s="7" t="s">
        <v>172</v>
      </c>
      <c r="B146" s="7" t="s">
        <v>37</v>
      </c>
      <c r="C146" s="8">
        <v>9999.0</v>
      </c>
      <c r="D146" s="8">
        <v>12999.0</v>
      </c>
      <c r="E146" s="19">
        <v>0.23</v>
      </c>
      <c r="F146" s="10">
        <v>4.2</v>
      </c>
      <c r="G146" s="11">
        <v>6088.0</v>
      </c>
    </row>
    <row r="147">
      <c r="A147" s="7" t="s">
        <v>173</v>
      </c>
      <c r="B147" s="7" t="s">
        <v>71</v>
      </c>
      <c r="C147" s="8">
        <v>195.0</v>
      </c>
      <c r="D147" s="8">
        <v>499.0</v>
      </c>
      <c r="E147" s="19">
        <v>0.61</v>
      </c>
      <c r="F147" s="10">
        <v>3.7</v>
      </c>
      <c r="G147" s="11">
        <v>1383.0</v>
      </c>
    </row>
    <row r="148">
      <c r="A148" s="7" t="s">
        <v>174</v>
      </c>
      <c r="B148" s="7" t="s">
        <v>15</v>
      </c>
      <c r="C148" s="8">
        <v>999.0</v>
      </c>
      <c r="D148" s="8">
        <v>2100.0</v>
      </c>
      <c r="E148" s="19">
        <v>0.52</v>
      </c>
      <c r="F148" s="10">
        <v>4.5</v>
      </c>
      <c r="G148" s="11">
        <v>5492.0</v>
      </c>
    </row>
    <row r="149">
      <c r="A149" s="7" t="s">
        <v>175</v>
      </c>
      <c r="B149" s="7" t="s">
        <v>15</v>
      </c>
      <c r="C149" s="8">
        <v>499.0</v>
      </c>
      <c r="D149" s="8">
        <v>899.0</v>
      </c>
      <c r="E149" s="19">
        <v>0.44</v>
      </c>
      <c r="F149" s="10">
        <v>4.2</v>
      </c>
      <c r="G149" s="10">
        <v>919.0</v>
      </c>
    </row>
    <row r="150">
      <c r="A150" s="7" t="s">
        <v>176</v>
      </c>
      <c r="B150" s="7" t="s">
        <v>177</v>
      </c>
      <c r="C150" s="8">
        <v>416.0</v>
      </c>
      <c r="D150" s="8">
        <v>599.0</v>
      </c>
      <c r="E150" s="19">
        <v>0.31</v>
      </c>
      <c r="F150" s="10">
        <v>4.2</v>
      </c>
      <c r="G150" s="11">
        <v>30023.0</v>
      </c>
    </row>
    <row r="151">
      <c r="A151" s="7" t="s">
        <v>178</v>
      </c>
      <c r="B151" s="7" t="s">
        <v>15</v>
      </c>
      <c r="C151" s="8">
        <v>368.0</v>
      </c>
      <c r="D151" s="8">
        <v>699.0</v>
      </c>
      <c r="E151" s="19">
        <v>0.47</v>
      </c>
      <c r="F151" s="10">
        <v>4.2</v>
      </c>
      <c r="G151" s="10">
        <v>387.0</v>
      </c>
    </row>
    <row r="152">
      <c r="A152" s="7" t="s">
        <v>179</v>
      </c>
      <c r="B152" s="7" t="s">
        <v>37</v>
      </c>
      <c r="C152" s="8">
        <v>29990.0</v>
      </c>
      <c r="D152" s="8">
        <v>65000.0</v>
      </c>
      <c r="E152" s="19">
        <v>0.54</v>
      </c>
      <c r="F152" s="10">
        <v>4.1</v>
      </c>
      <c r="G152" s="10">
        <v>211.0</v>
      </c>
    </row>
    <row r="153">
      <c r="A153" s="7" t="s">
        <v>180</v>
      </c>
      <c r="B153" s="7" t="s">
        <v>15</v>
      </c>
      <c r="C153" s="8">
        <v>339.0</v>
      </c>
      <c r="D153" s="8">
        <v>1099.0</v>
      </c>
      <c r="E153" s="19">
        <v>0.69</v>
      </c>
      <c r="F153" s="10">
        <v>4.3</v>
      </c>
      <c r="G153" s="10">
        <v>974.0</v>
      </c>
    </row>
    <row r="154">
      <c r="A154" s="7" t="s">
        <v>181</v>
      </c>
      <c r="B154" s="7" t="s">
        <v>37</v>
      </c>
      <c r="C154" s="8">
        <v>15490.0</v>
      </c>
      <c r="D154" s="8">
        <v>20900.0</v>
      </c>
      <c r="E154" s="19">
        <v>0.26</v>
      </c>
      <c r="F154" s="10">
        <v>4.3</v>
      </c>
      <c r="G154" s="11">
        <v>16299.0</v>
      </c>
    </row>
    <row r="155">
      <c r="A155" s="7" t="s">
        <v>182</v>
      </c>
      <c r="B155" s="7" t="s">
        <v>15</v>
      </c>
      <c r="C155" s="8">
        <v>499.0</v>
      </c>
      <c r="D155" s="8">
        <v>1299.0</v>
      </c>
      <c r="E155" s="19">
        <v>0.62</v>
      </c>
      <c r="F155" s="10">
        <v>4.3</v>
      </c>
      <c r="G155" s="11">
        <v>30411.0</v>
      </c>
    </row>
    <row r="156">
      <c r="A156" s="7" t="s">
        <v>183</v>
      </c>
      <c r="B156" s="7" t="s">
        <v>25</v>
      </c>
      <c r="C156" s="8">
        <v>249.0</v>
      </c>
      <c r="D156" s="8">
        <v>399.0</v>
      </c>
      <c r="E156" s="19">
        <v>0.38</v>
      </c>
      <c r="F156" s="10">
        <v>3.4</v>
      </c>
      <c r="G156" s="11">
        <v>4642.0</v>
      </c>
    </row>
    <row r="157">
      <c r="A157" s="7" t="s">
        <v>184</v>
      </c>
      <c r="B157" s="7" t="s">
        <v>71</v>
      </c>
      <c r="C157" s="8">
        <v>399.0</v>
      </c>
      <c r="D157" s="8">
        <v>799.0</v>
      </c>
      <c r="E157" s="19">
        <v>0.5</v>
      </c>
      <c r="F157" s="10">
        <v>4.3</v>
      </c>
      <c r="G157" s="10">
        <v>12.0</v>
      </c>
    </row>
    <row r="158">
      <c r="A158" s="7" t="s">
        <v>185</v>
      </c>
      <c r="B158" s="7" t="s">
        <v>15</v>
      </c>
      <c r="C158" s="8">
        <v>1499.0</v>
      </c>
      <c r="D158" s="8">
        <v>1999.0</v>
      </c>
      <c r="E158" s="19">
        <v>0.25</v>
      </c>
      <c r="F158" s="10">
        <v>4.4</v>
      </c>
      <c r="G158" s="11">
        <v>1951.0</v>
      </c>
    </row>
    <row r="159">
      <c r="A159" s="7" t="s">
        <v>186</v>
      </c>
      <c r="B159" s="7" t="s">
        <v>187</v>
      </c>
      <c r="C159" s="8">
        <v>9490.0</v>
      </c>
      <c r="D159" s="8">
        <v>15990.0</v>
      </c>
      <c r="E159" s="19">
        <v>0.41</v>
      </c>
      <c r="F159" s="10">
        <v>3.9</v>
      </c>
      <c r="G159" s="11">
        <v>10480.0</v>
      </c>
    </row>
    <row r="160">
      <c r="A160" s="7" t="s">
        <v>188</v>
      </c>
      <c r="B160" s="7" t="s">
        <v>31</v>
      </c>
      <c r="C160" s="8">
        <v>637.0</v>
      </c>
      <c r="D160" s="8">
        <v>1499.0</v>
      </c>
      <c r="E160" s="19">
        <v>0.58</v>
      </c>
      <c r="F160" s="10">
        <v>4.1</v>
      </c>
      <c r="G160" s="10">
        <v>24.0</v>
      </c>
    </row>
    <row r="161">
      <c r="A161" s="7" t="s">
        <v>189</v>
      </c>
      <c r="B161" s="7" t="s">
        <v>71</v>
      </c>
      <c r="C161" s="8">
        <v>399.0</v>
      </c>
      <c r="D161" s="8">
        <v>899.0</v>
      </c>
      <c r="E161" s="19">
        <v>0.56</v>
      </c>
      <c r="F161" s="10">
        <v>3.9</v>
      </c>
      <c r="G161" s="10">
        <v>254.0</v>
      </c>
    </row>
    <row r="162">
      <c r="A162" s="7" t="s">
        <v>190</v>
      </c>
      <c r="B162" s="7" t="s">
        <v>177</v>
      </c>
      <c r="C162" s="8">
        <v>1089.0</v>
      </c>
      <c r="D162" s="8">
        <v>1600.0</v>
      </c>
      <c r="E162" s="19">
        <v>0.32</v>
      </c>
      <c r="F162" s="10">
        <v>4.0</v>
      </c>
      <c r="G162" s="11">
        <v>3565.0</v>
      </c>
    </row>
    <row r="163">
      <c r="A163" s="7" t="s">
        <v>191</v>
      </c>
      <c r="B163" s="7" t="s">
        <v>15</v>
      </c>
      <c r="C163" s="8">
        <v>339.0</v>
      </c>
      <c r="D163" s="8">
        <v>999.0</v>
      </c>
      <c r="E163" s="19">
        <v>0.66</v>
      </c>
      <c r="F163" s="10">
        <v>4.3</v>
      </c>
      <c r="G163" s="11">
        <v>6255.0</v>
      </c>
    </row>
    <row r="164">
      <c r="A164" s="7" t="s">
        <v>192</v>
      </c>
      <c r="B164" s="7" t="s">
        <v>15</v>
      </c>
      <c r="C164" s="8">
        <v>149.0</v>
      </c>
      <c r="D164" s="8">
        <v>499.0</v>
      </c>
      <c r="E164" s="19">
        <v>0.7</v>
      </c>
      <c r="F164" s="10">
        <v>4.0</v>
      </c>
      <c r="G164" s="11">
        <v>7732.0</v>
      </c>
    </row>
    <row r="165">
      <c r="A165" s="7" t="s">
        <v>193</v>
      </c>
      <c r="B165" s="7" t="s">
        <v>15</v>
      </c>
      <c r="C165" s="8">
        <v>149.0</v>
      </c>
      <c r="D165" s="8">
        <v>399.0</v>
      </c>
      <c r="E165" s="19">
        <v>0.63</v>
      </c>
      <c r="F165" s="10">
        <v>3.9</v>
      </c>
      <c r="G165" s="10">
        <v>57.0</v>
      </c>
    </row>
    <row r="166">
      <c r="A166" s="7" t="s">
        <v>194</v>
      </c>
      <c r="B166" s="7" t="s">
        <v>15</v>
      </c>
      <c r="C166" s="8">
        <v>599.0</v>
      </c>
      <c r="D166" s="8">
        <v>849.0</v>
      </c>
      <c r="E166" s="19">
        <v>0.29</v>
      </c>
      <c r="F166" s="10">
        <v>4.5</v>
      </c>
      <c r="G166" s="10">
        <v>577.0</v>
      </c>
    </row>
    <row r="167">
      <c r="A167" s="7" t="s">
        <v>195</v>
      </c>
      <c r="B167" s="7" t="s">
        <v>71</v>
      </c>
      <c r="C167" s="8">
        <v>299.0</v>
      </c>
      <c r="D167" s="8">
        <v>1199.0</v>
      </c>
      <c r="E167" s="19">
        <v>0.75</v>
      </c>
      <c r="F167" s="10">
        <v>3.9</v>
      </c>
      <c r="G167" s="11">
        <v>1193.0</v>
      </c>
    </row>
    <row r="168">
      <c r="A168" s="7" t="s">
        <v>196</v>
      </c>
      <c r="B168" s="7" t="s">
        <v>15</v>
      </c>
      <c r="C168" s="8">
        <v>399.0</v>
      </c>
      <c r="D168" s="8">
        <v>1299.0</v>
      </c>
      <c r="E168" s="19">
        <v>0.69</v>
      </c>
      <c r="F168" s="10">
        <v>4.2</v>
      </c>
      <c r="G168" s="11">
        <v>13120.0</v>
      </c>
    </row>
    <row r="169">
      <c r="A169" s="7" t="s">
        <v>197</v>
      </c>
      <c r="B169" s="7" t="s">
        <v>71</v>
      </c>
      <c r="C169" s="8">
        <v>339.0</v>
      </c>
      <c r="D169" s="8">
        <v>1999.0</v>
      </c>
      <c r="E169" s="19">
        <v>0.83</v>
      </c>
      <c r="F169" s="10">
        <v>4.0</v>
      </c>
      <c r="G169" s="10">
        <v>343.0</v>
      </c>
    </row>
    <row r="170">
      <c r="A170" s="7" t="s">
        <v>198</v>
      </c>
      <c r="B170" s="7" t="s">
        <v>37</v>
      </c>
      <c r="C170" s="8">
        <v>12499.0</v>
      </c>
      <c r="D170" s="8">
        <v>22990.0</v>
      </c>
      <c r="E170" s="19">
        <v>0.46</v>
      </c>
      <c r="F170" s="10">
        <v>4.3</v>
      </c>
      <c r="G170" s="11">
        <v>1611.0</v>
      </c>
    </row>
    <row r="171">
      <c r="A171" s="7" t="s">
        <v>199</v>
      </c>
      <c r="B171" s="7" t="s">
        <v>15</v>
      </c>
      <c r="C171" s="8">
        <v>249.0</v>
      </c>
      <c r="D171" s="8">
        <v>399.0</v>
      </c>
      <c r="E171" s="19">
        <v>0.38</v>
      </c>
      <c r="F171" s="10">
        <v>4.0</v>
      </c>
      <c r="G171" s="11">
        <v>6558.0</v>
      </c>
    </row>
    <row r="172">
      <c r="A172" s="7" t="s">
        <v>200</v>
      </c>
      <c r="B172" s="7" t="s">
        <v>25</v>
      </c>
      <c r="C172" s="8">
        <v>1399.0</v>
      </c>
      <c r="D172" s="8">
        <v>2499.0</v>
      </c>
      <c r="E172" s="19">
        <v>0.44</v>
      </c>
      <c r="F172" s="10">
        <v>4.4</v>
      </c>
      <c r="G172" s="11">
        <v>23169.0</v>
      </c>
    </row>
    <row r="173">
      <c r="A173" s="7" t="s">
        <v>201</v>
      </c>
      <c r="B173" s="7" t="s">
        <v>37</v>
      </c>
      <c r="C173" s="8">
        <v>32999.0</v>
      </c>
      <c r="D173" s="8">
        <v>47990.0</v>
      </c>
      <c r="E173" s="19">
        <v>0.31</v>
      </c>
      <c r="F173" s="10">
        <v>4.3</v>
      </c>
      <c r="G173" s="11">
        <v>4703.0</v>
      </c>
    </row>
    <row r="174">
      <c r="A174" s="7" t="s">
        <v>202</v>
      </c>
      <c r="B174" s="7" t="s">
        <v>15</v>
      </c>
      <c r="C174" s="8">
        <v>149.0</v>
      </c>
      <c r="D174" s="8">
        <v>399.0</v>
      </c>
      <c r="E174" s="19">
        <v>0.63</v>
      </c>
      <c r="F174" s="10">
        <v>4.0</v>
      </c>
      <c r="G174" s="11">
        <v>1423.0</v>
      </c>
    </row>
    <row r="175">
      <c r="A175" s="7" t="s">
        <v>203</v>
      </c>
      <c r="B175" s="7" t="s">
        <v>15</v>
      </c>
      <c r="C175" s="8">
        <v>325.0</v>
      </c>
      <c r="D175" s="8">
        <v>999.0</v>
      </c>
      <c r="E175" s="19">
        <v>0.67</v>
      </c>
      <c r="F175" s="10">
        <v>4.3</v>
      </c>
      <c r="G175" s="11">
        <v>2651.0</v>
      </c>
    </row>
    <row r="176">
      <c r="A176" s="7" t="s">
        <v>204</v>
      </c>
      <c r="B176" s="7" t="s">
        <v>15</v>
      </c>
      <c r="C176" s="8">
        <v>399.0</v>
      </c>
      <c r="D176" s="8">
        <v>1999.0</v>
      </c>
      <c r="E176" s="19">
        <v>0.8</v>
      </c>
      <c r="F176" s="10">
        <v>5.0</v>
      </c>
      <c r="G176" s="10">
        <v>5.0</v>
      </c>
    </row>
    <row r="177">
      <c r="A177" s="7" t="s">
        <v>205</v>
      </c>
      <c r="B177" s="7" t="s">
        <v>25</v>
      </c>
      <c r="C177" s="8">
        <v>199.0</v>
      </c>
      <c r="D177" s="8">
        <v>499.0</v>
      </c>
      <c r="E177" s="19">
        <v>0.6</v>
      </c>
      <c r="F177" s="10">
        <v>3.7</v>
      </c>
      <c r="G177" s="10">
        <v>612.0</v>
      </c>
    </row>
    <row r="178">
      <c r="A178" s="7" t="s">
        <v>206</v>
      </c>
      <c r="B178" s="7" t="s">
        <v>15</v>
      </c>
      <c r="C178" s="8">
        <v>88.0</v>
      </c>
      <c r="D178" s="8">
        <v>299.0</v>
      </c>
      <c r="E178" s="19">
        <v>0.71</v>
      </c>
      <c r="F178" s="10">
        <v>4.0</v>
      </c>
      <c r="G178" s="11">
        <v>9378.0</v>
      </c>
    </row>
    <row r="179">
      <c r="A179" s="7" t="s">
        <v>207</v>
      </c>
      <c r="B179" s="7" t="s">
        <v>15</v>
      </c>
      <c r="C179" s="8">
        <v>399.0</v>
      </c>
      <c r="D179" s="8">
        <v>1099.0</v>
      </c>
      <c r="E179" s="19">
        <v>0.64</v>
      </c>
      <c r="F179" s="10">
        <v>4.1</v>
      </c>
      <c r="G179" s="11">
        <v>2685.0</v>
      </c>
    </row>
    <row r="180">
      <c r="A180" s="7" t="s">
        <v>208</v>
      </c>
      <c r="B180" s="7" t="s">
        <v>15</v>
      </c>
      <c r="C180" s="8">
        <v>57.89</v>
      </c>
      <c r="D180" s="8">
        <v>199.0</v>
      </c>
      <c r="E180" s="19">
        <v>0.71</v>
      </c>
      <c r="F180" s="10">
        <v>4.0</v>
      </c>
      <c r="G180" s="11">
        <v>9378.0</v>
      </c>
    </row>
    <row r="181">
      <c r="A181" s="7" t="s">
        <v>209</v>
      </c>
      <c r="B181" s="7" t="s">
        <v>71</v>
      </c>
      <c r="C181" s="8">
        <v>799.0</v>
      </c>
      <c r="D181" s="8">
        <v>1999.0</v>
      </c>
      <c r="E181" s="19">
        <v>0.6</v>
      </c>
      <c r="F181" s="10">
        <v>3.3</v>
      </c>
      <c r="G181" s="10">
        <v>576.0</v>
      </c>
    </row>
    <row r="182">
      <c r="A182" s="7" t="s">
        <v>210</v>
      </c>
      <c r="B182" s="7" t="s">
        <v>71</v>
      </c>
      <c r="C182" s="8">
        <v>205.0</v>
      </c>
      <c r="D182" s="8">
        <v>499.0</v>
      </c>
      <c r="E182" s="19">
        <v>0.59</v>
      </c>
      <c r="F182" s="10">
        <v>3.8</v>
      </c>
      <c r="G182" s="10">
        <v>313.0</v>
      </c>
    </row>
    <row r="183">
      <c r="A183" s="7" t="s">
        <v>211</v>
      </c>
      <c r="B183" s="7" t="s">
        <v>15</v>
      </c>
      <c r="C183" s="8">
        <v>299.0</v>
      </c>
      <c r="D183" s="8">
        <v>699.0</v>
      </c>
      <c r="E183" s="19">
        <v>0.57</v>
      </c>
      <c r="F183" s="10">
        <v>4.1</v>
      </c>
      <c r="G183" s="11">
        <v>2957.0</v>
      </c>
    </row>
    <row r="184">
      <c r="A184" s="7" t="s">
        <v>212</v>
      </c>
      <c r="B184" s="7" t="s">
        <v>15</v>
      </c>
      <c r="C184" s="8">
        <v>849.0</v>
      </c>
      <c r="D184" s="8">
        <v>999.0</v>
      </c>
      <c r="E184" s="19">
        <v>0.15</v>
      </c>
      <c r="F184" s="10">
        <v>4.1</v>
      </c>
      <c r="G184" s="11">
        <v>6736.0</v>
      </c>
    </row>
    <row r="185">
      <c r="A185" s="7" t="s">
        <v>213</v>
      </c>
      <c r="B185" s="7" t="s">
        <v>15</v>
      </c>
      <c r="C185" s="8">
        <v>949.0</v>
      </c>
      <c r="D185" s="8">
        <v>1999.0</v>
      </c>
      <c r="E185" s="19">
        <v>0.53</v>
      </c>
      <c r="F185" s="10">
        <v>4.4</v>
      </c>
      <c r="G185" s="11">
        <v>13552.0</v>
      </c>
    </row>
    <row r="186">
      <c r="A186" s="7" t="s">
        <v>214</v>
      </c>
      <c r="B186" s="7" t="s">
        <v>15</v>
      </c>
      <c r="C186" s="8">
        <v>499.0</v>
      </c>
      <c r="D186" s="8">
        <v>1200.0</v>
      </c>
      <c r="E186" s="19">
        <v>0.58</v>
      </c>
      <c r="F186" s="10">
        <v>4.3</v>
      </c>
      <c r="G186" s="11">
        <v>5451.0</v>
      </c>
    </row>
    <row r="187">
      <c r="A187" s="7" t="s">
        <v>215</v>
      </c>
      <c r="B187" s="7" t="s">
        <v>15</v>
      </c>
      <c r="C187" s="8">
        <v>299.0</v>
      </c>
      <c r="D187" s="8">
        <v>485.0</v>
      </c>
      <c r="E187" s="19">
        <v>0.38</v>
      </c>
      <c r="F187" s="10">
        <v>4.3</v>
      </c>
      <c r="G187" s="11">
        <v>10911.0</v>
      </c>
    </row>
    <row r="188">
      <c r="A188" s="7" t="s">
        <v>216</v>
      </c>
      <c r="B188" s="7" t="s">
        <v>15</v>
      </c>
      <c r="C188" s="8">
        <v>949.0</v>
      </c>
      <c r="D188" s="8">
        <v>1999.0</v>
      </c>
      <c r="E188" s="19">
        <v>0.53</v>
      </c>
      <c r="F188" s="10">
        <v>4.4</v>
      </c>
      <c r="G188" s="11">
        <v>13552.0</v>
      </c>
    </row>
    <row r="189">
      <c r="A189" s="7" t="s">
        <v>217</v>
      </c>
      <c r="B189" s="7" t="s">
        <v>15</v>
      </c>
      <c r="C189" s="8">
        <v>379.0</v>
      </c>
      <c r="D189" s="8">
        <v>1099.0</v>
      </c>
      <c r="E189" s="19">
        <v>0.66</v>
      </c>
      <c r="F189" s="10">
        <v>4.3</v>
      </c>
      <c r="G189" s="11">
        <v>2806.0</v>
      </c>
    </row>
    <row r="190">
      <c r="A190" s="7" t="s">
        <v>218</v>
      </c>
      <c r="B190" s="7" t="s">
        <v>37</v>
      </c>
      <c r="C190" s="8">
        <v>8990.0</v>
      </c>
      <c r="D190" s="8">
        <v>18990.0</v>
      </c>
      <c r="E190" s="19">
        <v>0.53</v>
      </c>
      <c r="F190" s="10">
        <v>3.9</v>
      </c>
      <c r="G190" s="10">
        <v>350.0</v>
      </c>
    </row>
    <row r="191">
      <c r="A191" s="7" t="s">
        <v>219</v>
      </c>
      <c r="B191" s="7" t="s">
        <v>177</v>
      </c>
      <c r="C191" s="8">
        <v>486.0</v>
      </c>
      <c r="D191" s="8">
        <v>1999.0</v>
      </c>
      <c r="E191" s="19">
        <v>0.76</v>
      </c>
      <c r="F191" s="10">
        <v>4.2</v>
      </c>
      <c r="G191" s="11">
        <v>30023.0</v>
      </c>
    </row>
    <row r="192">
      <c r="A192" s="7" t="s">
        <v>220</v>
      </c>
      <c r="B192" s="7" t="s">
        <v>77</v>
      </c>
      <c r="C192" s="8">
        <v>5699.0</v>
      </c>
      <c r="D192" s="8">
        <v>11000.0</v>
      </c>
      <c r="E192" s="19">
        <v>0.48</v>
      </c>
      <c r="F192" s="10">
        <v>4.2</v>
      </c>
      <c r="G192" s="11">
        <v>4003.0</v>
      </c>
    </row>
    <row r="193">
      <c r="A193" s="7" t="s">
        <v>221</v>
      </c>
      <c r="B193" s="7" t="s">
        <v>15</v>
      </c>
      <c r="C193" s="8">
        <v>709.0</v>
      </c>
      <c r="D193" s="8">
        <v>1999.0</v>
      </c>
      <c r="E193" s="19">
        <v>0.65</v>
      </c>
      <c r="F193" s="10">
        <v>4.1</v>
      </c>
      <c r="G193" s="7" t="s">
        <v>222</v>
      </c>
    </row>
    <row r="194">
      <c r="A194" s="7" t="s">
        <v>223</v>
      </c>
      <c r="B194" s="7" t="s">
        <v>37</v>
      </c>
      <c r="C194" s="8">
        <v>47990.0</v>
      </c>
      <c r="D194" s="8">
        <v>70900.0</v>
      </c>
      <c r="E194" s="19">
        <v>0.32</v>
      </c>
      <c r="F194" s="10">
        <v>4.3</v>
      </c>
      <c r="G194" s="11">
        <v>7109.0</v>
      </c>
    </row>
    <row r="195">
      <c r="A195" s="7" t="s">
        <v>224</v>
      </c>
      <c r="B195" s="7" t="s">
        <v>71</v>
      </c>
      <c r="C195" s="8">
        <v>299.0</v>
      </c>
      <c r="D195" s="8">
        <v>1199.0</v>
      </c>
      <c r="E195" s="19">
        <v>0.75</v>
      </c>
      <c r="F195" s="10">
        <v>3.7</v>
      </c>
      <c r="G195" s="10">
        <v>490.0</v>
      </c>
    </row>
    <row r="196">
      <c r="A196" s="7" t="s">
        <v>225</v>
      </c>
      <c r="B196" s="7" t="s">
        <v>15</v>
      </c>
      <c r="C196" s="8">
        <v>320.0</v>
      </c>
      <c r="D196" s="8">
        <v>599.0</v>
      </c>
      <c r="E196" s="19">
        <v>0.47</v>
      </c>
      <c r="F196" s="10">
        <v>4.1</v>
      </c>
      <c r="G196" s="10">
        <v>491.0</v>
      </c>
    </row>
    <row r="197">
      <c r="A197" s="7" t="s">
        <v>226</v>
      </c>
      <c r="B197" s="7" t="s">
        <v>15</v>
      </c>
      <c r="C197" s="8">
        <v>139.0</v>
      </c>
      <c r="D197" s="8">
        <v>549.0</v>
      </c>
      <c r="E197" s="19">
        <v>0.75</v>
      </c>
      <c r="F197" s="10">
        <v>3.9</v>
      </c>
      <c r="G197" s="10">
        <v>61.0</v>
      </c>
    </row>
    <row r="198">
      <c r="A198" s="7" t="s">
        <v>227</v>
      </c>
      <c r="B198" s="7" t="s">
        <v>15</v>
      </c>
      <c r="C198" s="8">
        <v>129.0</v>
      </c>
      <c r="D198" s="8">
        <v>249.0</v>
      </c>
      <c r="E198" s="19">
        <v>0.48</v>
      </c>
      <c r="F198" s="10">
        <v>4.0</v>
      </c>
      <c r="G198" s="11">
        <v>9378.0</v>
      </c>
    </row>
    <row r="199">
      <c r="A199" s="7" t="s">
        <v>228</v>
      </c>
      <c r="B199" s="7" t="s">
        <v>37</v>
      </c>
      <c r="C199" s="8">
        <v>24999.0</v>
      </c>
      <c r="D199" s="8">
        <v>35999.0</v>
      </c>
      <c r="E199" s="19">
        <v>0.31</v>
      </c>
      <c r="F199" s="10">
        <v>4.2</v>
      </c>
      <c r="G199" s="11">
        <v>32840.0</v>
      </c>
    </row>
    <row r="200">
      <c r="A200" s="7" t="s">
        <v>229</v>
      </c>
      <c r="B200" s="7" t="s">
        <v>15</v>
      </c>
      <c r="C200" s="8">
        <v>999.0</v>
      </c>
      <c r="D200" s="8">
        <v>1699.0</v>
      </c>
      <c r="E200" s="19">
        <v>0.41</v>
      </c>
      <c r="F200" s="10">
        <v>4.4</v>
      </c>
      <c r="G200" s="11">
        <v>7318.0</v>
      </c>
    </row>
    <row r="201">
      <c r="A201" s="7" t="s">
        <v>230</v>
      </c>
      <c r="B201" s="7" t="s">
        <v>15</v>
      </c>
      <c r="C201" s="8">
        <v>225.0</v>
      </c>
      <c r="D201" s="8">
        <v>499.0</v>
      </c>
      <c r="E201" s="19">
        <v>0.55</v>
      </c>
      <c r="F201" s="10">
        <v>4.1</v>
      </c>
      <c r="G201" s="10">
        <v>789.0</v>
      </c>
    </row>
    <row r="202">
      <c r="A202" s="7" t="s">
        <v>231</v>
      </c>
      <c r="B202" s="7" t="s">
        <v>71</v>
      </c>
      <c r="C202" s="8">
        <v>547.0</v>
      </c>
      <c r="D202" s="8">
        <v>2999.0</v>
      </c>
      <c r="E202" s="19">
        <v>0.82</v>
      </c>
      <c r="F202" s="10">
        <v>4.3</v>
      </c>
      <c r="G202" s="10">
        <v>407.0</v>
      </c>
    </row>
    <row r="203">
      <c r="A203" s="7" t="s">
        <v>232</v>
      </c>
      <c r="B203" s="7" t="s">
        <v>15</v>
      </c>
      <c r="C203" s="8">
        <v>259.0</v>
      </c>
      <c r="D203" s="8">
        <v>699.0</v>
      </c>
      <c r="E203" s="19">
        <v>0.63</v>
      </c>
      <c r="F203" s="10">
        <v>3.8</v>
      </c>
      <c r="G203" s="11">
        <v>2399.0</v>
      </c>
    </row>
    <row r="204">
      <c r="A204" s="7" t="s">
        <v>233</v>
      </c>
      <c r="B204" s="7" t="s">
        <v>71</v>
      </c>
      <c r="C204" s="8">
        <v>239.0</v>
      </c>
      <c r="D204" s="8">
        <v>699.0</v>
      </c>
      <c r="E204" s="19">
        <v>0.66</v>
      </c>
      <c r="F204" s="10">
        <v>4.4</v>
      </c>
      <c r="G204" s="11">
        <v>2640.0</v>
      </c>
    </row>
    <row r="205">
      <c r="A205" s="7" t="s">
        <v>234</v>
      </c>
      <c r="B205" s="7" t="s">
        <v>71</v>
      </c>
      <c r="C205" s="8">
        <v>349.0</v>
      </c>
      <c r="D205" s="8">
        <v>999.0</v>
      </c>
      <c r="E205" s="19">
        <v>0.65</v>
      </c>
      <c r="F205" s="10">
        <v>4.0</v>
      </c>
      <c r="G205" s="10">
        <v>839.0</v>
      </c>
    </row>
    <row r="206">
      <c r="A206" s="7" t="s">
        <v>235</v>
      </c>
      <c r="B206" s="7" t="s">
        <v>31</v>
      </c>
      <c r="C206" s="8">
        <v>467.0</v>
      </c>
      <c r="D206" s="8">
        <v>599.0</v>
      </c>
      <c r="E206" s="19">
        <v>0.22</v>
      </c>
      <c r="F206" s="10">
        <v>4.4</v>
      </c>
      <c r="G206" s="11">
        <v>44054.0</v>
      </c>
    </row>
    <row r="207">
      <c r="A207" s="7" t="s">
        <v>236</v>
      </c>
      <c r="B207" s="7" t="s">
        <v>15</v>
      </c>
      <c r="C207" s="8">
        <v>449.0</v>
      </c>
      <c r="D207" s="8">
        <v>599.0</v>
      </c>
      <c r="E207" s="19">
        <v>0.25</v>
      </c>
      <c r="F207" s="10">
        <v>4.0</v>
      </c>
      <c r="G207" s="11">
        <v>3231.0</v>
      </c>
    </row>
    <row r="208">
      <c r="A208" s="7" t="s">
        <v>237</v>
      </c>
      <c r="B208" s="7" t="s">
        <v>37</v>
      </c>
      <c r="C208" s="8">
        <v>11990.0</v>
      </c>
      <c r="D208" s="8">
        <v>31990.0</v>
      </c>
      <c r="E208" s="19">
        <v>0.63</v>
      </c>
      <c r="F208" s="10">
        <v>4.2</v>
      </c>
      <c r="G208" s="10">
        <v>64.0</v>
      </c>
    </row>
    <row r="209">
      <c r="A209" s="7" t="s">
        <v>238</v>
      </c>
      <c r="B209" s="7" t="s">
        <v>15</v>
      </c>
      <c r="C209" s="8">
        <v>350.0</v>
      </c>
      <c r="D209" s="8">
        <v>599.0</v>
      </c>
      <c r="E209" s="19">
        <v>0.42</v>
      </c>
      <c r="F209" s="10">
        <v>3.9</v>
      </c>
      <c r="G209" s="11">
        <v>8314.0</v>
      </c>
    </row>
    <row r="210">
      <c r="A210" s="7" t="s">
        <v>239</v>
      </c>
      <c r="B210" s="7" t="s">
        <v>15</v>
      </c>
      <c r="C210" s="8">
        <v>252.0</v>
      </c>
      <c r="D210" s="8">
        <v>999.0</v>
      </c>
      <c r="E210" s="19">
        <v>0.75</v>
      </c>
      <c r="F210" s="10">
        <v>3.7</v>
      </c>
      <c r="G210" s="11">
        <v>2249.0</v>
      </c>
    </row>
    <row r="211">
      <c r="A211" s="7" t="s">
        <v>240</v>
      </c>
      <c r="B211" s="7" t="s">
        <v>71</v>
      </c>
      <c r="C211" s="8">
        <v>204.0</v>
      </c>
      <c r="D211" s="8">
        <v>599.0</v>
      </c>
      <c r="E211" s="19">
        <v>0.66</v>
      </c>
      <c r="F211" s="10">
        <v>3.6</v>
      </c>
      <c r="G211" s="10">
        <v>339.0</v>
      </c>
    </row>
    <row r="212">
      <c r="A212" s="7" t="s">
        <v>241</v>
      </c>
      <c r="B212" s="7" t="s">
        <v>187</v>
      </c>
      <c r="C212" s="8">
        <v>6490.0</v>
      </c>
      <c r="D212" s="8">
        <v>9990.0</v>
      </c>
      <c r="E212" s="19">
        <v>0.35</v>
      </c>
      <c r="F212" s="10">
        <v>4.0</v>
      </c>
      <c r="G212" s="10">
        <v>27.0</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v>0.7</v>
      </c>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v>0.67</v>
      </c>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v>0.58</v>
      </c>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v>0.5</v>
      </c>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v>0.38</v>
      </c>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v>0.57</v>
      </c>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v>0.62</v>
      </c>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1">
    <mergeCell ref="I2:J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1607</v>
      </c>
      <c r="K2" s="23">
        <f>VLOOKUP("Monitor AC Stand/Heavy Duty Air Conditioner Outdoor Unit Mounting Bracket",A1:D1466,4,FALSE)</f>
        <v>1690</v>
      </c>
    </row>
    <row r="3">
      <c r="A3" s="7" t="s">
        <v>17</v>
      </c>
      <c r="B3" s="7" t="s">
        <v>15</v>
      </c>
      <c r="C3" s="8">
        <v>199.0</v>
      </c>
      <c r="D3" s="8">
        <v>349.0</v>
      </c>
      <c r="E3" s="19">
        <v>0.43</v>
      </c>
      <c r="F3" s="10">
        <v>4.0</v>
      </c>
      <c r="G3" s="11">
        <v>43994.0</v>
      </c>
    </row>
    <row r="4">
      <c r="A4" s="7" t="s">
        <v>18</v>
      </c>
      <c r="B4" s="7" t="s">
        <v>15</v>
      </c>
      <c r="C4" s="8">
        <v>199.0</v>
      </c>
      <c r="D4" s="8">
        <v>1899.0</v>
      </c>
      <c r="E4" s="19">
        <v>0.9</v>
      </c>
      <c r="F4" s="10">
        <v>3.9</v>
      </c>
      <c r="G4" s="11">
        <v>7928.0</v>
      </c>
    </row>
    <row r="5">
      <c r="A5" s="7" t="s">
        <v>19</v>
      </c>
      <c r="B5" s="7" t="s">
        <v>15</v>
      </c>
      <c r="C5" s="8">
        <v>329.0</v>
      </c>
      <c r="D5" s="8">
        <v>699.0</v>
      </c>
      <c r="E5" s="19">
        <v>0.53</v>
      </c>
      <c r="F5" s="10">
        <v>4.2</v>
      </c>
      <c r="G5" s="11">
        <v>94363.0</v>
      </c>
    </row>
    <row r="6">
      <c r="A6" s="7" t="s">
        <v>20</v>
      </c>
      <c r="B6" s="7" t="s">
        <v>15</v>
      </c>
      <c r="C6" s="8">
        <v>154.0</v>
      </c>
      <c r="D6" s="8">
        <v>399.0</v>
      </c>
      <c r="E6" s="19">
        <v>0.61</v>
      </c>
      <c r="F6" s="10">
        <v>4.2</v>
      </c>
      <c r="G6" s="11">
        <v>16905.0</v>
      </c>
    </row>
    <row r="7">
      <c r="A7" s="7" t="s">
        <v>21</v>
      </c>
      <c r="B7" s="7" t="s">
        <v>15</v>
      </c>
      <c r="C7" s="8">
        <v>149.0</v>
      </c>
      <c r="D7" s="8">
        <v>1000.0</v>
      </c>
      <c r="E7" s="19">
        <v>0.85</v>
      </c>
      <c r="F7" s="10">
        <v>3.9</v>
      </c>
      <c r="G7" s="11">
        <v>24871.0</v>
      </c>
    </row>
    <row r="8">
      <c r="A8" s="7" t="s">
        <v>22</v>
      </c>
      <c r="B8" s="7" t="s">
        <v>15</v>
      </c>
      <c r="C8" s="8">
        <v>176.63</v>
      </c>
      <c r="D8" s="8">
        <v>499.0</v>
      </c>
      <c r="E8" s="19">
        <v>0.65</v>
      </c>
      <c r="F8" s="10">
        <v>4.1</v>
      </c>
      <c r="G8" s="11">
        <v>15188.0</v>
      </c>
    </row>
    <row r="9">
      <c r="A9" s="7" t="s">
        <v>23</v>
      </c>
      <c r="B9" s="7" t="s">
        <v>15</v>
      </c>
      <c r="C9" s="8">
        <v>229.0</v>
      </c>
      <c r="D9" s="8">
        <v>299.0</v>
      </c>
      <c r="E9" s="19">
        <v>0.23</v>
      </c>
      <c r="F9" s="10">
        <v>4.3</v>
      </c>
      <c r="G9" s="11">
        <v>30411.0</v>
      </c>
    </row>
    <row r="10">
      <c r="A10" s="7" t="s">
        <v>24</v>
      </c>
      <c r="B10" s="7" t="s">
        <v>25</v>
      </c>
      <c r="C10" s="8">
        <v>499.0</v>
      </c>
      <c r="D10" s="8">
        <v>999.0</v>
      </c>
      <c r="E10" s="19">
        <v>0.5</v>
      </c>
      <c r="F10" s="10">
        <v>4.2</v>
      </c>
      <c r="G10" s="7" t="s">
        <v>26</v>
      </c>
    </row>
    <row r="11">
      <c r="A11" s="7" t="s">
        <v>27</v>
      </c>
      <c r="B11" s="7" t="s">
        <v>15</v>
      </c>
      <c r="C11" s="8">
        <v>199.0</v>
      </c>
      <c r="D11" s="8">
        <v>299.0</v>
      </c>
      <c r="E11" s="19">
        <v>0.33</v>
      </c>
      <c r="F11" s="10">
        <v>4.0</v>
      </c>
      <c r="G11" s="11">
        <v>43994.0</v>
      </c>
    </row>
    <row r="12">
      <c r="A12" s="7" t="s">
        <v>28</v>
      </c>
      <c r="B12" s="7" t="s">
        <v>15</v>
      </c>
      <c r="C12" s="8">
        <v>154.0</v>
      </c>
      <c r="D12" s="8">
        <v>339.0</v>
      </c>
      <c r="E12" s="19">
        <v>0.55</v>
      </c>
      <c r="F12" s="10">
        <v>4.3</v>
      </c>
      <c r="G12" s="11">
        <v>13391.0</v>
      </c>
    </row>
    <row r="13">
      <c r="A13" s="7" t="s">
        <v>29</v>
      </c>
      <c r="B13" s="7" t="s">
        <v>15</v>
      </c>
      <c r="C13" s="8">
        <v>299.0</v>
      </c>
      <c r="D13" s="8">
        <v>799.0</v>
      </c>
      <c r="E13" s="19">
        <v>0.63</v>
      </c>
      <c r="F13" s="10">
        <v>4.2</v>
      </c>
      <c r="G13" s="11">
        <v>94363.0</v>
      </c>
    </row>
    <row r="14">
      <c r="A14" s="7" t="s">
        <v>30</v>
      </c>
      <c r="B14" s="7" t="s">
        <v>31</v>
      </c>
      <c r="C14" s="8">
        <v>219.0</v>
      </c>
      <c r="D14" s="8">
        <v>700.0</v>
      </c>
      <c r="E14" s="19">
        <v>0.69</v>
      </c>
      <c r="F14" s="10">
        <v>4.4</v>
      </c>
      <c r="G14" s="7" t="s">
        <v>32</v>
      </c>
    </row>
    <row r="15">
      <c r="A15" s="7" t="s">
        <v>33</v>
      </c>
      <c r="B15" s="7" t="s">
        <v>15</v>
      </c>
      <c r="C15" s="8">
        <v>350.0</v>
      </c>
      <c r="D15" s="8">
        <v>899.0</v>
      </c>
      <c r="E15" s="19">
        <v>0.61</v>
      </c>
      <c r="F15" s="10">
        <v>4.2</v>
      </c>
      <c r="G15" s="11">
        <v>2262.0</v>
      </c>
    </row>
    <row r="16">
      <c r="A16" s="7" t="s">
        <v>34</v>
      </c>
      <c r="B16" s="7" t="s">
        <v>15</v>
      </c>
      <c r="C16" s="8">
        <v>159.0</v>
      </c>
      <c r="D16" s="8">
        <v>399.0</v>
      </c>
      <c r="E16" s="19">
        <v>0.6</v>
      </c>
      <c r="F16" s="10">
        <v>4.1</v>
      </c>
      <c r="G16" s="11">
        <v>4768.0</v>
      </c>
    </row>
    <row r="17">
      <c r="A17" s="7" t="s">
        <v>35</v>
      </c>
      <c r="B17" s="7" t="s">
        <v>15</v>
      </c>
      <c r="C17" s="8">
        <v>349.0</v>
      </c>
      <c r="D17" s="8">
        <v>399.0</v>
      </c>
      <c r="E17" s="19">
        <v>0.13</v>
      </c>
      <c r="F17" s="10">
        <v>4.4</v>
      </c>
      <c r="G17" s="11">
        <v>18757.0</v>
      </c>
    </row>
    <row r="18">
      <c r="A18" s="7" t="s">
        <v>36</v>
      </c>
      <c r="B18" s="7" t="s">
        <v>37</v>
      </c>
      <c r="C18" s="8">
        <v>13999.0</v>
      </c>
      <c r="D18" s="8">
        <v>24999.0</v>
      </c>
      <c r="E18" s="19">
        <v>0.44</v>
      </c>
      <c r="F18" s="10">
        <v>4.2</v>
      </c>
      <c r="G18" s="11">
        <v>32840.0</v>
      </c>
    </row>
    <row r="19">
      <c r="A19" s="7" t="s">
        <v>38</v>
      </c>
      <c r="B19" s="7" t="s">
        <v>15</v>
      </c>
      <c r="C19" s="8">
        <v>249.0</v>
      </c>
      <c r="D19" s="8">
        <v>399.0</v>
      </c>
      <c r="E19" s="19">
        <v>0.38</v>
      </c>
      <c r="F19" s="10">
        <v>4.0</v>
      </c>
      <c r="G19" s="11">
        <v>43994.0</v>
      </c>
    </row>
    <row r="20">
      <c r="A20" s="7" t="s">
        <v>39</v>
      </c>
      <c r="B20" s="7" t="s">
        <v>15</v>
      </c>
      <c r="C20" s="8">
        <v>199.0</v>
      </c>
      <c r="D20" s="8">
        <v>499.0</v>
      </c>
      <c r="E20" s="19">
        <v>0.6</v>
      </c>
      <c r="F20" s="10">
        <v>4.1</v>
      </c>
      <c r="G20" s="11">
        <v>13045.0</v>
      </c>
    </row>
    <row r="21">
      <c r="A21" s="7" t="s">
        <v>40</v>
      </c>
      <c r="B21" s="7" t="s">
        <v>37</v>
      </c>
      <c r="C21" s="8">
        <v>13490.0</v>
      </c>
      <c r="D21" s="8">
        <v>21990.0</v>
      </c>
      <c r="E21" s="19">
        <v>0.39</v>
      </c>
      <c r="F21" s="10">
        <v>4.3</v>
      </c>
      <c r="G21" s="11">
        <v>11976.0</v>
      </c>
    </row>
    <row r="22">
      <c r="A22" s="7" t="s">
        <v>41</v>
      </c>
      <c r="B22" s="7" t="s">
        <v>15</v>
      </c>
      <c r="C22" s="8">
        <v>970.0</v>
      </c>
      <c r="D22" s="8">
        <v>1799.0</v>
      </c>
      <c r="E22" s="19">
        <v>0.46</v>
      </c>
      <c r="F22" s="10">
        <v>4.5</v>
      </c>
      <c r="G22" s="10">
        <v>815.0</v>
      </c>
    </row>
    <row r="23">
      <c r="A23" s="7" t="s">
        <v>42</v>
      </c>
      <c r="B23" s="7" t="s">
        <v>31</v>
      </c>
      <c r="C23" s="8">
        <v>279.0</v>
      </c>
      <c r="D23" s="8">
        <v>499.0</v>
      </c>
      <c r="E23" s="19">
        <v>0.44</v>
      </c>
      <c r="F23" s="10">
        <v>3.7</v>
      </c>
      <c r="G23" s="11">
        <v>10962.0</v>
      </c>
    </row>
    <row r="24">
      <c r="A24" s="7" t="s">
        <v>43</v>
      </c>
      <c r="B24" s="7" t="s">
        <v>37</v>
      </c>
      <c r="C24" s="8">
        <v>13490.0</v>
      </c>
      <c r="D24" s="8">
        <v>22900.0</v>
      </c>
      <c r="E24" s="19">
        <v>0.41</v>
      </c>
      <c r="F24" s="10">
        <v>4.3</v>
      </c>
      <c r="G24" s="11">
        <v>16299.0</v>
      </c>
    </row>
    <row r="25">
      <c r="A25" s="7" t="s">
        <v>44</v>
      </c>
      <c r="B25" s="7" t="s">
        <v>15</v>
      </c>
      <c r="C25" s="8">
        <v>59.0</v>
      </c>
      <c r="D25" s="8">
        <v>199.0</v>
      </c>
      <c r="E25" s="19">
        <v>0.7</v>
      </c>
      <c r="F25" s="10">
        <v>4.0</v>
      </c>
      <c r="G25" s="11">
        <v>9378.0</v>
      </c>
    </row>
    <row r="26">
      <c r="A26" s="7" t="s">
        <v>45</v>
      </c>
      <c r="B26" s="7" t="s">
        <v>37</v>
      </c>
      <c r="C26" s="8">
        <v>11499.0</v>
      </c>
      <c r="D26" s="8">
        <v>19990.0</v>
      </c>
      <c r="E26" s="19">
        <v>0.42</v>
      </c>
      <c r="F26" s="10">
        <v>4.3</v>
      </c>
      <c r="G26" s="11">
        <v>4703.0</v>
      </c>
    </row>
    <row r="27">
      <c r="A27" s="7" t="s">
        <v>46</v>
      </c>
      <c r="B27" s="7" t="s">
        <v>31</v>
      </c>
      <c r="C27" s="8">
        <v>199.0</v>
      </c>
      <c r="D27" s="8">
        <v>699.0</v>
      </c>
      <c r="E27" s="19">
        <v>0.72</v>
      </c>
      <c r="F27" s="10">
        <v>4.2</v>
      </c>
      <c r="G27" s="11">
        <v>12153.0</v>
      </c>
    </row>
    <row r="28">
      <c r="A28" s="7" t="s">
        <v>47</v>
      </c>
      <c r="B28" s="7" t="s">
        <v>37</v>
      </c>
      <c r="C28" s="8">
        <v>14999.0</v>
      </c>
      <c r="D28" s="8">
        <v>19999.0</v>
      </c>
      <c r="E28" s="19">
        <v>0.25</v>
      </c>
      <c r="F28" s="10">
        <v>4.2</v>
      </c>
      <c r="G28" s="11">
        <v>34899.0</v>
      </c>
    </row>
    <row r="29">
      <c r="A29" s="7" t="s">
        <v>48</v>
      </c>
      <c r="B29" s="7" t="s">
        <v>15</v>
      </c>
      <c r="C29" s="8">
        <v>299.0</v>
      </c>
      <c r="D29" s="8">
        <v>399.0</v>
      </c>
      <c r="E29" s="19">
        <v>0.25</v>
      </c>
      <c r="F29" s="10">
        <v>4.0</v>
      </c>
      <c r="G29" s="11">
        <v>2766.0</v>
      </c>
    </row>
    <row r="30">
      <c r="A30" s="7" t="s">
        <v>49</v>
      </c>
      <c r="B30" s="7" t="s">
        <v>15</v>
      </c>
      <c r="C30" s="8">
        <v>970.0</v>
      </c>
      <c r="D30" s="8">
        <v>1999.0</v>
      </c>
      <c r="E30" s="19">
        <v>0.51</v>
      </c>
      <c r="F30" s="10">
        <v>4.4</v>
      </c>
      <c r="G30" s="10">
        <v>184.0</v>
      </c>
    </row>
    <row r="31">
      <c r="A31" s="7" t="s">
        <v>50</v>
      </c>
      <c r="B31" s="7" t="s">
        <v>15</v>
      </c>
      <c r="C31" s="8">
        <v>299.0</v>
      </c>
      <c r="D31" s="8">
        <v>999.0</v>
      </c>
      <c r="E31" s="19">
        <v>0.7</v>
      </c>
      <c r="F31" s="10">
        <v>4.3</v>
      </c>
      <c r="G31" s="11">
        <v>20850.0</v>
      </c>
    </row>
    <row r="32">
      <c r="A32" s="7" t="s">
        <v>51</v>
      </c>
      <c r="B32" s="7" t="s">
        <v>15</v>
      </c>
      <c r="C32" s="8">
        <v>199.0</v>
      </c>
      <c r="D32" s="8">
        <v>750.0</v>
      </c>
      <c r="E32" s="19">
        <v>0.73</v>
      </c>
      <c r="F32" s="10">
        <v>4.5</v>
      </c>
      <c r="G32" s="11">
        <v>74976.0</v>
      </c>
    </row>
    <row r="33">
      <c r="A33" s="7" t="s">
        <v>52</v>
      </c>
      <c r="B33" s="7" t="s">
        <v>15</v>
      </c>
      <c r="C33" s="8">
        <v>179.0</v>
      </c>
      <c r="D33" s="8">
        <v>499.0</v>
      </c>
      <c r="E33" s="19">
        <v>0.64</v>
      </c>
      <c r="F33" s="10">
        <v>4.0</v>
      </c>
      <c r="G33" s="11">
        <v>1934.0</v>
      </c>
    </row>
    <row r="34">
      <c r="A34" s="7" t="s">
        <v>53</v>
      </c>
      <c r="B34" s="7" t="s">
        <v>15</v>
      </c>
      <c r="C34" s="8">
        <v>389.0</v>
      </c>
      <c r="D34" s="8">
        <v>1099.0</v>
      </c>
      <c r="E34" s="19">
        <v>0.65</v>
      </c>
      <c r="F34" s="10">
        <v>4.3</v>
      </c>
      <c r="G34" s="10">
        <v>974.0</v>
      </c>
    </row>
    <row r="35">
      <c r="A35" s="7" t="s">
        <v>54</v>
      </c>
      <c r="B35" s="7" t="s">
        <v>15</v>
      </c>
      <c r="C35" s="8">
        <v>599.0</v>
      </c>
      <c r="D35" s="8">
        <v>599.0</v>
      </c>
      <c r="E35" s="19">
        <v>0.0</v>
      </c>
      <c r="F35" s="10">
        <v>4.3</v>
      </c>
      <c r="G35" s="10">
        <v>355.0</v>
      </c>
    </row>
    <row r="36">
      <c r="A36" s="7" t="s">
        <v>55</v>
      </c>
      <c r="B36" s="7" t="s">
        <v>15</v>
      </c>
      <c r="C36" s="8">
        <v>199.0</v>
      </c>
      <c r="D36" s="8">
        <v>999.0</v>
      </c>
      <c r="E36" s="19">
        <v>0.8</v>
      </c>
      <c r="F36" s="10">
        <v>3.9</v>
      </c>
      <c r="G36" s="11">
        <v>1075.0</v>
      </c>
    </row>
    <row r="37">
      <c r="A37" s="7" t="s">
        <v>56</v>
      </c>
      <c r="B37" s="7" t="s">
        <v>15</v>
      </c>
      <c r="C37" s="8">
        <v>99.0</v>
      </c>
      <c r="D37" s="8">
        <v>666.66</v>
      </c>
      <c r="E37" s="19">
        <v>0.85</v>
      </c>
      <c r="F37" s="10">
        <v>3.9</v>
      </c>
      <c r="G37" s="11">
        <v>24871.0</v>
      </c>
    </row>
    <row r="38">
      <c r="A38" s="7" t="s">
        <v>57</v>
      </c>
      <c r="B38" s="7" t="s">
        <v>15</v>
      </c>
      <c r="C38" s="8">
        <v>899.0</v>
      </c>
      <c r="D38" s="8">
        <v>1900.0</v>
      </c>
      <c r="E38" s="19">
        <v>0.53</v>
      </c>
      <c r="F38" s="10">
        <v>4.4</v>
      </c>
      <c r="G38" s="11">
        <v>13552.0</v>
      </c>
    </row>
    <row r="39">
      <c r="A39" s="7" t="s">
        <v>58</v>
      </c>
      <c r="B39" s="7" t="s">
        <v>15</v>
      </c>
      <c r="C39" s="8">
        <v>199.0</v>
      </c>
      <c r="D39" s="8">
        <v>999.0</v>
      </c>
      <c r="E39" s="19">
        <v>0.8</v>
      </c>
      <c r="F39" s="10">
        <v>4.0</v>
      </c>
      <c r="G39" s="10">
        <v>576.0</v>
      </c>
    </row>
    <row r="40">
      <c r="A40" s="7" t="s">
        <v>59</v>
      </c>
      <c r="B40" s="7" t="s">
        <v>37</v>
      </c>
      <c r="C40" s="8">
        <v>32999.0</v>
      </c>
      <c r="D40" s="8">
        <v>45999.0</v>
      </c>
      <c r="E40" s="19">
        <v>0.28</v>
      </c>
      <c r="F40" s="10">
        <v>4.2</v>
      </c>
      <c r="G40" s="11">
        <v>7298.0</v>
      </c>
    </row>
    <row r="41">
      <c r="A41" s="7" t="s">
        <v>60</v>
      </c>
      <c r="B41" s="7" t="s">
        <v>15</v>
      </c>
      <c r="C41" s="8">
        <v>970.0</v>
      </c>
      <c r="D41" s="8">
        <v>1999.0</v>
      </c>
      <c r="E41" s="19">
        <v>0.51</v>
      </c>
      <c r="F41" s="10">
        <v>4.2</v>
      </c>
      <c r="G41" s="10">
        <v>462.0</v>
      </c>
    </row>
    <row r="42">
      <c r="A42" s="7" t="s">
        <v>61</v>
      </c>
      <c r="B42" s="7" t="s">
        <v>15</v>
      </c>
      <c r="C42" s="8">
        <v>209.0</v>
      </c>
      <c r="D42" s="8">
        <v>695.0</v>
      </c>
      <c r="E42" s="19">
        <v>0.7</v>
      </c>
      <c r="F42" s="10">
        <v>4.5</v>
      </c>
      <c r="G42" s="7" t="s">
        <v>62</v>
      </c>
    </row>
    <row r="43">
      <c r="A43" s="7" t="s">
        <v>63</v>
      </c>
      <c r="B43" s="7" t="s">
        <v>37</v>
      </c>
      <c r="C43" s="8">
        <v>19999.0</v>
      </c>
      <c r="D43" s="8">
        <v>34999.0</v>
      </c>
      <c r="E43" s="19">
        <v>0.43</v>
      </c>
      <c r="F43" s="10">
        <v>4.3</v>
      </c>
      <c r="G43" s="11">
        <v>27151.0</v>
      </c>
    </row>
    <row r="44">
      <c r="A44" s="7" t="s">
        <v>64</v>
      </c>
      <c r="B44" s="7" t="s">
        <v>15</v>
      </c>
      <c r="C44" s="8">
        <v>399.0</v>
      </c>
      <c r="D44" s="8">
        <v>1099.0</v>
      </c>
      <c r="E44" s="19">
        <v>0.64</v>
      </c>
      <c r="F44" s="10">
        <v>4.2</v>
      </c>
      <c r="G44" s="11">
        <v>24269.0</v>
      </c>
    </row>
    <row r="45">
      <c r="A45" s="7" t="s">
        <v>65</v>
      </c>
      <c r="B45" s="7" t="s">
        <v>25</v>
      </c>
      <c r="C45" s="8">
        <v>999.0</v>
      </c>
      <c r="D45" s="8">
        <v>1599.0</v>
      </c>
      <c r="E45" s="19">
        <v>0.38</v>
      </c>
      <c r="F45" s="10">
        <v>4.3</v>
      </c>
      <c r="G45" s="11">
        <v>12093.0</v>
      </c>
    </row>
    <row r="46">
      <c r="A46" s="7" t="s">
        <v>66</v>
      </c>
      <c r="B46" s="7" t="s">
        <v>15</v>
      </c>
      <c r="C46" s="8">
        <v>59.0</v>
      </c>
      <c r="D46" s="8">
        <v>199.0</v>
      </c>
      <c r="E46" s="19">
        <v>0.7</v>
      </c>
      <c r="F46" s="10">
        <v>4.0</v>
      </c>
      <c r="G46" s="11">
        <v>9378.0</v>
      </c>
    </row>
    <row r="47">
      <c r="A47" s="7" t="s">
        <v>67</v>
      </c>
      <c r="B47" s="7" t="s">
        <v>15</v>
      </c>
      <c r="C47" s="8">
        <v>333.0</v>
      </c>
      <c r="D47" s="8">
        <v>999.0</v>
      </c>
      <c r="E47" s="19">
        <v>0.67</v>
      </c>
      <c r="F47" s="10">
        <v>3.3</v>
      </c>
      <c r="G47" s="11">
        <v>9792.0</v>
      </c>
    </row>
    <row r="48">
      <c r="A48" s="7" t="s">
        <v>68</v>
      </c>
      <c r="B48" s="7" t="s">
        <v>25</v>
      </c>
      <c r="C48" s="8">
        <v>507.0</v>
      </c>
      <c r="D48" s="8">
        <v>1208.0</v>
      </c>
      <c r="E48" s="19">
        <v>0.58</v>
      </c>
      <c r="F48" s="10">
        <v>4.1</v>
      </c>
      <c r="G48" s="11">
        <v>8131.0</v>
      </c>
    </row>
    <row r="49">
      <c r="A49" s="7" t="s">
        <v>69</v>
      </c>
      <c r="B49" s="7" t="s">
        <v>31</v>
      </c>
      <c r="C49" s="8">
        <v>309.0</v>
      </c>
      <c r="D49" s="8">
        <v>475.0</v>
      </c>
      <c r="E49" s="19">
        <v>0.35</v>
      </c>
      <c r="F49" s="10">
        <v>4.4</v>
      </c>
      <c r="G49" s="7" t="s">
        <v>32</v>
      </c>
    </row>
    <row r="50">
      <c r="A50" s="7" t="s">
        <v>70</v>
      </c>
      <c r="B50" s="7" t="s">
        <v>71</v>
      </c>
      <c r="C50" s="8">
        <v>399.0</v>
      </c>
      <c r="D50" s="8">
        <v>999.0</v>
      </c>
      <c r="E50" s="19">
        <v>0.6</v>
      </c>
      <c r="F50" s="10">
        <v>3.6</v>
      </c>
      <c r="G50" s="10">
        <v>493.0</v>
      </c>
    </row>
    <row r="51">
      <c r="A51" s="7" t="s">
        <v>72</v>
      </c>
      <c r="B51" s="7" t="s">
        <v>15</v>
      </c>
      <c r="C51" s="8">
        <v>199.0</v>
      </c>
      <c r="D51" s="8">
        <v>395.0</v>
      </c>
      <c r="E51" s="19">
        <v>0.5</v>
      </c>
      <c r="F51" s="10">
        <v>4.2</v>
      </c>
      <c r="G51" s="11">
        <v>92595.0</v>
      </c>
    </row>
    <row r="52">
      <c r="A52" s="7" t="s">
        <v>73</v>
      </c>
      <c r="B52" s="7" t="s">
        <v>25</v>
      </c>
      <c r="C52" s="8">
        <v>1199.0</v>
      </c>
      <c r="D52" s="8">
        <v>2199.0</v>
      </c>
      <c r="E52" s="19">
        <v>0.45</v>
      </c>
      <c r="F52" s="10">
        <v>4.4</v>
      </c>
      <c r="G52" s="11">
        <v>24780.0</v>
      </c>
    </row>
    <row r="53">
      <c r="A53" s="7" t="s">
        <v>74</v>
      </c>
      <c r="B53" s="7" t="s">
        <v>15</v>
      </c>
      <c r="C53" s="8">
        <v>179.0</v>
      </c>
      <c r="D53" s="8">
        <v>500.0</v>
      </c>
      <c r="E53" s="19">
        <v>0.64</v>
      </c>
      <c r="F53" s="10">
        <v>4.2</v>
      </c>
      <c r="G53" s="11">
        <v>92595.0</v>
      </c>
    </row>
    <row r="54">
      <c r="A54" s="7" t="s">
        <v>75</v>
      </c>
      <c r="B54" s="7" t="s">
        <v>15</v>
      </c>
      <c r="C54" s="8">
        <v>799.0</v>
      </c>
      <c r="D54" s="8">
        <v>2100.0</v>
      </c>
      <c r="E54" s="19">
        <v>0.62</v>
      </c>
      <c r="F54" s="10">
        <v>4.3</v>
      </c>
      <c r="G54" s="11">
        <v>8188.0</v>
      </c>
    </row>
    <row r="55">
      <c r="A55" s="7" t="s">
        <v>76</v>
      </c>
      <c r="B55" s="7" t="s">
        <v>77</v>
      </c>
      <c r="C55" s="8">
        <v>6999.0</v>
      </c>
      <c r="D55" s="8">
        <v>12999.0</v>
      </c>
      <c r="E55" s="19">
        <v>0.46</v>
      </c>
      <c r="F55" s="10">
        <v>4.2</v>
      </c>
      <c r="G55" s="11">
        <v>4003.0</v>
      </c>
    </row>
    <row r="56">
      <c r="A56" s="7" t="s">
        <v>78</v>
      </c>
      <c r="B56" s="7" t="s">
        <v>15</v>
      </c>
      <c r="C56" s="8">
        <v>199.0</v>
      </c>
      <c r="D56" s="8">
        <v>349.0</v>
      </c>
      <c r="E56" s="19">
        <v>0.43</v>
      </c>
      <c r="F56" s="10">
        <v>4.1</v>
      </c>
      <c r="G56" s="10">
        <v>314.0</v>
      </c>
    </row>
    <row r="57">
      <c r="A57" s="7" t="s">
        <v>79</v>
      </c>
      <c r="B57" s="7" t="s">
        <v>71</v>
      </c>
      <c r="C57" s="8">
        <v>230.0</v>
      </c>
      <c r="D57" s="8">
        <v>499.0</v>
      </c>
      <c r="E57" s="19">
        <v>0.54</v>
      </c>
      <c r="F57" s="10">
        <v>3.7</v>
      </c>
      <c r="G57" s="11">
        <v>2960.0</v>
      </c>
    </row>
    <row r="58">
      <c r="A58" s="7" t="s">
        <v>80</v>
      </c>
      <c r="B58" s="7" t="s">
        <v>25</v>
      </c>
      <c r="C58" s="8">
        <v>649.0</v>
      </c>
      <c r="D58" s="8">
        <v>1399.0</v>
      </c>
      <c r="E58" s="19">
        <v>0.54</v>
      </c>
      <c r="F58" s="10">
        <v>4.2</v>
      </c>
      <c r="G58" s="7" t="s">
        <v>26</v>
      </c>
    </row>
    <row r="59">
      <c r="A59" s="7" t="s">
        <v>81</v>
      </c>
      <c r="B59" s="7" t="s">
        <v>37</v>
      </c>
      <c r="C59" s="8">
        <v>15999.0</v>
      </c>
      <c r="D59" s="8">
        <v>21999.0</v>
      </c>
      <c r="E59" s="19">
        <v>0.27</v>
      </c>
      <c r="F59" s="10">
        <v>4.2</v>
      </c>
      <c r="G59" s="11">
        <v>34899.0</v>
      </c>
    </row>
    <row r="60">
      <c r="A60" s="7" t="s">
        <v>82</v>
      </c>
      <c r="B60" s="7" t="s">
        <v>15</v>
      </c>
      <c r="C60" s="8">
        <v>348.0</v>
      </c>
      <c r="D60" s="8">
        <v>1499.0</v>
      </c>
      <c r="E60" s="19">
        <v>0.77</v>
      </c>
      <c r="F60" s="10">
        <v>4.2</v>
      </c>
      <c r="G60" s="10">
        <v>656.0</v>
      </c>
    </row>
    <row r="61">
      <c r="A61" s="7" t="s">
        <v>83</v>
      </c>
      <c r="B61" s="7" t="s">
        <v>15</v>
      </c>
      <c r="C61" s="8">
        <v>154.0</v>
      </c>
      <c r="D61" s="8">
        <v>349.0</v>
      </c>
      <c r="E61" s="19">
        <v>0.56</v>
      </c>
      <c r="F61" s="10">
        <v>4.3</v>
      </c>
      <c r="G61" s="11">
        <v>7064.0</v>
      </c>
    </row>
    <row r="62">
      <c r="A62" s="7" t="s">
        <v>84</v>
      </c>
      <c r="B62" s="7" t="s">
        <v>71</v>
      </c>
      <c r="C62" s="8">
        <v>179.0</v>
      </c>
      <c r="D62" s="8">
        <v>799.0</v>
      </c>
      <c r="E62" s="19">
        <v>0.78</v>
      </c>
      <c r="F62" s="10">
        <v>3.7</v>
      </c>
      <c r="G62" s="11">
        <v>2201.0</v>
      </c>
    </row>
    <row r="63">
      <c r="A63" s="7" t="s">
        <v>85</v>
      </c>
      <c r="B63" s="7" t="s">
        <v>37</v>
      </c>
      <c r="C63" s="8">
        <v>32990.0</v>
      </c>
      <c r="D63" s="8">
        <v>47900.0</v>
      </c>
      <c r="E63" s="19">
        <v>0.31</v>
      </c>
      <c r="F63" s="10">
        <v>4.3</v>
      </c>
      <c r="G63" s="11">
        <v>7109.0</v>
      </c>
    </row>
    <row r="64">
      <c r="A64" s="7" t="s">
        <v>86</v>
      </c>
      <c r="B64" s="7" t="s">
        <v>15</v>
      </c>
      <c r="C64" s="8">
        <v>139.0</v>
      </c>
      <c r="D64" s="8">
        <v>999.0</v>
      </c>
      <c r="E64" s="19">
        <v>0.86</v>
      </c>
      <c r="F64" s="10">
        <v>4.0</v>
      </c>
      <c r="G64" s="11">
        <v>1313.0</v>
      </c>
    </row>
    <row r="65">
      <c r="A65" s="7" t="s">
        <v>87</v>
      </c>
      <c r="B65" s="7" t="s">
        <v>15</v>
      </c>
      <c r="C65" s="8">
        <v>329.0</v>
      </c>
      <c r="D65" s="8">
        <v>845.0</v>
      </c>
      <c r="E65" s="19">
        <v>0.61</v>
      </c>
      <c r="F65" s="10">
        <v>4.2</v>
      </c>
      <c r="G65" s="11">
        <v>29746.0</v>
      </c>
    </row>
    <row r="66">
      <c r="A66" s="7" t="s">
        <v>88</v>
      </c>
      <c r="B66" s="7" t="s">
        <v>37</v>
      </c>
      <c r="C66" s="8">
        <v>13999.0</v>
      </c>
      <c r="D66" s="8">
        <v>24999.0</v>
      </c>
      <c r="E66" s="19">
        <v>0.44</v>
      </c>
      <c r="F66" s="10">
        <v>4.2</v>
      </c>
      <c r="G66" s="11">
        <v>45238.0</v>
      </c>
    </row>
    <row r="67">
      <c r="A67" s="7" t="s">
        <v>89</v>
      </c>
      <c r="B67" s="7" t="s">
        <v>31</v>
      </c>
      <c r="C67" s="8">
        <v>309.0</v>
      </c>
      <c r="D67" s="8">
        <v>1400.0</v>
      </c>
      <c r="E67" s="19">
        <v>0.78</v>
      </c>
      <c r="F67" s="10">
        <v>4.4</v>
      </c>
      <c r="G67" s="7" t="s">
        <v>32</v>
      </c>
    </row>
    <row r="68">
      <c r="A68" s="7" t="s">
        <v>90</v>
      </c>
      <c r="B68" s="7" t="s">
        <v>15</v>
      </c>
      <c r="C68" s="8">
        <v>263.0</v>
      </c>
      <c r="D68" s="8">
        <v>699.0</v>
      </c>
      <c r="E68" s="19">
        <v>0.62</v>
      </c>
      <c r="F68" s="10">
        <v>4.1</v>
      </c>
      <c r="G68" s="10">
        <v>450.0</v>
      </c>
    </row>
    <row r="69">
      <c r="A69" s="7" t="s">
        <v>91</v>
      </c>
      <c r="B69" s="7" t="s">
        <v>77</v>
      </c>
      <c r="C69" s="8">
        <v>7999.0</v>
      </c>
      <c r="D69" s="8">
        <v>14990.0</v>
      </c>
      <c r="E69" s="19">
        <v>0.47</v>
      </c>
      <c r="F69" s="10">
        <v>4.3</v>
      </c>
      <c r="G69" s="10">
        <v>457.0</v>
      </c>
    </row>
    <row r="70">
      <c r="A70" s="7" t="s">
        <v>92</v>
      </c>
      <c r="B70" s="7" t="s">
        <v>93</v>
      </c>
      <c r="C70" s="8">
        <v>1599.0</v>
      </c>
      <c r="D70" s="8">
        <v>2999.0</v>
      </c>
      <c r="E70" s="19">
        <v>0.47</v>
      </c>
      <c r="F70" s="10">
        <v>4.2</v>
      </c>
      <c r="G70" s="11">
        <v>2727.0</v>
      </c>
    </row>
    <row r="71">
      <c r="A71" s="7" t="s">
        <v>94</v>
      </c>
      <c r="B71" s="7" t="s">
        <v>15</v>
      </c>
      <c r="C71" s="8">
        <v>219.0</v>
      </c>
      <c r="D71" s="8">
        <v>700.0</v>
      </c>
      <c r="E71" s="19">
        <v>0.69</v>
      </c>
      <c r="F71" s="10">
        <v>4.3</v>
      </c>
      <c r="G71" s="11">
        <v>20053.0</v>
      </c>
    </row>
    <row r="72">
      <c r="A72" s="7" t="s">
        <v>95</v>
      </c>
      <c r="B72" s="7" t="s">
        <v>15</v>
      </c>
      <c r="C72" s="8">
        <v>349.0</v>
      </c>
      <c r="D72" s="8">
        <v>899.0</v>
      </c>
      <c r="E72" s="19">
        <v>0.61</v>
      </c>
      <c r="F72" s="10">
        <v>4.5</v>
      </c>
      <c r="G72" s="10">
        <v>149.0</v>
      </c>
    </row>
    <row r="73">
      <c r="A73" s="7" t="s">
        <v>96</v>
      </c>
      <c r="B73" s="7" t="s">
        <v>15</v>
      </c>
      <c r="C73" s="8">
        <v>349.0</v>
      </c>
      <c r="D73" s="8">
        <v>599.0</v>
      </c>
      <c r="E73" s="19">
        <v>0.42</v>
      </c>
      <c r="F73" s="10">
        <v>4.1</v>
      </c>
      <c r="G73" s="10">
        <v>210.0</v>
      </c>
    </row>
    <row r="74">
      <c r="A74" s="7" t="s">
        <v>97</v>
      </c>
      <c r="B74" s="7" t="s">
        <v>37</v>
      </c>
      <c r="C74" s="8">
        <v>26999.0</v>
      </c>
      <c r="D74" s="8">
        <v>42999.0</v>
      </c>
      <c r="E74" s="19">
        <v>0.37</v>
      </c>
      <c r="F74" s="10">
        <v>4.2</v>
      </c>
      <c r="G74" s="11">
        <v>45238.0</v>
      </c>
    </row>
    <row r="75">
      <c r="A75" s="7" t="s">
        <v>98</v>
      </c>
      <c r="B75" s="7" t="s">
        <v>15</v>
      </c>
      <c r="C75" s="8">
        <v>115.0</v>
      </c>
      <c r="D75" s="8">
        <v>499.0</v>
      </c>
      <c r="E75" s="19">
        <v>0.77</v>
      </c>
      <c r="F75" s="10">
        <v>4.0</v>
      </c>
      <c r="G75" s="11">
        <v>7732.0</v>
      </c>
    </row>
    <row r="76">
      <c r="A76" s="7" t="s">
        <v>99</v>
      </c>
      <c r="B76" s="7" t="s">
        <v>15</v>
      </c>
      <c r="C76" s="8">
        <v>399.0</v>
      </c>
      <c r="D76" s="8">
        <v>999.0</v>
      </c>
      <c r="E76" s="19">
        <v>0.6</v>
      </c>
      <c r="F76" s="10">
        <v>4.1</v>
      </c>
      <c r="G76" s="11">
        <v>1780.0</v>
      </c>
    </row>
    <row r="77">
      <c r="A77" s="7" t="s">
        <v>100</v>
      </c>
      <c r="B77" s="7" t="s">
        <v>15</v>
      </c>
      <c r="C77" s="8">
        <v>199.0</v>
      </c>
      <c r="D77" s="8">
        <v>499.0</v>
      </c>
      <c r="E77" s="19">
        <v>0.6</v>
      </c>
      <c r="F77" s="10">
        <v>4.1</v>
      </c>
      <c r="G77" s="10">
        <v>602.0</v>
      </c>
    </row>
    <row r="78">
      <c r="A78" s="7" t="s">
        <v>101</v>
      </c>
      <c r="B78" s="7" t="s">
        <v>15</v>
      </c>
      <c r="C78" s="8">
        <v>179.0</v>
      </c>
      <c r="D78" s="8">
        <v>399.0</v>
      </c>
      <c r="E78" s="19">
        <v>0.55</v>
      </c>
      <c r="F78" s="10">
        <v>4.0</v>
      </c>
      <c r="G78" s="11">
        <v>1423.0</v>
      </c>
    </row>
    <row r="79">
      <c r="A79" s="7" t="s">
        <v>102</v>
      </c>
      <c r="B79" s="7" t="s">
        <v>37</v>
      </c>
      <c r="C79" s="8">
        <v>10901.0</v>
      </c>
      <c r="D79" s="8">
        <v>30990.0</v>
      </c>
      <c r="E79" s="19">
        <v>0.65</v>
      </c>
      <c r="F79" s="10">
        <v>4.1</v>
      </c>
      <c r="G79" s="10">
        <v>398.0</v>
      </c>
    </row>
    <row r="80">
      <c r="A80" s="7" t="s">
        <v>103</v>
      </c>
      <c r="B80" s="7" t="s">
        <v>15</v>
      </c>
      <c r="C80" s="8">
        <v>209.0</v>
      </c>
      <c r="D80" s="8">
        <v>499.0</v>
      </c>
      <c r="E80" s="19">
        <v>0.58</v>
      </c>
      <c r="F80" s="10">
        <v>3.9</v>
      </c>
      <c r="G80" s="10">
        <v>536.0</v>
      </c>
    </row>
    <row r="81">
      <c r="A81" s="7" t="s">
        <v>104</v>
      </c>
      <c r="B81" s="7" t="s">
        <v>71</v>
      </c>
      <c r="C81" s="8">
        <v>1434.0</v>
      </c>
      <c r="D81" s="8">
        <v>3999.0</v>
      </c>
      <c r="E81" s="19">
        <v>0.64</v>
      </c>
      <c r="F81" s="10">
        <v>4.0</v>
      </c>
      <c r="G81" s="10">
        <v>32.0</v>
      </c>
    </row>
    <row r="82">
      <c r="A82" s="7" t="s">
        <v>105</v>
      </c>
      <c r="B82" s="7" t="s">
        <v>15</v>
      </c>
      <c r="C82" s="8">
        <v>399.0</v>
      </c>
      <c r="D82" s="8">
        <v>1099.0</v>
      </c>
      <c r="E82" s="19">
        <v>0.64</v>
      </c>
      <c r="F82" s="10">
        <v>4.2</v>
      </c>
      <c r="G82" s="11">
        <v>24269.0</v>
      </c>
    </row>
    <row r="83">
      <c r="A83" s="7" t="s">
        <v>106</v>
      </c>
      <c r="B83" s="7" t="s">
        <v>15</v>
      </c>
      <c r="C83" s="8">
        <v>139.0</v>
      </c>
      <c r="D83" s="8">
        <v>249.0</v>
      </c>
      <c r="E83" s="19">
        <v>0.44</v>
      </c>
      <c r="F83" s="10">
        <v>4.0</v>
      </c>
      <c r="G83" s="11">
        <v>9378.0</v>
      </c>
    </row>
    <row r="84">
      <c r="A84" s="7" t="s">
        <v>107</v>
      </c>
      <c r="B84" s="7" t="s">
        <v>37</v>
      </c>
      <c r="C84" s="8">
        <v>7299.0</v>
      </c>
      <c r="D84" s="8">
        <v>19125.0</v>
      </c>
      <c r="E84" s="19">
        <v>0.62</v>
      </c>
      <c r="F84" s="10">
        <v>3.4</v>
      </c>
      <c r="G84" s="10">
        <v>902.0</v>
      </c>
    </row>
    <row r="85">
      <c r="A85" s="7" t="s">
        <v>108</v>
      </c>
      <c r="B85" s="7" t="s">
        <v>15</v>
      </c>
      <c r="C85" s="8">
        <v>299.0</v>
      </c>
      <c r="D85" s="8">
        <v>799.0</v>
      </c>
      <c r="E85" s="19">
        <v>0.63</v>
      </c>
      <c r="F85" s="10">
        <v>4.4</v>
      </c>
      <c r="G85" s="11">
        <v>28791.0</v>
      </c>
    </row>
    <row r="86">
      <c r="A86" s="7" t="s">
        <v>109</v>
      </c>
      <c r="B86" s="7" t="s">
        <v>15</v>
      </c>
      <c r="C86" s="8">
        <v>325.0</v>
      </c>
      <c r="D86" s="8">
        <v>1299.0</v>
      </c>
      <c r="E86" s="19">
        <v>0.75</v>
      </c>
      <c r="F86" s="10">
        <v>4.2</v>
      </c>
      <c r="G86" s="11">
        <v>10576.0</v>
      </c>
    </row>
    <row r="87">
      <c r="A87" s="7" t="s">
        <v>110</v>
      </c>
      <c r="B87" s="7" t="s">
        <v>37</v>
      </c>
      <c r="C87" s="8">
        <v>29999.0</v>
      </c>
      <c r="D87" s="8">
        <v>39999.0</v>
      </c>
      <c r="E87" s="19">
        <v>0.25</v>
      </c>
      <c r="F87" s="10">
        <v>4.2</v>
      </c>
      <c r="G87" s="11">
        <v>7298.0</v>
      </c>
    </row>
    <row r="88">
      <c r="A88" s="7" t="s">
        <v>111</v>
      </c>
      <c r="B88" s="7" t="s">
        <v>37</v>
      </c>
      <c r="C88" s="8">
        <v>27999.0</v>
      </c>
      <c r="D88" s="8">
        <v>40990.0</v>
      </c>
      <c r="E88" s="19">
        <v>0.32</v>
      </c>
      <c r="F88" s="10">
        <v>4.3</v>
      </c>
      <c r="G88" s="11">
        <v>4703.0</v>
      </c>
    </row>
    <row r="89">
      <c r="A89" s="7" t="s">
        <v>112</v>
      </c>
      <c r="B89" s="7" t="s">
        <v>37</v>
      </c>
      <c r="C89" s="8">
        <v>30990.0</v>
      </c>
      <c r="D89" s="8">
        <v>52900.0</v>
      </c>
      <c r="E89" s="19">
        <v>0.41</v>
      </c>
      <c r="F89" s="10">
        <v>4.3</v>
      </c>
      <c r="G89" s="11">
        <v>7109.0</v>
      </c>
    </row>
    <row r="90">
      <c r="A90" s="7" t="s">
        <v>113</v>
      </c>
      <c r="B90" s="7" t="s">
        <v>15</v>
      </c>
      <c r="C90" s="8">
        <v>199.0</v>
      </c>
      <c r="D90" s="8">
        <v>999.0</v>
      </c>
      <c r="E90" s="19">
        <v>0.8</v>
      </c>
      <c r="F90" s="10">
        <v>4.5</v>
      </c>
      <c r="G90" s="10">
        <v>127.0</v>
      </c>
    </row>
    <row r="91">
      <c r="A91" s="7" t="s">
        <v>114</v>
      </c>
      <c r="B91" s="7" t="s">
        <v>15</v>
      </c>
      <c r="C91" s="8">
        <v>649.0</v>
      </c>
      <c r="D91" s="8">
        <v>1999.0</v>
      </c>
      <c r="E91" s="19">
        <v>0.68</v>
      </c>
      <c r="F91" s="10">
        <v>4.2</v>
      </c>
      <c r="G91" s="11">
        <v>24269.0</v>
      </c>
    </row>
    <row r="92">
      <c r="A92" s="7" t="s">
        <v>115</v>
      </c>
      <c r="B92" s="7" t="s">
        <v>25</v>
      </c>
      <c r="C92" s="8">
        <v>269.0</v>
      </c>
      <c r="D92" s="8">
        <v>800.0</v>
      </c>
      <c r="E92" s="19">
        <v>0.66</v>
      </c>
      <c r="F92" s="10">
        <v>3.6</v>
      </c>
      <c r="G92" s="11">
        <v>10134.0</v>
      </c>
    </row>
    <row r="93">
      <c r="A93" s="7" t="s">
        <v>116</v>
      </c>
      <c r="B93" s="7" t="s">
        <v>37</v>
      </c>
      <c r="C93" s="8">
        <v>24999.0</v>
      </c>
      <c r="D93" s="8">
        <v>31999.0</v>
      </c>
      <c r="E93" s="19">
        <v>0.22</v>
      </c>
      <c r="F93" s="10">
        <v>4.2</v>
      </c>
      <c r="G93" s="11">
        <v>34899.0</v>
      </c>
    </row>
    <row r="94">
      <c r="A94" s="7" t="s">
        <v>117</v>
      </c>
      <c r="B94" s="7" t="s">
        <v>15</v>
      </c>
      <c r="C94" s="8">
        <v>299.0</v>
      </c>
      <c r="D94" s="8">
        <v>699.0</v>
      </c>
      <c r="E94" s="19">
        <v>0.57</v>
      </c>
      <c r="F94" s="10">
        <v>4.2</v>
      </c>
      <c r="G94" s="11">
        <v>94363.0</v>
      </c>
    </row>
    <row r="95">
      <c r="A95" s="7" t="s">
        <v>118</v>
      </c>
      <c r="B95" s="7" t="s">
        <v>15</v>
      </c>
      <c r="C95" s="8">
        <v>199.0</v>
      </c>
      <c r="D95" s="8">
        <v>999.0</v>
      </c>
      <c r="E95" s="19">
        <v>0.8</v>
      </c>
      <c r="F95" s="10">
        <v>4.1</v>
      </c>
      <c r="G95" s="10">
        <v>425.0</v>
      </c>
    </row>
    <row r="96">
      <c r="A96" s="7" t="s">
        <v>119</v>
      </c>
      <c r="B96" s="7" t="s">
        <v>37</v>
      </c>
      <c r="C96" s="8">
        <v>18990.0</v>
      </c>
      <c r="D96" s="8">
        <v>40990.0</v>
      </c>
      <c r="E96" s="19">
        <v>0.54</v>
      </c>
      <c r="F96" s="10">
        <v>4.2</v>
      </c>
      <c r="G96" s="11">
        <v>6659.0</v>
      </c>
    </row>
    <row r="97">
      <c r="A97" s="7" t="s">
        <v>120</v>
      </c>
      <c r="B97" s="7" t="s">
        <v>25</v>
      </c>
      <c r="C97" s="8">
        <v>290.0</v>
      </c>
      <c r="D97" s="8">
        <v>349.0</v>
      </c>
      <c r="E97" s="19">
        <v>0.17</v>
      </c>
      <c r="F97" s="10">
        <v>3.7</v>
      </c>
      <c r="G97" s="11">
        <v>1977.0</v>
      </c>
    </row>
    <row r="98">
      <c r="A98" s="7" t="s">
        <v>121</v>
      </c>
      <c r="B98" s="7" t="s">
        <v>71</v>
      </c>
      <c r="C98" s="8">
        <v>249.0</v>
      </c>
      <c r="D98" s="8">
        <v>799.0</v>
      </c>
      <c r="E98" s="19">
        <v>0.69</v>
      </c>
      <c r="F98" s="10">
        <v>3.8</v>
      </c>
      <c r="G98" s="11">
        <v>1079.0</v>
      </c>
    </row>
    <row r="99">
      <c r="A99" s="7" t="s">
        <v>122</v>
      </c>
      <c r="B99" s="7" t="s">
        <v>15</v>
      </c>
      <c r="C99" s="8">
        <v>345.0</v>
      </c>
      <c r="D99" s="8">
        <v>999.0</v>
      </c>
      <c r="E99" s="19">
        <v>0.65</v>
      </c>
      <c r="F99" s="10">
        <v>3.7</v>
      </c>
      <c r="G99" s="11">
        <v>1097.0</v>
      </c>
    </row>
    <row r="100">
      <c r="A100" s="7" t="s">
        <v>123</v>
      </c>
      <c r="B100" s="7" t="s">
        <v>25</v>
      </c>
      <c r="C100" s="8">
        <v>1099.0</v>
      </c>
      <c r="D100" s="8">
        <v>1899.0</v>
      </c>
      <c r="E100" s="19">
        <v>0.42</v>
      </c>
      <c r="F100" s="10">
        <v>4.5</v>
      </c>
      <c r="G100" s="11">
        <v>22420.0</v>
      </c>
    </row>
    <row r="101">
      <c r="A101" s="7" t="s">
        <v>124</v>
      </c>
      <c r="B101" s="7" t="s">
        <v>15</v>
      </c>
      <c r="C101" s="8">
        <v>719.0</v>
      </c>
      <c r="D101" s="8">
        <v>1499.0</v>
      </c>
      <c r="E101" s="19">
        <v>0.52</v>
      </c>
      <c r="F101" s="10">
        <v>4.1</v>
      </c>
      <c r="G101" s="11">
        <v>1045.0</v>
      </c>
    </row>
    <row r="102">
      <c r="A102" s="7" t="s">
        <v>125</v>
      </c>
      <c r="B102" s="7" t="s">
        <v>71</v>
      </c>
      <c r="C102" s="8">
        <v>349.0</v>
      </c>
      <c r="D102" s="8">
        <v>1499.0</v>
      </c>
      <c r="E102" s="19">
        <v>0.77</v>
      </c>
      <c r="F102" s="10">
        <v>4.3</v>
      </c>
      <c r="G102" s="11">
        <v>4145.0</v>
      </c>
    </row>
    <row r="103">
      <c r="A103" s="7" t="s">
        <v>126</v>
      </c>
      <c r="B103" s="7" t="s">
        <v>15</v>
      </c>
      <c r="C103" s="8">
        <v>849.0</v>
      </c>
      <c r="D103" s="8">
        <v>1809.0</v>
      </c>
      <c r="E103" s="19">
        <v>0.53</v>
      </c>
      <c r="F103" s="10">
        <v>4.3</v>
      </c>
      <c r="G103" s="11">
        <v>6547.0</v>
      </c>
    </row>
    <row r="104">
      <c r="A104" s="7" t="s">
        <v>127</v>
      </c>
      <c r="B104" s="7" t="s">
        <v>71</v>
      </c>
      <c r="C104" s="8">
        <v>299.0</v>
      </c>
      <c r="D104" s="8">
        <v>899.0</v>
      </c>
      <c r="E104" s="19">
        <v>0.67</v>
      </c>
      <c r="F104" s="10">
        <v>4.0</v>
      </c>
      <c r="G104" s="11">
        <v>1588.0</v>
      </c>
    </row>
    <row r="105">
      <c r="A105" s="7" t="s">
        <v>128</v>
      </c>
      <c r="B105" s="7" t="s">
        <v>37</v>
      </c>
      <c r="C105" s="8">
        <v>21999.0</v>
      </c>
      <c r="D105" s="8">
        <v>29999.0</v>
      </c>
      <c r="E105" s="19">
        <v>0.27</v>
      </c>
      <c r="F105" s="10">
        <v>4.2</v>
      </c>
      <c r="G105" s="11">
        <v>32840.0</v>
      </c>
    </row>
    <row r="106">
      <c r="A106" s="7" t="s">
        <v>129</v>
      </c>
      <c r="B106" s="7" t="s">
        <v>15</v>
      </c>
      <c r="C106" s="8">
        <v>349.0</v>
      </c>
      <c r="D106" s="8">
        <v>999.0</v>
      </c>
      <c r="E106" s="19">
        <v>0.65</v>
      </c>
      <c r="F106" s="10">
        <v>4.2</v>
      </c>
      <c r="G106" s="11">
        <v>13120.0</v>
      </c>
    </row>
    <row r="107">
      <c r="A107" s="7" t="s">
        <v>130</v>
      </c>
      <c r="B107" s="7" t="s">
        <v>15</v>
      </c>
      <c r="C107" s="8">
        <v>399.0</v>
      </c>
      <c r="D107" s="8">
        <v>999.0</v>
      </c>
      <c r="E107" s="19">
        <v>0.6</v>
      </c>
      <c r="F107" s="10">
        <v>4.3</v>
      </c>
      <c r="G107" s="11">
        <v>2806.0</v>
      </c>
    </row>
    <row r="108">
      <c r="A108" s="7" t="s">
        <v>131</v>
      </c>
      <c r="B108" s="7" t="s">
        <v>15</v>
      </c>
      <c r="C108" s="8">
        <v>449.0</v>
      </c>
      <c r="D108" s="8">
        <v>1299.0</v>
      </c>
      <c r="E108" s="19">
        <v>0.65</v>
      </c>
      <c r="F108" s="10">
        <v>4.2</v>
      </c>
      <c r="G108" s="11">
        <v>24269.0</v>
      </c>
    </row>
    <row r="109">
      <c r="A109" s="7" t="s">
        <v>132</v>
      </c>
      <c r="B109" s="7" t="s">
        <v>15</v>
      </c>
      <c r="C109" s="8">
        <v>299.0</v>
      </c>
      <c r="D109" s="8">
        <v>999.0</v>
      </c>
      <c r="E109" s="19">
        <v>0.7</v>
      </c>
      <c r="F109" s="10">
        <v>4.3</v>
      </c>
      <c r="G109" s="10">
        <v>766.0</v>
      </c>
    </row>
    <row r="110">
      <c r="A110" s="7" t="s">
        <v>133</v>
      </c>
      <c r="B110" s="7" t="s">
        <v>37</v>
      </c>
      <c r="C110" s="8">
        <v>37999.0</v>
      </c>
      <c r="D110" s="8">
        <v>65000.0</v>
      </c>
      <c r="E110" s="19">
        <v>0.42</v>
      </c>
      <c r="F110" s="10">
        <v>4.3</v>
      </c>
      <c r="G110" s="11">
        <v>3587.0</v>
      </c>
    </row>
    <row r="111">
      <c r="A111" s="7" t="s">
        <v>134</v>
      </c>
      <c r="B111" s="7" t="s">
        <v>15</v>
      </c>
      <c r="C111" s="8">
        <v>99.0</v>
      </c>
      <c r="D111" s="8">
        <v>800.0</v>
      </c>
      <c r="E111" s="19">
        <v>0.88</v>
      </c>
      <c r="F111" s="10">
        <v>3.9</v>
      </c>
      <c r="G111" s="11">
        <v>24871.0</v>
      </c>
    </row>
    <row r="112">
      <c r="A112" s="7" t="s">
        <v>135</v>
      </c>
      <c r="B112" s="7" t="s">
        <v>77</v>
      </c>
      <c r="C112" s="8">
        <v>7390.0</v>
      </c>
      <c r="D112" s="8">
        <v>20000.0</v>
      </c>
      <c r="E112" s="19">
        <v>0.63</v>
      </c>
      <c r="F112" s="10">
        <v>4.1</v>
      </c>
      <c r="G112" s="11">
        <v>2581.0</v>
      </c>
    </row>
    <row r="113">
      <c r="A113" s="7" t="s">
        <v>136</v>
      </c>
      <c r="B113" s="7" t="s">
        <v>15</v>
      </c>
      <c r="C113" s="8">
        <v>273.1</v>
      </c>
      <c r="D113" s="8">
        <v>999.0</v>
      </c>
      <c r="E113" s="19">
        <v>0.73</v>
      </c>
      <c r="F113" s="10">
        <v>4.3</v>
      </c>
      <c r="G113" s="11">
        <v>20850.0</v>
      </c>
    </row>
    <row r="114">
      <c r="A114" s="7" t="s">
        <v>137</v>
      </c>
      <c r="B114" s="7" t="s">
        <v>37</v>
      </c>
      <c r="C114" s="8">
        <v>15990.0</v>
      </c>
      <c r="D114" s="8">
        <v>23990.0</v>
      </c>
      <c r="E114" s="19">
        <v>0.33</v>
      </c>
      <c r="F114" s="10">
        <v>4.3</v>
      </c>
      <c r="G114" s="11">
        <v>1035.0</v>
      </c>
    </row>
    <row r="115">
      <c r="A115" s="7" t="s">
        <v>138</v>
      </c>
      <c r="B115" s="7" t="s">
        <v>15</v>
      </c>
      <c r="C115" s="8">
        <v>399.0</v>
      </c>
      <c r="D115" s="8">
        <v>999.0</v>
      </c>
      <c r="E115" s="19">
        <v>0.6</v>
      </c>
      <c r="F115" s="10">
        <v>4.1</v>
      </c>
      <c r="G115" s="11">
        <v>1780.0</v>
      </c>
    </row>
    <row r="116">
      <c r="A116" s="7" t="s">
        <v>139</v>
      </c>
      <c r="B116" s="7" t="s">
        <v>71</v>
      </c>
      <c r="C116" s="8">
        <v>399.0</v>
      </c>
      <c r="D116" s="8">
        <v>1999.0</v>
      </c>
      <c r="E116" s="19">
        <v>0.8</v>
      </c>
      <c r="F116" s="10">
        <v>4.5</v>
      </c>
      <c r="G116" s="10">
        <v>505.0</v>
      </c>
    </row>
    <row r="117">
      <c r="A117" s="7" t="s">
        <v>140</v>
      </c>
      <c r="B117" s="7" t="s">
        <v>15</v>
      </c>
      <c r="C117" s="8">
        <v>210.0</v>
      </c>
      <c r="D117" s="8">
        <v>399.0</v>
      </c>
      <c r="E117" s="19">
        <v>0.47</v>
      </c>
      <c r="F117" s="10">
        <v>4.1</v>
      </c>
      <c r="G117" s="11">
        <v>1717.0</v>
      </c>
    </row>
    <row r="118">
      <c r="A118" s="7" t="s">
        <v>141</v>
      </c>
      <c r="B118" s="7" t="s">
        <v>71</v>
      </c>
      <c r="C118" s="8">
        <v>1299.0</v>
      </c>
      <c r="D118" s="8">
        <v>1999.0</v>
      </c>
      <c r="E118" s="19">
        <v>0.35</v>
      </c>
      <c r="F118" s="10">
        <v>3.6</v>
      </c>
      <c r="G118" s="10">
        <v>590.0</v>
      </c>
    </row>
    <row r="119">
      <c r="A119" s="7" t="s">
        <v>142</v>
      </c>
      <c r="B119" s="7" t="s">
        <v>15</v>
      </c>
      <c r="C119" s="8">
        <v>347.0</v>
      </c>
      <c r="D119" s="8">
        <v>999.0</v>
      </c>
      <c r="E119" s="19">
        <v>0.65</v>
      </c>
      <c r="F119" s="10">
        <v>3.5</v>
      </c>
      <c r="G119" s="11">
        <v>1121.0</v>
      </c>
    </row>
    <row r="120">
      <c r="A120" s="7" t="s">
        <v>143</v>
      </c>
      <c r="B120" s="7" t="s">
        <v>15</v>
      </c>
      <c r="C120" s="8">
        <v>149.0</v>
      </c>
      <c r="D120" s="8">
        <v>999.0</v>
      </c>
      <c r="E120" s="19">
        <v>0.85</v>
      </c>
      <c r="F120" s="10">
        <v>4.0</v>
      </c>
      <c r="G120" s="11">
        <v>1313.0</v>
      </c>
    </row>
    <row r="121">
      <c r="A121" s="7" t="s">
        <v>144</v>
      </c>
      <c r="B121" s="7" t="s">
        <v>15</v>
      </c>
      <c r="C121" s="8">
        <v>228.0</v>
      </c>
      <c r="D121" s="8">
        <v>899.0</v>
      </c>
      <c r="E121" s="19">
        <v>0.75</v>
      </c>
      <c r="F121" s="10">
        <v>3.8</v>
      </c>
      <c r="G121" s="10">
        <v>132.0</v>
      </c>
    </row>
    <row r="122">
      <c r="A122" s="7" t="s">
        <v>145</v>
      </c>
      <c r="B122" s="7" t="s">
        <v>15</v>
      </c>
      <c r="C122" s="8">
        <v>1599.0</v>
      </c>
      <c r="D122" s="8">
        <v>1999.0</v>
      </c>
      <c r="E122" s="19">
        <v>0.2</v>
      </c>
      <c r="F122" s="10">
        <v>4.4</v>
      </c>
      <c r="G122" s="11">
        <v>1951.0</v>
      </c>
    </row>
    <row r="123">
      <c r="A123" s="7" t="s">
        <v>146</v>
      </c>
      <c r="B123" s="7" t="s">
        <v>71</v>
      </c>
      <c r="C123" s="8">
        <v>1499.0</v>
      </c>
      <c r="D123" s="8">
        <v>3999.0</v>
      </c>
      <c r="E123" s="19">
        <v>0.63</v>
      </c>
      <c r="F123" s="10">
        <v>3.7</v>
      </c>
      <c r="G123" s="10">
        <v>37.0</v>
      </c>
    </row>
    <row r="124">
      <c r="A124" s="7" t="s">
        <v>147</v>
      </c>
      <c r="B124" s="7" t="s">
        <v>37</v>
      </c>
      <c r="C124" s="8">
        <v>8499.0</v>
      </c>
      <c r="D124" s="8">
        <v>15999.0</v>
      </c>
      <c r="E124" s="19">
        <v>0.47</v>
      </c>
      <c r="F124" s="10">
        <v>4.3</v>
      </c>
      <c r="G124" s="10">
        <v>592.0</v>
      </c>
    </row>
    <row r="125">
      <c r="A125" s="7" t="s">
        <v>148</v>
      </c>
      <c r="B125" s="7" t="s">
        <v>37</v>
      </c>
      <c r="C125" s="8">
        <v>20990.0</v>
      </c>
      <c r="D125" s="8">
        <v>44990.0</v>
      </c>
      <c r="E125" s="19">
        <v>0.53</v>
      </c>
      <c r="F125" s="10">
        <v>4.1</v>
      </c>
      <c r="G125" s="11">
        <v>1259.0</v>
      </c>
    </row>
    <row r="126">
      <c r="A126" s="7" t="s">
        <v>149</v>
      </c>
      <c r="B126" s="7" t="s">
        <v>37</v>
      </c>
      <c r="C126" s="8">
        <v>32999.0</v>
      </c>
      <c r="D126" s="8">
        <v>44999.0</v>
      </c>
      <c r="E126" s="19">
        <v>0.27</v>
      </c>
      <c r="F126" s="10">
        <v>4.2</v>
      </c>
      <c r="G126" s="11">
        <v>45238.0</v>
      </c>
    </row>
    <row r="127">
      <c r="A127" s="7" t="s">
        <v>150</v>
      </c>
      <c r="B127" s="7" t="s">
        <v>31</v>
      </c>
      <c r="C127" s="8">
        <v>799.0</v>
      </c>
      <c r="D127" s="8">
        <v>1700.0</v>
      </c>
      <c r="E127" s="19">
        <v>0.53</v>
      </c>
      <c r="F127" s="10">
        <v>4.1</v>
      </c>
      <c r="G127" s="11">
        <v>28638.0</v>
      </c>
    </row>
    <row r="128">
      <c r="A128" s="7" t="s">
        <v>151</v>
      </c>
      <c r="B128" s="7" t="s">
        <v>31</v>
      </c>
      <c r="C128" s="8">
        <v>229.0</v>
      </c>
      <c r="D128" s="8">
        <v>595.0</v>
      </c>
      <c r="E128" s="19">
        <v>0.62</v>
      </c>
      <c r="F128" s="10">
        <v>4.3</v>
      </c>
      <c r="G128" s="11">
        <v>12835.0</v>
      </c>
    </row>
    <row r="129">
      <c r="A129" s="7" t="s">
        <v>152</v>
      </c>
      <c r="B129" s="7" t="s">
        <v>37</v>
      </c>
      <c r="C129" s="8">
        <v>9999.0</v>
      </c>
      <c r="D129" s="8">
        <v>27990.0</v>
      </c>
      <c r="E129" s="19">
        <v>0.64</v>
      </c>
      <c r="F129" s="10">
        <v>4.2</v>
      </c>
      <c r="G129" s="11">
        <v>1269.0</v>
      </c>
    </row>
    <row r="130">
      <c r="A130" s="7" t="s">
        <v>153</v>
      </c>
      <c r="B130" s="7" t="s">
        <v>71</v>
      </c>
      <c r="C130" s="8">
        <v>349.0</v>
      </c>
      <c r="D130" s="8">
        <v>599.0</v>
      </c>
      <c r="E130" s="19">
        <v>0.42</v>
      </c>
      <c r="F130" s="10">
        <v>4.2</v>
      </c>
      <c r="G130" s="10">
        <v>284.0</v>
      </c>
    </row>
    <row r="131">
      <c r="A131" s="7" t="s">
        <v>154</v>
      </c>
      <c r="B131" s="7" t="s">
        <v>155</v>
      </c>
      <c r="C131" s="8">
        <v>489.0</v>
      </c>
      <c r="D131" s="8">
        <v>1200.0</v>
      </c>
      <c r="E131" s="19">
        <v>0.59</v>
      </c>
      <c r="F131" s="10">
        <v>4.4</v>
      </c>
      <c r="G131" s="11">
        <v>69538.0</v>
      </c>
    </row>
    <row r="132">
      <c r="A132" s="7" t="s">
        <v>156</v>
      </c>
      <c r="B132" s="7" t="s">
        <v>37</v>
      </c>
      <c r="C132" s="8">
        <v>23999.0</v>
      </c>
      <c r="D132" s="8">
        <v>34990.0</v>
      </c>
      <c r="E132" s="19">
        <v>0.31</v>
      </c>
      <c r="F132" s="10">
        <v>4.3</v>
      </c>
      <c r="G132" s="11">
        <v>4703.0</v>
      </c>
    </row>
    <row r="133">
      <c r="A133" s="7" t="s">
        <v>157</v>
      </c>
      <c r="B133" s="7" t="s">
        <v>15</v>
      </c>
      <c r="C133" s="8">
        <v>399.0</v>
      </c>
      <c r="D133" s="8">
        <v>999.0</v>
      </c>
      <c r="E133" s="19">
        <v>0.6</v>
      </c>
      <c r="F133" s="10">
        <v>4.3</v>
      </c>
      <c r="G133" s="11">
        <v>2806.0</v>
      </c>
    </row>
    <row r="134">
      <c r="A134" s="7" t="s">
        <v>158</v>
      </c>
      <c r="B134" s="7" t="s">
        <v>159</v>
      </c>
      <c r="C134" s="8">
        <v>349.0</v>
      </c>
      <c r="D134" s="8">
        <v>1299.0</v>
      </c>
      <c r="E134" s="19">
        <v>0.73</v>
      </c>
      <c r="F134" s="10">
        <v>4.0</v>
      </c>
      <c r="G134" s="11">
        <v>3295.0</v>
      </c>
    </row>
    <row r="135">
      <c r="A135" s="7" t="s">
        <v>160</v>
      </c>
      <c r="B135" s="7" t="s">
        <v>15</v>
      </c>
      <c r="C135" s="8">
        <v>179.0</v>
      </c>
      <c r="D135" s="8">
        <v>299.0</v>
      </c>
      <c r="E135" s="19">
        <v>0.4</v>
      </c>
      <c r="F135" s="10">
        <v>3.9</v>
      </c>
      <c r="G135" s="10">
        <v>81.0</v>
      </c>
    </row>
    <row r="136">
      <c r="A136" s="7" t="s">
        <v>161</v>
      </c>
      <c r="B136" s="7" t="s">
        <v>15</v>
      </c>
      <c r="C136" s="8">
        <v>689.0</v>
      </c>
      <c r="D136" s="8">
        <v>1500.0</v>
      </c>
      <c r="E136" s="19">
        <v>0.54</v>
      </c>
      <c r="F136" s="10">
        <v>4.2</v>
      </c>
      <c r="G136" s="11">
        <v>42301.0</v>
      </c>
    </row>
    <row r="137">
      <c r="A137" s="7" t="s">
        <v>162</v>
      </c>
      <c r="B137" s="7" t="s">
        <v>37</v>
      </c>
      <c r="C137" s="8">
        <v>30990.0</v>
      </c>
      <c r="D137" s="8">
        <v>49990.0</v>
      </c>
      <c r="E137" s="19">
        <v>0.38</v>
      </c>
      <c r="F137" s="10">
        <v>4.3</v>
      </c>
      <c r="G137" s="11">
        <v>1376.0</v>
      </c>
    </row>
    <row r="138">
      <c r="A138" s="7" t="s">
        <v>163</v>
      </c>
      <c r="B138" s="7" t="s">
        <v>15</v>
      </c>
      <c r="C138" s="8">
        <v>249.0</v>
      </c>
      <c r="D138" s="8">
        <v>931.0</v>
      </c>
      <c r="E138" s="19">
        <v>0.73</v>
      </c>
      <c r="F138" s="10">
        <v>3.9</v>
      </c>
      <c r="G138" s="11">
        <v>1075.0</v>
      </c>
    </row>
    <row r="139">
      <c r="A139" s="7" t="s">
        <v>164</v>
      </c>
      <c r="B139" s="7" t="s">
        <v>31</v>
      </c>
      <c r="C139" s="8">
        <v>999.0</v>
      </c>
      <c r="D139" s="8">
        <v>2399.0</v>
      </c>
      <c r="E139" s="19">
        <v>0.58</v>
      </c>
      <c r="F139" s="10">
        <v>4.6</v>
      </c>
      <c r="G139" s="11">
        <v>3664.0</v>
      </c>
    </row>
    <row r="140">
      <c r="A140" s="7" t="s">
        <v>165</v>
      </c>
      <c r="B140" s="7" t="s">
        <v>71</v>
      </c>
      <c r="C140" s="8">
        <v>399.0</v>
      </c>
      <c r="D140" s="8">
        <v>399.0</v>
      </c>
      <c r="E140" s="19">
        <v>0.0</v>
      </c>
      <c r="F140" s="10">
        <v>3.9</v>
      </c>
      <c r="G140" s="11">
        <v>1951.0</v>
      </c>
    </row>
    <row r="141">
      <c r="A141" s="7" t="s">
        <v>166</v>
      </c>
      <c r="B141" s="7" t="s">
        <v>15</v>
      </c>
      <c r="C141" s="8">
        <v>349.0</v>
      </c>
      <c r="D141" s="8">
        <v>699.0</v>
      </c>
      <c r="E141" s="19">
        <v>0.5</v>
      </c>
      <c r="F141" s="10">
        <v>4.3</v>
      </c>
      <c r="G141" s="11">
        <v>20850.0</v>
      </c>
    </row>
    <row r="142">
      <c r="A142" s="7" t="s">
        <v>167</v>
      </c>
      <c r="B142" s="7" t="s">
        <v>15</v>
      </c>
      <c r="C142" s="8">
        <v>399.0</v>
      </c>
      <c r="D142" s="8">
        <v>1099.0</v>
      </c>
      <c r="E142" s="19">
        <v>0.64</v>
      </c>
      <c r="F142" s="10">
        <v>4.1</v>
      </c>
      <c r="G142" s="11">
        <v>2685.0</v>
      </c>
    </row>
    <row r="143">
      <c r="A143" s="7" t="s">
        <v>168</v>
      </c>
      <c r="B143" s="7" t="s">
        <v>25</v>
      </c>
      <c r="C143" s="8">
        <v>1699.0</v>
      </c>
      <c r="D143" s="8">
        <v>2999.0</v>
      </c>
      <c r="E143" s="19">
        <v>0.43</v>
      </c>
      <c r="F143" s="10">
        <v>4.4</v>
      </c>
      <c r="G143" s="11">
        <v>24780.0</v>
      </c>
    </row>
    <row r="144">
      <c r="A144" s="7" t="s">
        <v>169</v>
      </c>
      <c r="B144" s="7" t="s">
        <v>71</v>
      </c>
      <c r="C144" s="8">
        <v>655.0</v>
      </c>
      <c r="D144" s="8">
        <v>1099.0</v>
      </c>
      <c r="E144" s="19">
        <v>0.4</v>
      </c>
      <c r="F144" s="10">
        <v>3.2</v>
      </c>
      <c r="G144" s="10">
        <v>285.0</v>
      </c>
    </row>
    <row r="145">
      <c r="A145" s="7" t="s">
        <v>170</v>
      </c>
      <c r="B145" s="7" t="s">
        <v>25</v>
      </c>
      <c r="C145" s="8">
        <v>749.0</v>
      </c>
      <c r="D145" s="8">
        <v>1339.0</v>
      </c>
      <c r="E145" s="19">
        <v>0.44</v>
      </c>
      <c r="F145" s="10">
        <v>4.2</v>
      </c>
      <c r="G145" s="7" t="s">
        <v>171</v>
      </c>
    </row>
    <row r="146">
      <c r="A146" s="7" t="s">
        <v>172</v>
      </c>
      <c r="B146" s="7" t="s">
        <v>37</v>
      </c>
      <c r="C146" s="8">
        <v>9999.0</v>
      </c>
      <c r="D146" s="8">
        <v>12999.0</v>
      </c>
      <c r="E146" s="19">
        <v>0.23</v>
      </c>
      <c r="F146" s="10">
        <v>4.2</v>
      </c>
      <c r="G146" s="11">
        <v>6088.0</v>
      </c>
    </row>
    <row r="147">
      <c r="A147" s="7" t="s">
        <v>173</v>
      </c>
      <c r="B147" s="7" t="s">
        <v>71</v>
      </c>
      <c r="C147" s="8">
        <v>195.0</v>
      </c>
      <c r="D147" s="8">
        <v>499.0</v>
      </c>
      <c r="E147" s="19">
        <v>0.61</v>
      </c>
      <c r="F147" s="10">
        <v>3.7</v>
      </c>
      <c r="G147" s="11">
        <v>1383.0</v>
      </c>
    </row>
    <row r="148">
      <c r="A148" s="7" t="s">
        <v>174</v>
      </c>
      <c r="B148" s="7" t="s">
        <v>15</v>
      </c>
      <c r="C148" s="8">
        <v>999.0</v>
      </c>
      <c r="D148" s="8">
        <v>2100.0</v>
      </c>
      <c r="E148" s="19">
        <v>0.52</v>
      </c>
      <c r="F148" s="10">
        <v>4.5</v>
      </c>
      <c r="G148" s="11">
        <v>5492.0</v>
      </c>
    </row>
    <row r="149">
      <c r="A149" s="7" t="s">
        <v>175</v>
      </c>
      <c r="B149" s="7" t="s">
        <v>15</v>
      </c>
      <c r="C149" s="8">
        <v>499.0</v>
      </c>
      <c r="D149" s="8">
        <v>899.0</v>
      </c>
      <c r="E149" s="19">
        <v>0.44</v>
      </c>
      <c r="F149" s="10">
        <v>4.2</v>
      </c>
      <c r="G149" s="10">
        <v>919.0</v>
      </c>
    </row>
    <row r="150">
      <c r="A150" s="7" t="s">
        <v>176</v>
      </c>
      <c r="B150" s="7" t="s">
        <v>177</v>
      </c>
      <c r="C150" s="8">
        <v>416.0</v>
      </c>
      <c r="D150" s="8">
        <v>599.0</v>
      </c>
      <c r="E150" s="19">
        <v>0.31</v>
      </c>
      <c r="F150" s="10">
        <v>4.2</v>
      </c>
      <c r="G150" s="11">
        <v>30023.0</v>
      </c>
    </row>
    <row r="151">
      <c r="A151" s="7" t="s">
        <v>178</v>
      </c>
      <c r="B151" s="7" t="s">
        <v>15</v>
      </c>
      <c r="C151" s="8">
        <v>368.0</v>
      </c>
      <c r="D151" s="8">
        <v>699.0</v>
      </c>
      <c r="E151" s="19">
        <v>0.47</v>
      </c>
      <c r="F151" s="10">
        <v>4.2</v>
      </c>
      <c r="G151" s="10">
        <v>387.0</v>
      </c>
    </row>
    <row r="152">
      <c r="A152" s="7" t="s">
        <v>179</v>
      </c>
      <c r="B152" s="7" t="s">
        <v>37</v>
      </c>
      <c r="C152" s="8">
        <v>29990.0</v>
      </c>
      <c r="D152" s="8">
        <v>65000.0</v>
      </c>
      <c r="E152" s="19">
        <v>0.54</v>
      </c>
      <c r="F152" s="10">
        <v>4.1</v>
      </c>
      <c r="G152" s="10">
        <v>211.0</v>
      </c>
    </row>
    <row r="153">
      <c r="A153" s="7" t="s">
        <v>180</v>
      </c>
      <c r="B153" s="7" t="s">
        <v>15</v>
      </c>
      <c r="C153" s="8">
        <v>339.0</v>
      </c>
      <c r="D153" s="8">
        <v>1099.0</v>
      </c>
      <c r="E153" s="19">
        <v>0.69</v>
      </c>
      <c r="F153" s="10">
        <v>4.3</v>
      </c>
      <c r="G153" s="10">
        <v>974.0</v>
      </c>
    </row>
    <row r="154">
      <c r="A154" s="7" t="s">
        <v>181</v>
      </c>
      <c r="B154" s="7" t="s">
        <v>37</v>
      </c>
      <c r="C154" s="8">
        <v>15490.0</v>
      </c>
      <c r="D154" s="8">
        <v>20900.0</v>
      </c>
      <c r="E154" s="19">
        <v>0.26</v>
      </c>
      <c r="F154" s="10">
        <v>4.3</v>
      </c>
      <c r="G154" s="11">
        <v>16299.0</v>
      </c>
    </row>
    <row r="155">
      <c r="A155" s="7" t="s">
        <v>182</v>
      </c>
      <c r="B155" s="7" t="s">
        <v>15</v>
      </c>
      <c r="C155" s="8">
        <v>499.0</v>
      </c>
      <c r="D155" s="8">
        <v>1299.0</v>
      </c>
      <c r="E155" s="19">
        <v>0.62</v>
      </c>
      <c r="F155" s="10">
        <v>4.3</v>
      </c>
      <c r="G155" s="11">
        <v>30411.0</v>
      </c>
    </row>
    <row r="156">
      <c r="A156" s="7" t="s">
        <v>183</v>
      </c>
      <c r="B156" s="7" t="s">
        <v>25</v>
      </c>
      <c r="C156" s="8">
        <v>249.0</v>
      </c>
      <c r="D156" s="8">
        <v>399.0</v>
      </c>
      <c r="E156" s="19">
        <v>0.38</v>
      </c>
      <c r="F156" s="10">
        <v>3.4</v>
      </c>
      <c r="G156" s="11">
        <v>4642.0</v>
      </c>
    </row>
    <row r="157">
      <c r="A157" s="7" t="s">
        <v>184</v>
      </c>
      <c r="B157" s="7" t="s">
        <v>71</v>
      </c>
      <c r="C157" s="8">
        <v>399.0</v>
      </c>
      <c r="D157" s="8">
        <v>799.0</v>
      </c>
      <c r="E157" s="19">
        <v>0.5</v>
      </c>
      <c r="F157" s="10">
        <v>4.3</v>
      </c>
      <c r="G157" s="10">
        <v>12.0</v>
      </c>
    </row>
    <row r="158">
      <c r="A158" s="7" t="s">
        <v>185</v>
      </c>
      <c r="B158" s="7" t="s">
        <v>15</v>
      </c>
      <c r="C158" s="8">
        <v>1499.0</v>
      </c>
      <c r="D158" s="8">
        <v>1999.0</v>
      </c>
      <c r="E158" s="19">
        <v>0.25</v>
      </c>
      <c r="F158" s="10">
        <v>4.4</v>
      </c>
      <c r="G158" s="11">
        <v>1951.0</v>
      </c>
    </row>
    <row r="159">
      <c r="A159" s="7" t="s">
        <v>186</v>
      </c>
      <c r="B159" s="7" t="s">
        <v>187</v>
      </c>
      <c r="C159" s="8">
        <v>9490.0</v>
      </c>
      <c r="D159" s="8">
        <v>15990.0</v>
      </c>
      <c r="E159" s="19">
        <v>0.41</v>
      </c>
      <c r="F159" s="10">
        <v>3.9</v>
      </c>
      <c r="G159" s="11">
        <v>10480.0</v>
      </c>
    </row>
    <row r="160">
      <c r="A160" s="7" t="s">
        <v>188</v>
      </c>
      <c r="B160" s="7" t="s">
        <v>31</v>
      </c>
      <c r="C160" s="8">
        <v>637.0</v>
      </c>
      <c r="D160" s="8">
        <v>1499.0</v>
      </c>
      <c r="E160" s="19">
        <v>0.58</v>
      </c>
      <c r="F160" s="10">
        <v>4.1</v>
      </c>
      <c r="G160" s="10">
        <v>24.0</v>
      </c>
    </row>
    <row r="161">
      <c r="A161" s="7" t="s">
        <v>189</v>
      </c>
      <c r="B161" s="7" t="s">
        <v>71</v>
      </c>
      <c r="C161" s="8">
        <v>399.0</v>
      </c>
      <c r="D161" s="8">
        <v>899.0</v>
      </c>
      <c r="E161" s="19">
        <v>0.56</v>
      </c>
      <c r="F161" s="10">
        <v>3.9</v>
      </c>
      <c r="G161" s="10">
        <v>254.0</v>
      </c>
    </row>
    <row r="162">
      <c r="A162" s="7" t="s">
        <v>190</v>
      </c>
      <c r="B162" s="7" t="s">
        <v>177</v>
      </c>
      <c r="C162" s="8">
        <v>1089.0</v>
      </c>
      <c r="D162" s="8">
        <v>1600.0</v>
      </c>
      <c r="E162" s="19">
        <v>0.32</v>
      </c>
      <c r="F162" s="10">
        <v>4.0</v>
      </c>
      <c r="G162" s="11">
        <v>3565.0</v>
      </c>
    </row>
    <row r="163">
      <c r="A163" s="7" t="s">
        <v>191</v>
      </c>
      <c r="B163" s="7" t="s">
        <v>15</v>
      </c>
      <c r="C163" s="8">
        <v>339.0</v>
      </c>
      <c r="D163" s="8">
        <v>999.0</v>
      </c>
      <c r="E163" s="19">
        <v>0.66</v>
      </c>
      <c r="F163" s="10">
        <v>4.3</v>
      </c>
      <c r="G163" s="11">
        <v>6255.0</v>
      </c>
    </row>
    <row r="164">
      <c r="A164" s="7" t="s">
        <v>192</v>
      </c>
      <c r="B164" s="7" t="s">
        <v>15</v>
      </c>
      <c r="C164" s="8">
        <v>149.0</v>
      </c>
      <c r="D164" s="8">
        <v>499.0</v>
      </c>
      <c r="E164" s="19">
        <v>0.7</v>
      </c>
      <c r="F164" s="10">
        <v>4.0</v>
      </c>
      <c r="G164" s="11">
        <v>7732.0</v>
      </c>
    </row>
    <row r="165">
      <c r="A165" s="7" t="s">
        <v>193</v>
      </c>
      <c r="B165" s="7" t="s">
        <v>15</v>
      </c>
      <c r="C165" s="8">
        <v>149.0</v>
      </c>
      <c r="D165" s="8">
        <v>399.0</v>
      </c>
      <c r="E165" s="19">
        <v>0.63</v>
      </c>
      <c r="F165" s="10">
        <v>3.9</v>
      </c>
      <c r="G165" s="10">
        <v>57.0</v>
      </c>
    </row>
    <row r="166">
      <c r="A166" s="7" t="s">
        <v>194</v>
      </c>
      <c r="B166" s="7" t="s">
        <v>15</v>
      </c>
      <c r="C166" s="8">
        <v>599.0</v>
      </c>
      <c r="D166" s="8">
        <v>849.0</v>
      </c>
      <c r="E166" s="19">
        <v>0.29</v>
      </c>
      <c r="F166" s="10">
        <v>4.5</v>
      </c>
      <c r="G166" s="10">
        <v>577.0</v>
      </c>
    </row>
    <row r="167">
      <c r="A167" s="7" t="s">
        <v>195</v>
      </c>
      <c r="B167" s="7" t="s">
        <v>71</v>
      </c>
      <c r="C167" s="8">
        <v>299.0</v>
      </c>
      <c r="D167" s="8">
        <v>1199.0</v>
      </c>
      <c r="E167" s="19">
        <v>0.75</v>
      </c>
      <c r="F167" s="10">
        <v>3.9</v>
      </c>
      <c r="G167" s="11">
        <v>1193.0</v>
      </c>
    </row>
    <row r="168">
      <c r="A168" s="7" t="s">
        <v>196</v>
      </c>
      <c r="B168" s="7" t="s">
        <v>15</v>
      </c>
      <c r="C168" s="8">
        <v>399.0</v>
      </c>
      <c r="D168" s="8">
        <v>1299.0</v>
      </c>
      <c r="E168" s="19">
        <v>0.69</v>
      </c>
      <c r="F168" s="10">
        <v>4.2</v>
      </c>
      <c r="G168" s="11">
        <v>13120.0</v>
      </c>
    </row>
    <row r="169">
      <c r="A169" s="7" t="s">
        <v>197</v>
      </c>
      <c r="B169" s="7" t="s">
        <v>71</v>
      </c>
      <c r="C169" s="8">
        <v>339.0</v>
      </c>
      <c r="D169" s="8">
        <v>1999.0</v>
      </c>
      <c r="E169" s="19">
        <v>0.83</v>
      </c>
      <c r="F169" s="10">
        <v>4.0</v>
      </c>
      <c r="G169" s="10">
        <v>343.0</v>
      </c>
    </row>
    <row r="170">
      <c r="A170" s="7" t="s">
        <v>198</v>
      </c>
      <c r="B170" s="7" t="s">
        <v>37</v>
      </c>
      <c r="C170" s="8">
        <v>12499.0</v>
      </c>
      <c r="D170" s="8">
        <v>22990.0</v>
      </c>
      <c r="E170" s="19">
        <v>0.46</v>
      </c>
      <c r="F170" s="10">
        <v>4.3</v>
      </c>
      <c r="G170" s="11">
        <v>1611.0</v>
      </c>
    </row>
    <row r="171">
      <c r="A171" s="7" t="s">
        <v>199</v>
      </c>
      <c r="B171" s="7" t="s">
        <v>15</v>
      </c>
      <c r="C171" s="8">
        <v>249.0</v>
      </c>
      <c r="D171" s="8">
        <v>399.0</v>
      </c>
      <c r="E171" s="19">
        <v>0.38</v>
      </c>
      <c r="F171" s="10">
        <v>4.0</v>
      </c>
      <c r="G171" s="11">
        <v>6558.0</v>
      </c>
    </row>
    <row r="172">
      <c r="A172" s="7" t="s">
        <v>200</v>
      </c>
      <c r="B172" s="7" t="s">
        <v>25</v>
      </c>
      <c r="C172" s="8">
        <v>1399.0</v>
      </c>
      <c r="D172" s="8">
        <v>2499.0</v>
      </c>
      <c r="E172" s="19">
        <v>0.44</v>
      </c>
      <c r="F172" s="10">
        <v>4.4</v>
      </c>
      <c r="G172" s="11">
        <v>23169.0</v>
      </c>
    </row>
    <row r="173">
      <c r="A173" s="7" t="s">
        <v>201</v>
      </c>
      <c r="B173" s="7" t="s">
        <v>37</v>
      </c>
      <c r="C173" s="8">
        <v>32999.0</v>
      </c>
      <c r="D173" s="8">
        <v>47990.0</v>
      </c>
      <c r="E173" s="19">
        <v>0.31</v>
      </c>
      <c r="F173" s="10">
        <v>4.3</v>
      </c>
      <c r="G173" s="11">
        <v>4703.0</v>
      </c>
    </row>
    <row r="174">
      <c r="A174" s="7" t="s">
        <v>202</v>
      </c>
      <c r="B174" s="7" t="s">
        <v>15</v>
      </c>
      <c r="C174" s="8">
        <v>149.0</v>
      </c>
      <c r="D174" s="8">
        <v>399.0</v>
      </c>
      <c r="E174" s="19">
        <v>0.63</v>
      </c>
      <c r="F174" s="10">
        <v>4.0</v>
      </c>
      <c r="G174" s="11">
        <v>1423.0</v>
      </c>
    </row>
    <row r="175">
      <c r="A175" s="7" t="s">
        <v>203</v>
      </c>
      <c r="B175" s="7" t="s">
        <v>15</v>
      </c>
      <c r="C175" s="8">
        <v>325.0</v>
      </c>
      <c r="D175" s="8">
        <v>999.0</v>
      </c>
      <c r="E175" s="19">
        <v>0.67</v>
      </c>
      <c r="F175" s="10">
        <v>4.3</v>
      </c>
      <c r="G175" s="11">
        <v>2651.0</v>
      </c>
    </row>
    <row r="176">
      <c r="A176" s="7" t="s">
        <v>204</v>
      </c>
      <c r="B176" s="7" t="s">
        <v>15</v>
      </c>
      <c r="C176" s="8">
        <v>399.0</v>
      </c>
      <c r="D176" s="8">
        <v>1999.0</v>
      </c>
      <c r="E176" s="19">
        <v>0.8</v>
      </c>
      <c r="F176" s="10">
        <v>5.0</v>
      </c>
      <c r="G176" s="10">
        <v>5.0</v>
      </c>
    </row>
    <row r="177">
      <c r="A177" s="7" t="s">
        <v>205</v>
      </c>
      <c r="B177" s="7" t="s">
        <v>25</v>
      </c>
      <c r="C177" s="8">
        <v>199.0</v>
      </c>
      <c r="D177" s="8">
        <v>499.0</v>
      </c>
      <c r="E177" s="19">
        <v>0.6</v>
      </c>
      <c r="F177" s="10">
        <v>3.7</v>
      </c>
      <c r="G177" s="10">
        <v>612.0</v>
      </c>
    </row>
    <row r="178">
      <c r="A178" s="7" t="s">
        <v>206</v>
      </c>
      <c r="B178" s="7" t="s">
        <v>15</v>
      </c>
      <c r="C178" s="8">
        <v>88.0</v>
      </c>
      <c r="D178" s="8">
        <v>299.0</v>
      </c>
      <c r="E178" s="19">
        <v>0.71</v>
      </c>
      <c r="F178" s="10">
        <v>4.0</v>
      </c>
      <c r="G178" s="11">
        <v>9378.0</v>
      </c>
    </row>
    <row r="179">
      <c r="A179" s="7" t="s">
        <v>207</v>
      </c>
      <c r="B179" s="7" t="s">
        <v>15</v>
      </c>
      <c r="C179" s="8">
        <v>399.0</v>
      </c>
      <c r="D179" s="8">
        <v>1099.0</v>
      </c>
      <c r="E179" s="19">
        <v>0.64</v>
      </c>
      <c r="F179" s="10">
        <v>4.1</v>
      </c>
      <c r="G179" s="11">
        <v>2685.0</v>
      </c>
    </row>
    <row r="180">
      <c r="A180" s="7" t="s">
        <v>208</v>
      </c>
      <c r="B180" s="7" t="s">
        <v>15</v>
      </c>
      <c r="C180" s="8">
        <v>57.89</v>
      </c>
      <c r="D180" s="8">
        <v>199.0</v>
      </c>
      <c r="E180" s="19">
        <v>0.71</v>
      </c>
      <c r="F180" s="10">
        <v>4.0</v>
      </c>
      <c r="G180" s="11">
        <v>9378.0</v>
      </c>
    </row>
    <row r="181">
      <c r="A181" s="7" t="s">
        <v>209</v>
      </c>
      <c r="B181" s="7" t="s">
        <v>71</v>
      </c>
      <c r="C181" s="8">
        <v>799.0</v>
      </c>
      <c r="D181" s="8">
        <v>1999.0</v>
      </c>
      <c r="E181" s="19">
        <v>0.6</v>
      </c>
      <c r="F181" s="10">
        <v>3.3</v>
      </c>
      <c r="G181" s="10">
        <v>576.0</v>
      </c>
    </row>
    <row r="182">
      <c r="A182" s="7" t="s">
        <v>210</v>
      </c>
      <c r="B182" s="7" t="s">
        <v>71</v>
      </c>
      <c r="C182" s="8">
        <v>205.0</v>
      </c>
      <c r="D182" s="8">
        <v>499.0</v>
      </c>
      <c r="E182" s="19">
        <v>0.59</v>
      </c>
      <c r="F182" s="10">
        <v>3.8</v>
      </c>
      <c r="G182" s="10">
        <v>313.0</v>
      </c>
    </row>
    <row r="183">
      <c r="A183" s="7" t="s">
        <v>211</v>
      </c>
      <c r="B183" s="7" t="s">
        <v>15</v>
      </c>
      <c r="C183" s="8">
        <v>299.0</v>
      </c>
      <c r="D183" s="8">
        <v>699.0</v>
      </c>
      <c r="E183" s="19">
        <v>0.57</v>
      </c>
      <c r="F183" s="10">
        <v>4.1</v>
      </c>
      <c r="G183" s="11">
        <v>2957.0</v>
      </c>
    </row>
    <row r="184">
      <c r="A184" s="7" t="s">
        <v>212</v>
      </c>
      <c r="B184" s="7" t="s">
        <v>15</v>
      </c>
      <c r="C184" s="8">
        <v>849.0</v>
      </c>
      <c r="D184" s="8">
        <v>999.0</v>
      </c>
      <c r="E184" s="19">
        <v>0.15</v>
      </c>
      <c r="F184" s="10">
        <v>4.1</v>
      </c>
      <c r="G184" s="11">
        <v>6736.0</v>
      </c>
    </row>
    <row r="185">
      <c r="A185" s="7" t="s">
        <v>213</v>
      </c>
      <c r="B185" s="7" t="s">
        <v>15</v>
      </c>
      <c r="C185" s="8">
        <v>949.0</v>
      </c>
      <c r="D185" s="8">
        <v>1999.0</v>
      </c>
      <c r="E185" s="19">
        <v>0.53</v>
      </c>
      <c r="F185" s="10">
        <v>4.4</v>
      </c>
      <c r="G185" s="11">
        <v>13552.0</v>
      </c>
    </row>
    <row r="186">
      <c r="A186" s="7" t="s">
        <v>214</v>
      </c>
      <c r="B186" s="7" t="s">
        <v>15</v>
      </c>
      <c r="C186" s="8">
        <v>499.0</v>
      </c>
      <c r="D186" s="8">
        <v>1200.0</v>
      </c>
      <c r="E186" s="19">
        <v>0.58</v>
      </c>
      <c r="F186" s="10">
        <v>4.3</v>
      </c>
      <c r="G186" s="11">
        <v>5451.0</v>
      </c>
    </row>
    <row r="187">
      <c r="A187" s="7" t="s">
        <v>215</v>
      </c>
      <c r="B187" s="7" t="s">
        <v>15</v>
      </c>
      <c r="C187" s="8">
        <v>299.0</v>
      </c>
      <c r="D187" s="8">
        <v>485.0</v>
      </c>
      <c r="E187" s="19">
        <v>0.38</v>
      </c>
      <c r="F187" s="10">
        <v>4.3</v>
      </c>
      <c r="G187" s="11">
        <v>10911.0</v>
      </c>
    </row>
    <row r="188">
      <c r="A188" s="7" t="s">
        <v>216</v>
      </c>
      <c r="B188" s="7" t="s">
        <v>15</v>
      </c>
      <c r="C188" s="8">
        <v>949.0</v>
      </c>
      <c r="D188" s="8">
        <v>1999.0</v>
      </c>
      <c r="E188" s="19">
        <v>0.53</v>
      </c>
      <c r="F188" s="10">
        <v>4.4</v>
      </c>
      <c r="G188" s="11">
        <v>13552.0</v>
      </c>
    </row>
    <row r="189">
      <c r="A189" s="7" t="s">
        <v>217</v>
      </c>
      <c r="B189" s="7" t="s">
        <v>15</v>
      </c>
      <c r="C189" s="8">
        <v>379.0</v>
      </c>
      <c r="D189" s="8">
        <v>1099.0</v>
      </c>
      <c r="E189" s="19">
        <v>0.66</v>
      </c>
      <c r="F189" s="10">
        <v>4.3</v>
      </c>
      <c r="G189" s="11">
        <v>2806.0</v>
      </c>
    </row>
    <row r="190">
      <c r="A190" s="7" t="s">
        <v>218</v>
      </c>
      <c r="B190" s="7" t="s">
        <v>37</v>
      </c>
      <c r="C190" s="8">
        <v>8990.0</v>
      </c>
      <c r="D190" s="8">
        <v>18990.0</v>
      </c>
      <c r="E190" s="19">
        <v>0.53</v>
      </c>
      <c r="F190" s="10">
        <v>3.9</v>
      </c>
      <c r="G190" s="10">
        <v>350.0</v>
      </c>
    </row>
    <row r="191">
      <c r="A191" s="7" t="s">
        <v>219</v>
      </c>
      <c r="B191" s="7" t="s">
        <v>177</v>
      </c>
      <c r="C191" s="8">
        <v>486.0</v>
      </c>
      <c r="D191" s="8">
        <v>1999.0</v>
      </c>
      <c r="E191" s="19">
        <v>0.76</v>
      </c>
      <c r="F191" s="10">
        <v>4.2</v>
      </c>
      <c r="G191" s="11">
        <v>30023.0</v>
      </c>
    </row>
    <row r="192">
      <c r="A192" s="7" t="s">
        <v>220</v>
      </c>
      <c r="B192" s="7" t="s">
        <v>77</v>
      </c>
      <c r="C192" s="8">
        <v>5699.0</v>
      </c>
      <c r="D192" s="8">
        <v>11000.0</v>
      </c>
      <c r="E192" s="19">
        <v>0.48</v>
      </c>
      <c r="F192" s="10">
        <v>4.2</v>
      </c>
      <c r="G192" s="11">
        <v>4003.0</v>
      </c>
    </row>
    <row r="193">
      <c r="A193" s="7" t="s">
        <v>221</v>
      </c>
      <c r="B193" s="7" t="s">
        <v>15</v>
      </c>
      <c r="C193" s="8">
        <v>709.0</v>
      </c>
      <c r="D193" s="8">
        <v>1999.0</v>
      </c>
      <c r="E193" s="19">
        <v>0.65</v>
      </c>
      <c r="F193" s="10">
        <v>4.1</v>
      </c>
      <c r="G193" s="7" t="s">
        <v>222</v>
      </c>
    </row>
    <row r="194">
      <c r="A194" s="7" t="s">
        <v>223</v>
      </c>
      <c r="B194" s="7" t="s">
        <v>37</v>
      </c>
      <c r="C194" s="8">
        <v>47990.0</v>
      </c>
      <c r="D194" s="8">
        <v>70900.0</v>
      </c>
      <c r="E194" s="19">
        <v>0.32</v>
      </c>
      <c r="F194" s="10">
        <v>4.3</v>
      </c>
      <c r="G194" s="11">
        <v>7109.0</v>
      </c>
    </row>
    <row r="195">
      <c r="A195" s="7" t="s">
        <v>224</v>
      </c>
      <c r="B195" s="7" t="s">
        <v>71</v>
      </c>
      <c r="C195" s="8">
        <v>299.0</v>
      </c>
      <c r="D195" s="8">
        <v>1199.0</v>
      </c>
      <c r="E195" s="19">
        <v>0.75</v>
      </c>
      <c r="F195" s="10">
        <v>3.7</v>
      </c>
      <c r="G195" s="10">
        <v>490.0</v>
      </c>
    </row>
    <row r="196">
      <c r="A196" s="7" t="s">
        <v>225</v>
      </c>
      <c r="B196" s="7" t="s">
        <v>15</v>
      </c>
      <c r="C196" s="8">
        <v>320.0</v>
      </c>
      <c r="D196" s="8">
        <v>599.0</v>
      </c>
      <c r="E196" s="19">
        <v>0.47</v>
      </c>
      <c r="F196" s="10">
        <v>4.1</v>
      </c>
      <c r="G196" s="10">
        <v>491.0</v>
      </c>
    </row>
    <row r="197">
      <c r="A197" s="7" t="s">
        <v>226</v>
      </c>
      <c r="B197" s="7" t="s">
        <v>15</v>
      </c>
      <c r="C197" s="8">
        <v>139.0</v>
      </c>
      <c r="D197" s="8">
        <v>549.0</v>
      </c>
      <c r="E197" s="19">
        <v>0.75</v>
      </c>
      <c r="F197" s="10">
        <v>3.9</v>
      </c>
      <c r="G197" s="10">
        <v>61.0</v>
      </c>
    </row>
    <row r="198">
      <c r="A198" s="7" t="s">
        <v>227</v>
      </c>
      <c r="B198" s="7" t="s">
        <v>15</v>
      </c>
      <c r="C198" s="8">
        <v>129.0</v>
      </c>
      <c r="D198" s="8">
        <v>249.0</v>
      </c>
      <c r="E198" s="19">
        <v>0.48</v>
      </c>
      <c r="F198" s="10">
        <v>4.0</v>
      </c>
      <c r="G198" s="11">
        <v>9378.0</v>
      </c>
    </row>
    <row r="199">
      <c r="A199" s="7" t="s">
        <v>228</v>
      </c>
      <c r="B199" s="7" t="s">
        <v>37</v>
      </c>
      <c r="C199" s="8">
        <v>24999.0</v>
      </c>
      <c r="D199" s="8">
        <v>35999.0</v>
      </c>
      <c r="E199" s="19">
        <v>0.31</v>
      </c>
      <c r="F199" s="10">
        <v>4.2</v>
      </c>
      <c r="G199" s="11">
        <v>32840.0</v>
      </c>
    </row>
    <row r="200">
      <c r="A200" s="7" t="s">
        <v>229</v>
      </c>
      <c r="B200" s="7" t="s">
        <v>15</v>
      </c>
      <c r="C200" s="8">
        <v>999.0</v>
      </c>
      <c r="D200" s="8">
        <v>1699.0</v>
      </c>
      <c r="E200" s="19">
        <v>0.41</v>
      </c>
      <c r="F200" s="10">
        <v>4.4</v>
      </c>
      <c r="G200" s="11">
        <v>7318.0</v>
      </c>
    </row>
    <row r="201">
      <c r="A201" s="7" t="s">
        <v>230</v>
      </c>
      <c r="B201" s="7" t="s">
        <v>15</v>
      </c>
      <c r="C201" s="8">
        <v>225.0</v>
      </c>
      <c r="D201" s="8">
        <v>499.0</v>
      </c>
      <c r="E201" s="19">
        <v>0.55</v>
      </c>
      <c r="F201" s="10">
        <v>4.1</v>
      </c>
      <c r="G201" s="10">
        <v>789.0</v>
      </c>
    </row>
    <row r="202">
      <c r="A202" s="7" t="s">
        <v>231</v>
      </c>
      <c r="B202" s="7" t="s">
        <v>71</v>
      </c>
      <c r="C202" s="8">
        <v>547.0</v>
      </c>
      <c r="D202" s="8">
        <v>2999.0</v>
      </c>
      <c r="E202" s="19">
        <v>0.82</v>
      </c>
      <c r="F202" s="10">
        <v>4.3</v>
      </c>
      <c r="G202" s="10">
        <v>407.0</v>
      </c>
    </row>
    <row r="203">
      <c r="A203" s="7" t="s">
        <v>232</v>
      </c>
      <c r="B203" s="7" t="s">
        <v>15</v>
      </c>
      <c r="C203" s="8">
        <v>259.0</v>
      </c>
      <c r="D203" s="8">
        <v>699.0</v>
      </c>
      <c r="E203" s="19">
        <v>0.63</v>
      </c>
      <c r="F203" s="10">
        <v>3.8</v>
      </c>
      <c r="G203" s="11">
        <v>2399.0</v>
      </c>
    </row>
    <row r="204">
      <c r="A204" s="7" t="s">
        <v>233</v>
      </c>
      <c r="B204" s="7" t="s">
        <v>71</v>
      </c>
      <c r="C204" s="8">
        <v>239.0</v>
      </c>
      <c r="D204" s="8">
        <v>699.0</v>
      </c>
      <c r="E204" s="19">
        <v>0.66</v>
      </c>
      <c r="F204" s="10">
        <v>4.4</v>
      </c>
      <c r="G204" s="11">
        <v>2640.0</v>
      </c>
    </row>
    <row r="205">
      <c r="A205" s="7" t="s">
        <v>234</v>
      </c>
      <c r="B205" s="7" t="s">
        <v>71</v>
      </c>
      <c r="C205" s="8">
        <v>349.0</v>
      </c>
      <c r="D205" s="8">
        <v>999.0</v>
      </c>
      <c r="E205" s="19">
        <v>0.65</v>
      </c>
      <c r="F205" s="10">
        <v>4.0</v>
      </c>
      <c r="G205" s="10">
        <v>839.0</v>
      </c>
    </row>
    <row r="206">
      <c r="A206" s="7" t="s">
        <v>235</v>
      </c>
      <c r="B206" s="7" t="s">
        <v>31</v>
      </c>
      <c r="C206" s="8">
        <v>467.0</v>
      </c>
      <c r="D206" s="8">
        <v>599.0</v>
      </c>
      <c r="E206" s="19">
        <v>0.22</v>
      </c>
      <c r="F206" s="10">
        <v>4.4</v>
      </c>
      <c r="G206" s="11">
        <v>44054.0</v>
      </c>
    </row>
    <row r="207">
      <c r="A207" s="7" t="s">
        <v>236</v>
      </c>
      <c r="B207" s="7" t="s">
        <v>15</v>
      </c>
      <c r="C207" s="8">
        <v>449.0</v>
      </c>
      <c r="D207" s="8">
        <v>599.0</v>
      </c>
      <c r="E207" s="19">
        <v>0.25</v>
      </c>
      <c r="F207" s="10">
        <v>4.0</v>
      </c>
      <c r="G207" s="11">
        <v>3231.0</v>
      </c>
    </row>
    <row r="208">
      <c r="A208" s="7" t="s">
        <v>237</v>
      </c>
      <c r="B208" s="7" t="s">
        <v>37</v>
      </c>
      <c r="C208" s="8">
        <v>11990.0</v>
      </c>
      <c r="D208" s="8">
        <v>31990.0</v>
      </c>
      <c r="E208" s="19">
        <v>0.63</v>
      </c>
      <c r="F208" s="10">
        <v>4.2</v>
      </c>
      <c r="G208" s="10">
        <v>64.0</v>
      </c>
    </row>
    <row r="209">
      <c r="A209" s="7" t="s">
        <v>238</v>
      </c>
      <c r="B209" s="7" t="s">
        <v>15</v>
      </c>
      <c r="C209" s="8">
        <v>350.0</v>
      </c>
      <c r="D209" s="8">
        <v>599.0</v>
      </c>
      <c r="E209" s="19">
        <v>0.42</v>
      </c>
      <c r="F209" s="10">
        <v>3.9</v>
      </c>
      <c r="G209" s="11">
        <v>8314.0</v>
      </c>
    </row>
    <row r="210">
      <c r="A210" s="7" t="s">
        <v>239</v>
      </c>
      <c r="B210" s="7" t="s">
        <v>15</v>
      </c>
      <c r="C210" s="8">
        <v>252.0</v>
      </c>
      <c r="D210" s="8">
        <v>999.0</v>
      </c>
      <c r="E210" s="19">
        <v>0.75</v>
      </c>
      <c r="F210" s="10">
        <v>3.7</v>
      </c>
      <c r="G210" s="11">
        <v>2249.0</v>
      </c>
    </row>
    <row r="211">
      <c r="A211" s="7" t="s">
        <v>240</v>
      </c>
      <c r="B211" s="7" t="s">
        <v>71</v>
      </c>
      <c r="C211" s="8">
        <v>204.0</v>
      </c>
      <c r="D211" s="8">
        <v>599.0</v>
      </c>
      <c r="E211" s="19">
        <v>0.66</v>
      </c>
      <c r="F211" s="10">
        <v>3.6</v>
      </c>
      <c r="G211" s="10">
        <v>339.0</v>
      </c>
    </row>
    <row r="212">
      <c r="A212" s="7" t="s">
        <v>241</v>
      </c>
      <c r="B212" s="7" t="s">
        <v>187</v>
      </c>
      <c r="C212" s="8">
        <v>6490.0</v>
      </c>
      <c r="D212" s="8">
        <v>9990.0</v>
      </c>
      <c r="E212" s="19">
        <v>0.35</v>
      </c>
      <c r="F212" s="10">
        <v>4.0</v>
      </c>
      <c r="G212" s="10">
        <v>27.0</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v>0.7</v>
      </c>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v>0.67</v>
      </c>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v>0.58</v>
      </c>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v>0.5</v>
      </c>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v>0.38</v>
      </c>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v>0.57</v>
      </c>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v>0.62</v>
      </c>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1">
    <mergeCell ref="I2:J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1608</v>
      </c>
      <c r="K2" s="17" t="str">
        <f>IFERROR(__xludf.DUMMYFUNCTION("UNIQUE(B2:B1466)"),"Computers&amp;Accessories|Accessories&amp;Peripherals|Cables&amp;Accessories|Cables|USBCables")</f>
        <v>Computers&amp;Accessories|Accessories&amp;Peripherals|Cables&amp;Accessories|Cables|USBCables</v>
      </c>
    </row>
    <row r="3">
      <c r="A3" s="7" t="s">
        <v>17</v>
      </c>
      <c r="B3" s="7" t="s">
        <v>15</v>
      </c>
      <c r="C3" s="8">
        <v>199.0</v>
      </c>
      <c r="D3" s="8">
        <v>349.0</v>
      </c>
      <c r="E3" s="19">
        <v>0.43</v>
      </c>
      <c r="F3" s="10">
        <v>4.0</v>
      </c>
      <c r="G3" s="11">
        <v>43994.0</v>
      </c>
      <c r="K3" s="17" t="str">
        <f>IFERROR(__xludf.DUMMYFUNCTION("""COMPUTED_VALUE"""),"Computers&amp;Accessories|NetworkingDevices|NetworkAdapters|WirelessUSBAdapters")</f>
        <v>Computers&amp;Accessories|NetworkingDevices|NetworkAdapters|WirelessUSBAdapters</v>
      </c>
    </row>
    <row r="4">
      <c r="A4" s="7" t="s">
        <v>18</v>
      </c>
      <c r="B4" s="7" t="s">
        <v>15</v>
      </c>
      <c r="C4" s="8">
        <v>199.0</v>
      </c>
      <c r="D4" s="8">
        <v>1899.0</v>
      </c>
      <c r="E4" s="19">
        <v>0.9</v>
      </c>
      <c r="F4" s="10">
        <v>3.9</v>
      </c>
      <c r="G4" s="11">
        <v>7928.0</v>
      </c>
      <c r="K4" s="17" t="str">
        <f>IFERROR(__xludf.DUMMYFUNCTION("""COMPUTED_VALUE"""),"Electronics|HomeTheater,TV&amp;Video|Accessories|Cables|HDMICables")</f>
        <v>Electronics|HomeTheater,TV&amp;Video|Accessories|Cables|HDMICables</v>
      </c>
    </row>
    <row r="5">
      <c r="A5" s="7" t="s">
        <v>19</v>
      </c>
      <c r="B5" s="7" t="s">
        <v>15</v>
      </c>
      <c r="C5" s="8">
        <v>329.0</v>
      </c>
      <c r="D5" s="8">
        <v>699.0</v>
      </c>
      <c r="E5" s="19">
        <v>0.53</v>
      </c>
      <c r="F5" s="10">
        <v>4.2</v>
      </c>
      <c r="G5" s="11">
        <v>94363.0</v>
      </c>
      <c r="I5" s="12"/>
      <c r="J5" s="12"/>
      <c r="K5" s="17" t="str">
        <f>IFERROR(__xludf.DUMMYFUNCTION("""COMPUTED_VALUE"""),"Electronics|HomeTheater,TV&amp;Video|Televisions|SmartTelevisions")</f>
        <v>Electronics|HomeTheater,TV&amp;Video|Televisions|SmartTelevisions</v>
      </c>
    </row>
    <row r="6">
      <c r="A6" s="7" t="s">
        <v>20</v>
      </c>
      <c r="B6" s="7" t="s">
        <v>15</v>
      </c>
      <c r="C6" s="8">
        <v>154.0</v>
      </c>
      <c r="D6" s="8">
        <v>399.0</v>
      </c>
      <c r="E6" s="19">
        <v>0.61</v>
      </c>
      <c r="F6" s="10">
        <v>4.2</v>
      </c>
      <c r="G6" s="11">
        <v>16905.0</v>
      </c>
      <c r="K6" s="17" t="str">
        <f>IFERROR(__xludf.DUMMYFUNCTION("""COMPUTED_VALUE"""),"Electronics|HomeTheater,TV&amp;Video|Accessories|RemoteControls")</f>
        <v>Electronics|HomeTheater,TV&amp;Video|Accessories|RemoteControls</v>
      </c>
    </row>
    <row r="7">
      <c r="A7" s="7" t="s">
        <v>21</v>
      </c>
      <c r="B7" s="7" t="s">
        <v>15</v>
      </c>
      <c r="C7" s="8">
        <v>149.0</v>
      </c>
      <c r="D7" s="8">
        <v>1000.0</v>
      </c>
      <c r="E7" s="19">
        <v>0.85</v>
      </c>
      <c r="F7" s="10">
        <v>3.9</v>
      </c>
      <c r="G7" s="11">
        <v>24871.0</v>
      </c>
      <c r="K7" s="17" t="str">
        <f>IFERROR(__xludf.DUMMYFUNCTION("""COMPUTED_VALUE"""),"Electronics|HomeTheater,TV&amp;Video|Televisions|StandardTelevisions")</f>
        <v>Electronics|HomeTheater,TV&amp;Video|Televisions|StandardTelevisions</v>
      </c>
    </row>
    <row r="8">
      <c r="A8" s="7" t="s">
        <v>22</v>
      </c>
      <c r="B8" s="7" t="s">
        <v>15</v>
      </c>
      <c r="C8" s="8">
        <v>176.63</v>
      </c>
      <c r="D8" s="8">
        <v>499.0</v>
      </c>
      <c r="E8" s="19">
        <v>0.65</v>
      </c>
      <c r="F8" s="10">
        <v>4.1</v>
      </c>
      <c r="G8" s="11">
        <v>15188.0</v>
      </c>
      <c r="K8" s="17" t="str">
        <f>IFERROR(__xludf.DUMMYFUNCTION("""COMPUTED_VALUE"""),"Electronics|HomeTheater,TV&amp;Video|Accessories|TVMounts,Stands&amp;Turntables|TVWall&amp;CeilingMounts")</f>
        <v>Electronics|HomeTheater,TV&amp;Video|Accessories|TVMounts,Stands&amp;Turntables|TVWall&amp;CeilingMounts</v>
      </c>
    </row>
    <row r="9">
      <c r="A9" s="7" t="s">
        <v>23</v>
      </c>
      <c r="B9" s="7" t="s">
        <v>15</v>
      </c>
      <c r="C9" s="8">
        <v>229.0</v>
      </c>
      <c r="D9" s="8">
        <v>299.0</v>
      </c>
      <c r="E9" s="19">
        <v>0.23</v>
      </c>
      <c r="F9" s="10">
        <v>4.3</v>
      </c>
      <c r="G9" s="11">
        <v>30411.0</v>
      </c>
      <c r="K9" s="17" t="str">
        <f>IFERROR(__xludf.DUMMYFUNCTION("""COMPUTED_VALUE"""),"Electronics|HomeTheater,TV&amp;Video|Accessories|Cables|RCACables")</f>
        <v>Electronics|HomeTheater,TV&amp;Video|Accessories|Cables|RCACables</v>
      </c>
    </row>
    <row r="10">
      <c r="A10" s="7" t="s">
        <v>24</v>
      </c>
      <c r="B10" s="7" t="s">
        <v>25</v>
      </c>
      <c r="C10" s="8">
        <v>499.0</v>
      </c>
      <c r="D10" s="8">
        <v>999.0</v>
      </c>
      <c r="E10" s="19">
        <v>0.5</v>
      </c>
      <c r="F10" s="10">
        <v>4.2</v>
      </c>
      <c r="G10" s="7" t="s">
        <v>26</v>
      </c>
      <c r="K10" s="17" t="str">
        <f>IFERROR(__xludf.DUMMYFUNCTION("""COMPUTED_VALUE"""),"Electronics|HomeAudio|Accessories|SpeakerAccessories|Mounts")</f>
        <v>Electronics|HomeAudio|Accessories|SpeakerAccessories|Mounts</v>
      </c>
    </row>
    <row r="11">
      <c r="A11" s="7" t="s">
        <v>27</v>
      </c>
      <c r="B11" s="7" t="s">
        <v>15</v>
      </c>
      <c r="C11" s="8">
        <v>199.0</v>
      </c>
      <c r="D11" s="8">
        <v>299.0</v>
      </c>
      <c r="E11" s="19">
        <v>0.33</v>
      </c>
      <c r="F11" s="10">
        <v>4.0</v>
      </c>
      <c r="G11" s="11">
        <v>43994.0</v>
      </c>
      <c r="K11" s="17" t="str">
        <f>IFERROR(__xludf.DUMMYFUNCTION("""COMPUTED_VALUE"""),"Electronics|HomeTheater,TV&amp;Video|Accessories|Cables|OpticalCables")</f>
        <v>Electronics|HomeTheater,TV&amp;Video|Accessories|Cables|OpticalCables</v>
      </c>
    </row>
    <row r="12">
      <c r="A12" s="7" t="s">
        <v>28</v>
      </c>
      <c r="B12" s="7" t="s">
        <v>15</v>
      </c>
      <c r="C12" s="8">
        <v>154.0</v>
      </c>
      <c r="D12" s="8">
        <v>339.0</v>
      </c>
      <c r="E12" s="19">
        <v>0.55</v>
      </c>
      <c r="F12" s="10">
        <v>4.3</v>
      </c>
      <c r="G12" s="11">
        <v>13391.0</v>
      </c>
      <c r="K12" s="17" t="str">
        <f>IFERROR(__xludf.DUMMYFUNCTION("""COMPUTED_VALUE"""),"Electronics|HomeTheater,TV&amp;Video|Projectors")</f>
        <v>Electronics|HomeTheater,TV&amp;Video|Projectors</v>
      </c>
    </row>
    <row r="13">
      <c r="A13" s="7" t="s">
        <v>29</v>
      </c>
      <c r="B13" s="7" t="s">
        <v>15</v>
      </c>
      <c r="C13" s="8">
        <v>299.0</v>
      </c>
      <c r="D13" s="8">
        <v>799.0</v>
      </c>
      <c r="E13" s="19">
        <v>0.63</v>
      </c>
      <c r="F13" s="10">
        <v>4.2</v>
      </c>
      <c r="G13" s="11">
        <v>94363.0</v>
      </c>
      <c r="K13" s="17" t="str">
        <f>IFERROR(__xludf.DUMMYFUNCTION("""COMPUTED_VALUE"""),"Electronics|HomeAudio|Accessories|Adapters")</f>
        <v>Electronics|HomeAudio|Accessories|Adapters</v>
      </c>
    </row>
    <row r="14">
      <c r="A14" s="7" t="s">
        <v>30</v>
      </c>
      <c r="B14" s="7" t="s">
        <v>31</v>
      </c>
      <c r="C14" s="8">
        <v>219.0</v>
      </c>
      <c r="D14" s="8">
        <v>700.0</v>
      </c>
      <c r="E14" s="19">
        <v>0.69</v>
      </c>
      <c r="F14" s="10">
        <v>4.4</v>
      </c>
      <c r="G14" s="7" t="s">
        <v>32</v>
      </c>
      <c r="K14" s="17" t="str">
        <f>IFERROR(__xludf.DUMMYFUNCTION("""COMPUTED_VALUE"""),"Electronics|HomeTheater,TV&amp;Video|SatelliteEquipment|SatelliteReceivers")</f>
        <v>Electronics|HomeTheater,TV&amp;Video|SatelliteEquipment|SatelliteReceivers</v>
      </c>
    </row>
    <row r="15">
      <c r="A15" s="7" t="s">
        <v>33</v>
      </c>
      <c r="B15" s="7" t="s">
        <v>15</v>
      </c>
      <c r="C15" s="8">
        <v>350.0</v>
      </c>
      <c r="D15" s="8">
        <v>899.0</v>
      </c>
      <c r="E15" s="19">
        <v>0.61</v>
      </c>
      <c r="F15" s="10">
        <v>4.2</v>
      </c>
      <c r="G15" s="11">
        <v>2262.0</v>
      </c>
      <c r="K15" s="17" t="str">
        <f>IFERROR(__xludf.DUMMYFUNCTION("""COMPUTED_VALUE"""),"Computers&amp;Accessories|Accessories&amp;Peripherals|Cables&amp;Accessories|Cables|DVICables")</f>
        <v>Computers&amp;Accessories|Accessories&amp;Peripherals|Cables&amp;Accessories|Cables|DVICables</v>
      </c>
    </row>
    <row r="16">
      <c r="A16" s="7" t="s">
        <v>34</v>
      </c>
      <c r="B16" s="7" t="s">
        <v>15</v>
      </c>
      <c r="C16" s="8">
        <v>159.0</v>
      </c>
      <c r="D16" s="8">
        <v>399.0</v>
      </c>
      <c r="E16" s="19">
        <v>0.6</v>
      </c>
      <c r="F16" s="10">
        <v>4.1</v>
      </c>
      <c r="G16" s="11">
        <v>4768.0</v>
      </c>
      <c r="K16" s="17" t="str">
        <f>IFERROR(__xludf.DUMMYFUNCTION("""COMPUTED_VALUE"""),"Electronics|HomeTheater,TV&amp;Video|Accessories|Cables|SpeakerCables")</f>
        <v>Electronics|HomeTheater,TV&amp;Video|Accessories|Cables|SpeakerCables</v>
      </c>
    </row>
    <row r="17">
      <c r="A17" s="7" t="s">
        <v>35</v>
      </c>
      <c r="B17" s="7" t="s">
        <v>15</v>
      </c>
      <c r="C17" s="8">
        <v>349.0</v>
      </c>
      <c r="D17" s="8">
        <v>399.0</v>
      </c>
      <c r="E17" s="19">
        <v>0.13</v>
      </c>
      <c r="F17" s="10">
        <v>4.4</v>
      </c>
      <c r="G17" s="11">
        <v>18757.0</v>
      </c>
      <c r="K17" s="17" t="str">
        <f>IFERROR(__xludf.DUMMYFUNCTION("""COMPUTED_VALUE"""),"Electronics|HomeAudio|MediaStreamingDevices|StreamingClients")</f>
        <v>Electronics|HomeAudio|MediaStreamingDevices|StreamingClients</v>
      </c>
    </row>
    <row r="18">
      <c r="A18" s="7" t="s">
        <v>36</v>
      </c>
      <c r="B18" s="7" t="s">
        <v>37</v>
      </c>
      <c r="C18" s="8">
        <v>13999.0</v>
      </c>
      <c r="D18" s="8">
        <v>24999.0</v>
      </c>
      <c r="E18" s="19">
        <v>0.44</v>
      </c>
      <c r="F18" s="10">
        <v>4.2</v>
      </c>
      <c r="G18" s="11">
        <v>32840.0</v>
      </c>
      <c r="K18" s="17" t="str">
        <f>IFERROR(__xludf.DUMMYFUNCTION("""COMPUTED_VALUE"""),"Electronics|HomeTheater,TV&amp;Video|AVReceivers&amp;Amplifiers")</f>
        <v>Electronics|HomeTheater,TV&amp;Video|AVReceivers&amp;Amplifiers</v>
      </c>
    </row>
    <row r="19">
      <c r="A19" s="7" t="s">
        <v>38</v>
      </c>
      <c r="B19" s="7" t="s">
        <v>15</v>
      </c>
      <c r="C19" s="8">
        <v>249.0</v>
      </c>
      <c r="D19" s="8">
        <v>399.0</v>
      </c>
      <c r="E19" s="19">
        <v>0.38</v>
      </c>
      <c r="F19" s="10">
        <v>4.0</v>
      </c>
      <c r="G19" s="11">
        <v>43994.0</v>
      </c>
      <c r="K19" s="17" t="str">
        <f>IFERROR(__xludf.DUMMYFUNCTION("""COMPUTED_VALUE"""),"Electronics|HomeAudio|Speakers|TowerSpeakers")</f>
        <v>Electronics|HomeAudio|Speakers|TowerSpeakers</v>
      </c>
    </row>
    <row r="20">
      <c r="A20" s="7" t="s">
        <v>39</v>
      </c>
      <c r="B20" s="7" t="s">
        <v>15</v>
      </c>
      <c r="C20" s="8">
        <v>199.0</v>
      </c>
      <c r="D20" s="8">
        <v>499.0</v>
      </c>
      <c r="E20" s="19">
        <v>0.6</v>
      </c>
      <c r="F20" s="10">
        <v>4.1</v>
      </c>
      <c r="G20" s="11">
        <v>13045.0</v>
      </c>
      <c r="K20" s="17" t="str">
        <f>IFERROR(__xludf.DUMMYFUNCTION("""COMPUTED_VALUE"""),"Electronics|HomeTheater,TV&amp;Video|Accessories|3DGlasses")</f>
        <v>Electronics|HomeTheater,TV&amp;Video|Accessories|3DGlasses</v>
      </c>
    </row>
    <row r="21">
      <c r="A21" s="7" t="s">
        <v>40</v>
      </c>
      <c r="B21" s="7" t="s">
        <v>37</v>
      </c>
      <c r="C21" s="8">
        <v>13490.0</v>
      </c>
      <c r="D21" s="8">
        <v>21990.0</v>
      </c>
      <c r="E21" s="19">
        <v>0.39</v>
      </c>
      <c r="F21" s="10">
        <v>4.3</v>
      </c>
      <c r="G21" s="11">
        <v>11976.0</v>
      </c>
      <c r="K21" s="17" t="str">
        <f>IFERROR(__xludf.DUMMYFUNCTION("""COMPUTED_VALUE"""),"Electronics|WearableTechnology|SmartWatches")</f>
        <v>Electronics|WearableTechnology|SmartWatches</v>
      </c>
    </row>
    <row r="22">
      <c r="A22" s="7" t="s">
        <v>41</v>
      </c>
      <c r="B22" s="7" t="s">
        <v>15</v>
      </c>
      <c r="C22" s="8">
        <v>970.0</v>
      </c>
      <c r="D22" s="8">
        <v>1799.0</v>
      </c>
      <c r="E22" s="19">
        <v>0.46</v>
      </c>
      <c r="F22" s="10">
        <v>4.5</v>
      </c>
      <c r="G22" s="10">
        <v>815.0</v>
      </c>
      <c r="K22" s="17" t="str">
        <f>IFERROR(__xludf.DUMMYFUNCTION("""COMPUTED_VALUE"""),"Electronics|Mobiles&amp;Accessories|MobileAccessories|Chargers|PowerBanks")</f>
        <v>Electronics|Mobiles&amp;Accessories|MobileAccessories|Chargers|PowerBanks</v>
      </c>
    </row>
    <row r="23">
      <c r="A23" s="7" t="s">
        <v>42</v>
      </c>
      <c r="B23" s="7" t="s">
        <v>31</v>
      </c>
      <c r="C23" s="8">
        <v>279.0</v>
      </c>
      <c r="D23" s="8">
        <v>499.0</v>
      </c>
      <c r="E23" s="19">
        <v>0.44</v>
      </c>
      <c r="F23" s="10">
        <v>3.7</v>
      </c>
      <c r="G23" s="11">
        <v>10962.0</v>
      </c>
      <c r="K23" s="17" t="str">
        <f>IFERROR(__xludf.DUMMYFUNCTION("""COMPUTED_VALUE"""),"Electronics|Mobiles&amp;Accessories|Smartphones&amp;BasicMobiles|Smartphones")</f>
        <v>Electronics|Mobiles&amp;Accessories|Smartphones&amp;BasicMobiles|Smartphones</v>
      </c>
    </row>
    <row r="24">
      <c r="A24" s="7" t="s">
        <v>43</v>
      </c>
      <c r="B24" s="7" t="s">
        <v>37</v>
      </c>
      <c r="C24" s="8">
        <v>13490.0</v>
      </c>
      <c r="D24" s="8">
        <v>22900.0</v>
      </c>
      <c r="E24" s="19">
        <v>0.41</v>
      </c>
      <c r="F24" s="10">
        <v>4.3</v>
      </c>
      <c r="G24" s="11">
        <v>16299.0</v>
      </c>
      <c r="K24" s="17" t="str">
        <f>IFERROR(__xludf.DUMMYFUNCTION("""COMPUTED_VALUE"""),"Electronics|Accessories|MemoryCards|MicroSD")</f>
        <v>Electronics|Accessories|MemoryCards|MicroSD</v>
      </c>
    </row>
    <row r="25">
      <c r="A25" s="7" t="s">
        <v>44</v>
      </c>
      <c r="B25" s="7" t="s">
        <v>15</v>
      </c>
      <c r="C25" s="8">
        <v>59.0</v>
      </c>
      <c r="D25" s="8">
        <v>199.0</v>
      </c>
      <c r="E25" s="19">
        <v>0.7</v>
      </c>
      <c r="F25" s="10">
        <v>4.0</v>
      </c>
      <c r="G25" s="11">
        <v>9378.0</v>
      </c>
      <c r="K25" s="17" t="str">
        <f>IFERROR(__xludf.DUMMYFUNCTION("""COMPUTED_VALUE"""),"Electronics|Mobiles&amp;Accessories|Smartphones&amp;BasicMobiles|BasicMobiles")</f>
        <v>Electronics|Mobiles&amp;Accessories|Smartphones&amp;BasicMobiles|BasicMobiles</v>
      </c>
    </row>
    <row r="26">
      <c r="A26" s="7" t="s">
        <v>45</v>
      </c>
      <c r="B26" s="7" t="s">
        <v>37</v>
      </c>
      <c r="C26" s="8">
        <v>11499.0</v>
      </c>
      <c r="D26" s="8">
        <v>19990.0</v>
      </c>
      <c r="E26" s="19">
        <v>0.42</v>
      </c>
      <c r="F26" s="10">
        <v>4.3</v>
      </c>
      <c r="G26" s="11">
        <v>4703.0</v>
      </c>
      <c r="K26" s="17" t="str">
        <f>IFERROR(__xludf.DUMMYFUNCTION("""COMPUTED_VALUE"""),"Electronics|Headphones,Earbuds&amp;Accessories|Headphones|In-Ear")</f>
        <v>Electronics|Headphones,Earbuds&amp;Accessories|Headphones|In-Ear</v>
      </c>
    </row>
    <row r="27">
      <c r="A27" s="7" t="s">
        <v>46</v>
      </c>
      <c r="B27" s="7" t="s">
        <v>31</v>
      </c>
      <c r="C27" s="8">
        <v>199.0</v>
      </c>
      <c r="D27" s="8">
        <v>699.0</v>
      </c>
      <c r="E27" s="19">
        <v>0.72</v>
      </c>
      <c r="F27" s="10">
        <v>4.2</v>
      </c>
      <c r="G27" s="11">
        <v>12153.0</v>
      </c>
      <c r="K27" s="17" t="str">
        <f>IFERROR(__xludf.DUMMYFUNCTION("""COMPUTED_VALUE"""),"Electronics|Mobiles&amp;Accessories|MobileAccessories|Chargers|AutomobileChargers")</f>
        <v>Electronics|Mobiles&amp;Accessories|MobileAccessories|Chargers|AutomobileChargers</v>
      </c>
    </row>
    <row r="28">
      <c r="A28" s="7" t="s">
        <v>47</v>
      </c>
      <c r="B28" s="7" t="s">
        <v>37</v>
      </c>
      <c r="C28" s="8">
        <v>14999.0</v>
      </c>
      <c r="D28" s="8">
        <v>19999.0</v>
      </c>
      <c r="E28" s="19">
        <v>0.25</v>
      </c>
      <c r="F28" s="10">
        <v>4.2</v>
      </c>
      <c r="G28" s="11">
        <v>34899.0</v>
      </c>
      <c r="K28" s="17" t="str">
        <f>IFERROR(__xludf.DUMMYFUNCTION("""COMPUTED_VALUE"""),"Electronics|Mobiles&amp;Accessories|MobileAccessories|AutomobileAccessories|Cradles")</f>
        <v>Electronics|Mobiles&amp;Accessories|MobileAccessories|AutomobileAccessories|Cradles</v>
      </c>
    </row>
    <row r="29">
      <c r="A29" s="7" t="s">
        <v>48</v>
      </c>
      <c r="B29" s="7" t="s">
        <v>15</v>
      </c>
      <c r="C29" s="8">
        <v>299.0</v>
      </c>
      <c r="D29" s="8">
        <v>399.0</v>
      </c>
      <c r="E29" s="19">
        <v>0.25</v>
      </c>
      <c r="F29" s="10">
        <v>4.0</v>
      </c>
      <c r="G29" s="11">
        <v>2766.0</v>
      </c>
      <c r="K29" s="17" t="str">
        <f>IFERROR(__xludf.DUMMYFUNCTION("""COMPUTED_VALUE"""),"Electronics|Mobiles&amp;Accessories|MobileAccessories|Chargers|WallChargers")</f>
        <v>Electronics|Mobiles&amp;Accessories|MobileAccessories|Chargers|WallChargers</v>
      </c>
    </row>
    <row r="30">
      <c r="A30" s="7" t="s">
        <v>49</v>
      </c>
      <c r="B30" s="7" t="s">
        <v>15</v>
      </c>
      <c r="C30" s="8">
        <v>970.0</v>
      </c>
      <c r="D30" s="8">
        <v>1999.0</v>
      </c>
      <c r="E30" s="19">
        <v>0.51</v>
      </c>
      <c r="F30" s="10">
        <v>4.4</v>
      </c>
      <c r="G30" s="10">
        <v>184.0</v>
      </c>
      <c r="K30" s="17" t="str">
        <f>IFERROR(__xludf.DUMMYFUNCTION("""COMPUTED_VALUE"""),"Electronics|Mobiles&amp;Accessories|MobileAccessories|Cables&amp;Adapters|OTGAdapters")</f>
        <v>Electronics|Mobiles&amp;Accessories|MobileAccessories|Cables&amp;Adapters|OTGAdapters</v>
      </c>
    </row>
    <row r="31">
      <c r="A31" s="7" t="s">
        <v>50</v>
      </c>
      <c r="B31" s="7" t="s">
        <v>15</v>
      </c>
      <c r="C31" s="8">
        <v>299.0</v>
      </c>
      <c r="D31" s="8">
        <v>999.0</v>
      </c>
      <c r="E31" s="19">
        <v>0.7</v>
      </c>
      <c r="F31" s="10">
        <v>4.3</v>
      </c>
      <c r="G31" s="11">
        <v>20850.0</v>
      </c>
      <c r="K31" s="17" t="str">
        <f>IFERROR(__xludf.DUMMYFUNCTION("""COMPUTED_VALUE"""),"Electronics|Mobiles&amp;Accessories|MobileAccessories|Photo&amp;VideoAccessories|Tripods")</f>
        <v>Electronics|Mobiles&amp;Accessories|MobileAccessories|Photo&amp;VideoAccessories|Tripods</v>
      </c>
    </row>
    <row r="32">
      <c r="A32" s="7" t="s">
        <v>51</v>
      </c>
      <c r="B32" s="7" t="s">
        <v>15</v>
      </c>
      <c r="C32" s="8">
        <v>199.0</v>
      </c>
      <c r="D32" s="8">
        <v>750.0</v>
      </c>
      <c r="E32" s="19">
        <v>0.73</v>
      </c>
      <c r="F32" s="10">
        <v>4.5</v>
      </c>
      <c r="G32" s="11">
        <v>74976.0</v>
      </c>
      <c r="K32" s="17" t="str">
        <f>IFERROR(__xludf.DUMMYFUNCTION("""COMPUTED_VALUE"""),"Electronics|Mobiles&amp;Accessories|MobileAccessories|Photo&amp;VideoAccessories|SelfieSticks")</f>
        <v>Electronics|Mobiles&amp;Accessories|MobileAccessories|Photo&amp;VideoAccessories|SelfieSticks</v>
      </c>
    </row>
    <row r="33">
      <c r="A33" s="7" t="s">
        <v>52</v>
      </c>
      <c r="B33" s="7" t="s">
        <v>15</v>
      </c>
      <c r="C33" s="8">
        <v>179.0</v>
      </c>
      <c r="D33" s="8">
        <v>499.0</v>
      </c>
      <c r="E33" s="19">
        <v>0.64</v>
      </c>
      <c r="F33" s="10">
        <v>4.0</v>
      </c>
      <c r="G33" s="11">
        <v>1934.0</v>
      </c>
      <c r="K33" s="17" t="str">
        <f>IFERROR(__xludf.DUMMYFUNCTION("""COMPUTED_VALUE"""),"Electronics|Mobiles&amp;Accessories|MobileAccessories|Stands")</f>
        <v>Electronics|Mobiles&amp;Accessories|MobileAccessories|Stands</v>
      </c>
    </row>
    <row r="34">
      <c r="A34" s="7" t="s">
        <v>53</v>
      </c>
      <c r="B34" s="7" t="s">
        <v>15</v>
      </c>
      <c r="C34" s="8">
        <v>389.0</v>
      </c>
      <c r="D34" s="8">
        <v>1099.0</v>
      </c>
      <c r="E34" s="19">
        <v>0.65</v>
      </c>
      <c r="F34" s="10">
        <v>4.3</v>
      </c>
      <c r="G34" s="10">
        <v>974.0</v>
      </c>
      <c r="K34" s="17" t="str">
        <f>IFERROR(__xludf.DUMMYFUNCTION("""COMPUTED_VALUE"""),"Computers&amp;Accessories|Accessories&amp;Peripherals|Cables&amp;Accessories|CableConnectionProtectors")</f>
        <v>Computers&amp;Accessories|Accessories&amp;Peripherals|Cables&amp;Accessories|CableConnectionProtectors</v>
      </c>
    </row>
    <row r="35">
      <c r="A35" s="7" t="s">
        <v>54</v>
      </c>
      <c r="B35" s="7" t="s">
        <v>15</v>
      </c>
      <c r="C35" s="8">
        <v>599.0</v>
      </c>
      <c r="D35" s="8">
        <v>599.0</v>
      </c>
      <c r="E35" s="19">
        <v>0.0</v>
      </c>
      <c r="F35" s="10">
        <v>4.3</v>
      </c>
      <c r="G35" s="10">
        <v>355.0</v>
      </c>
      <c r="K35" s="17" t="str">
        <f>IFERROR(__xludf.DUMMYFUNCTION("""COMPUTED_VALUE"""),"Electronics|Mobiles&amp;Accessories|MobileAccessories|Décor")</f>
        <v>Electronics|Mobiles&amp;Accessories|MobileAccessories|Décor</v>
      </c>
    </row>
    <row r="36">
      <c r="A36" s="7" t="s">
        <v>55</v>
      </c>
      <c r="B36" s="7" t="s">
        <v>15</v>
      </c>
      <c r="C36" s="8">
        <v>199.0</v>
      </c>
      <c r="D36" s="8">
        <v>999.0</v>
      </c>
      <c r="E36" s="19">
        <v>0.8</v>
      </c>
      <c r="F36" s="10">
        <v>3.9</v>
      </c>
      <c r="G36" s="11">
        <v>1075.0</v>
      </c>
      <c r="K36" s="17" t="str">
        <f>IFERROR(__xludf.DUMMYFUNCTION("""COMPUTED_VALUE"""),"Electronics|Mobiles&amp;Accessories|MobileAccessories|Maintenance,Upkeep&amp;Repairs|ScreenProtectors")</f>
        <v>Electronics|Mobiles&amp;Accessories|MobileAccessories|Maintenance,Upkeep&amp;Repairs|ScreenProtectors</v>
      </c>
    </row>
    <row r="37">
      <c r="A37" s="7" t="s">
        <v>56</v>
      </c>
      <c r="B37" s="7" t="s">
        <v>15</v>
      </c>
      <c r="C37" s="8">
        <v>99.0</v>
      </c>
      <c r="D37" s="8">
        <v>666.66</v>
      </c>
      <c r="E37" s="19">
        <v>0.85</v>
      </c>
      <c r="F37" s="10">
        <v>3.9</v>
      </c>
      <c r="G37" s="11">
        <v>24871.0</v>
      </c>
      <c r="K37" s="17" t="str">
        <f>IFERROR(__xludf.DUMMYFUNCTION("""COMPUTED_VALUE"""),"Electronics|Mobiles&amp;Accessories|MobileAccessories|StylusPens")</f>
        <v>Electronics|Mobiles&amp;Accessories|MobileAccessories|StylusPens</v>
      </c>
    </row>
    <row r="38">
      <c r="A38" s="7" t="s">
        <v>57</v>
      </c>
      <c r="B38" s="7" t="s">
        <v>15</v>
      </c>
      <c r="C38" s="8">
        <v>899.0</v>
      </c>
      <c r="D38" s="8">
        <v>1900.0</v>
      </c>
      <c r="E38" s="19">
        <v>0.53</v>
      </c>
      <c r="F38" s="10">
        <v>4.4</v>
      </c>
      <c r="G38" s="11">
        <v>13552.0</v>
      </c>
      <c r="K38" s="17" t="str">
        <f>IFERROR(__xludf.DUMMYFUNCTION("""COMPUTED_VALUE"""),"Electronics|Mobiles&amp;Accessories|MobileAccessories|Mounts|Bedstand&amp;DeskMounts")</f>
        <v>Electronics|Mobiles&amp;Accessories|MobileAccessories|Mounts|Bedstand&amp;DeskMounts</v>
      </c>
    </row>
    <row r="39">
      <c r="A39" s="7" t="s">
        <v>58</v>
      </c>
      <c r="B39" s="7" t="s">
        <v>15</v>
      </c>
      <c r="C39" s="8">
        <v>199.0</v>
      </c>
      <c r="D39" s="8">
        <v>999.0</v>
      </c>
      <c r="E39" s="19">
        <v>0.8</v>
      </c>
      <c r="F39" s="10">
        <v>4.0</v>
      </c>
      <c r="G39" s="10">
        <v>576.0</v>
      </c>
      <c r="K39" s="17" t="str">
        <f>IFERROR(__xludf.DUMMYFUNCTION("""COMPUTED_VALUE"""),"Electronics|Mobiles&amp;Accessories|MobileAccessories|Cases&amp;Covers|BasicCases")</f>
        <v>Electronics|Mobiles&amp;Accessories|MobileAccessories|Cases&amp;Covers|BasicCases</v>
      </c>
    </row>
    <row r="40">
      <c r="A40" s="7" t="s">
        <v>59</v>
      </c>
      <c r="B40" s="7" t="s">
        <v>37</v>
      </c>
      <c r="C40" s="8">
        <v>32999.0</v>
      </c>
      <c r="D40" s="8">
        <v>45999.0</v>
      </c>
      <c r="E40" s="19">
        <v>0.28</v>
      </c>
      <c r="F40" s="10">
        <v>4.2</v>
      </c>
      <c r="G40" s="11">
        <v>7298.0</v>
      </c>
      <c r="K40" s="17" t="str">
        <f>IFERROR(__xludf.DUMMYFUNCTION("""COMPUTED_VALUE"""),"Electronics|Mobiles&amp;Accessories|MobileAccessories|Mounts|HandlebarMounts")</f>
        <v>Electronics|Mobiles&amp;Accessories|MobileAccessories|Mounts|HandlebarMounts</v>
      </c>
    </row>
    <row r="41">
      <c r="A41" s="7" t="s">
        <v>60</v>
      </c>
      <c r="B41" s="7" t="s">
        <v>15</v>
      </c>
      <c r="C41" s="8">
        <v>970.0</v>
      </c>
      <c r="D41" s="8">
        <v>1999.0</v>
      </c>
      <c r="E41" s="19">
        <v>0.51</v>
      </c>
      <c r="F41" s="10">
        <v>4.2</v>
      </c>
      <c r="G41" s="10">
        <v>462.0</v>
      </c>
      <c r="K41" s="17" t="str">
        <f>IFERROR(__xludf.DUMMYFUNCTION("""COMPUTED_VALUE"""),"Electronics|Headphones,Earbuds&amp;Accessories|Headphones|On-Ear")</f>
        <v>Electronics|Headphones,Earbuds&amp;Accessories|Headphones|On-Ear</v>
      </c>
    </row>
    <row r="42">
      <c r="A42" s="7" t="s">
        <v>61</v>
      </c>
      <c r="B42" s="7" t="s">
        <v>15</v>
      </c>
      <c r="C42" s="8">
        <v>209.0</v>
      </c>
      <c r="D42" s="8">
        <v>695.0</v>
      </c>
      <c r="E42" s="19">
        <v>0.7</v>
      </c>
      <c r="F42" s="10">
        <v>4.5</v>
      </c>
      <c r="G42" s="7" t="s">
        <v>62</v>
      </c>
      <c r="K42" s="17" t="str">
        <f>IFERROR(__xludf.DUMMYFUNCTION("""COMPUTED_VALUE"""),"Computers&amp;Accessories|Accessories&amp;Peripherals|LaptopAccessories|CameraPrivacyCovers")</f>
        <v>Computers&amp;Accessories|Accessories&amp;Peripherals|LaptopAccessories|CameraPrivacyCovers</v>
      </c>
    </row>
    <row r="43">
      <c r="A43" s="7" t="s">
        <v>63</v>
      </c>
      <c r="B43" s="7" t="s">
        <v>37</v>
      </c>
      <c r="C43" s="8">
        <v>19999.0</v>
      </c>
      <c r="D43" s="8">
        <v>34999.0</v>
      </c>
      <c r="E43" s="19">
        <v>0.43</v>
      </c>
      <c r="F43" s="10">
        <v>4.3</v>
      </c>
      <c r="G43" s="11">
        <v>27151.0</v>
      </c>
      <c r="K43" s="17" t="str">
        <f>IFERROR(__xludf.DUMMYFUNCTION("""COMPUTED_VALUE"""),"Electronics|Headphones,Earbuds&amp;Accessories|Adapters")</f>
        <v>Electronics|Headphones,Earbuds&amp;Accessories|Adapters</v>
      </c>
    </row>
    <row r="44">
      <c r="A44" s="7" t="s">
        <v>64</v>
      </c>
      <c r="B44" s="7" t="s">
        <v>15</v>
      </c>
      <c r="C44" s="8">
        <v>399.0</v>
      </c>
      <c r="D44" s="8">
        <v>1099.0</v>
      </c>
      <c r="E44" s="19">
        <v>0.64</v>
      </c>
      <c r="F44" s="10">
        <v>4.2</v>
      </c>
      <c r="G44" s="11">
        <v>24269.0</v>
      </c>
      <c r="K44" s="17" t="str">
        <f>IFERROR(__xludf.DUMMYFUNCTION("""COMPUTED_VALUE"""),"Electronics|Mobiles&amp;Accessories|MobileAccessories|Décor|PhoneCharms")</f>
        <v>Electronics|Mobiles&amp;Accessories|MobileAccessories|Décor|PhoneCharms</v>
      </c>
    </row>
    <row r="45">
      <c r="A45" s="7" t="s">
        <v>65</v>
      </c>
      <c r="B45" s="7" t="s">
        <v>25</v>
      </c>
      <c r="C45" s="8">
        <v>999.0</v>
      </c>
      <c r="D45" s="8">
        <v>1599.0</v>
      </c>
      <c r="E45" s="19">
        <v>0.38</v>
      </c>
      <c r="F45" s="10">
        <v>4.3</v>
      </c>
      <c r="G45" s="11">
        <v>12093.0</v>
      </c>
      <c r="K45" s="17" t="str">
        <f>IFERROR(__xludf.DUMMYFUNCTION("""COMPUTED_VALUE"""),"Electronics|Mobiles&amp;Accessories|MobileAccessories|Mounts|Shower&amp;WallMounts")</f>
        <v>Electronics|Mobiles&amp;Accessories|MobileAccessories|Mounts|Shower&amp;WallMounts</v>
      </c>
    </row>
    <row r="46">
      <c r="A46" s="7" t="s">
        <v>66</v>
      </c>
      <c r="B46" s="7" t="s">
        <v>15</v>
      </c>
      <c r="C46" s="8">
        <v>59.0</v>
      </c>
      <c r="D46" s="8">
        <v>199.0</v>
      </c>
      <c r="E46" s="19">
        <v>0.7</v>
      </c>
      <c r="F46" s="10">
        <v>4.0</v>
      </c>
      <c r="G46" s="11">
        <v>9378.0</v>
      </c>
      <c r="K46" s="17" t="str">
        <f>IFERROR(__xludf.DUMMYFUNCTION("""COMPUTED_VALUE"""),"Computers&amp;Accessories|ExternalDevices&amp;DataStorage|PenDrives")</f>
        <v>Computers&amp;Accessories|ExternalDevices&amp;DataStorage|PenDrives</v>
      </c>
    </row>
    <row r="47">
      <c r="A47" s="7" t="s">
        <v>67</v>
      </c>
      <c r="B47" s="7" t="s">
        <v>15</v>
      </c>
      <c r="C47" s="8">
        <v>333.0</v>
      </c>
      <c r="D47" s="8">
        <v>999.0</v>
      </c>
      <c r="E47" s="19">
        <v>0.67</v>
      </c>
      <c r="F47" s="10">
        <v>3.3</v>
      </c>
      <c r="G47" s="11">
        <v>9792.0</v>
      </c>
      <c r="K47" s="17" t="str">
        <f>IFERROR(__xludf.DUMMYFUNCTION("""COMPUTED_VALUE"""),"Computers&amp;Accessories|Accessories&amp;Peripherals|Keyboards,Mice&amp;InputDevices|Mice")</f>
        <v>Computers&amp;Accessories|Accessories&amp;Peripherals|Keyboards,Mice&amp;InputDevices|Mice</v>
      </c>
    </row>
    <row r="48">
      <c r="A48" s="7" t="s">
        <v>68</v>
      </c>
      <c r="B48" s="7" t="s">
        <v>25</v>
      </c>
      <c r="C48" s="8">
        <v>507.0</v>
      </c>
      <c r="D48" s="8">
        <v>1208.0</v>
      </c>
      <c r="E48" s="19">
        <v>0.58</v>
      </c>
      <c r="F48" s="10">
        <v>4.1</v>
      </c>
      <c r="G48" s="11">
        <v>8131.0</v>
      </c>
      <c r="K48" s="17" t="str">
        <f>IFERROR(__xludf.DUMMYFUNCTION("""COMPUTED_VALUE"""),"Computers&amp;Accessories|Accessories&amp;Peripherals|Keyboards,Mice&amp;InputDevices|GraphicTablets")</f>
        <v>Computers&amp;Accessories|Accessories&amp;Peripherals|Keyboards,Mice&amp;InputDevices|GraphicTablets</v>
      </c>
    </row>
    <row r="49">
      <c r="A49" s="7" t="s">
        <v>69</v>
      </c>
      <c r="B49" s="7" t="s">
        <v>31</v>
      </c>
      <c r="C49" s="8">
        <v>309.0</v>
      </c>
      <c r="D49" s="8">
        <v>475.0</v>
      </c>
      <c r="E49" s="19">
        <v>0.35</v>
      </c>
      <c r="F49" s="10">
        <v>4.4</v>
      </c>
      <c r="G49" s="7" t="s">
        <v>32</v>
      </c>
      <c r="K49" s="17" t="str">
        <f>IFERROR(__xludf.DUMMYFUNCTION("""COMPUTED_VALUE"""),"Computers&amp;Accessories|Accessories&amp;Peripherals|LaptopAccessories|Lapdesks")</f>
        <v>Computers&amp;Accessories|Accessories&amp;Peripherals|LaptopAccessories|Lapdesks</v>
      </c>
    </row>
    <row r="50">
      <c r="A50" s="7" t="s">
        <v>70</v>
      </c>
      <c r="B50" s="7" t="s">
        <v>71</v>
      </c>
      <c r="C50" s="8">
        <v>399.0</v>
      </c>
      <c r="D50" s="8">
        <v>999.0</v>
      </c>
      <c r="E50" s="19">
        <v>0.6</v>
      </c>
      <c r="F50" s="10">
        <v>3.6</v>
      </c>
      <c r="G50" s="10">
        <v>493.0</v>
      </c>
      <c r="K50" s="17" t="str">
        <f>IFERROR(__xludf.DUMMYFUNCTION("""COMPUTED_VALUE"""),"Computers&amp;Accessories|Accessories&amp;Peripherals|LaptopAccessories|NotebookComputerStands")</f>
        <v>Computers&amp;Accessories|Accessories&amp;Peripherals|LaptopAccessories|NotebookComputerStands</v>
      </c>
    </row>
    <row r="51">
      <c r="A51" s="7" t="s">
        <v>72</v>
      </c>
      <c r="B51" s="7" t="s">
        <v>15</v>
      </c>
      <c r="C51" s="8">
        <v>199.0</v>
      </c>
      <c r="D51" s="8">
        <v>395.0</v>
      </c>
      <c r="E51" s="19">
        <v>0.5</v>
      </c>
      <c r="F51" s="10">
        <v>4.2</v>
      </c>
      <c r="G51" s="11">
        <v>92595.0</v>
      </c>
      <c r="K51" s="17" t="str">
        <f>IFERROR(__xludf.DUMMYFUNCTION("""COMPUTED_VALUE"""),"Computers&amp;Accessories|Accessories&amp;Peripherals|Keyboards,Mice&amp;InputDevices|Keyboards")</f>
        <v>Computers&amp;Accessories|Accessories&amp;Peripherals|Keyboards,Mice&amp;InputDevices|Keyboards</v>
      </c>
    </row>
    <row r="52">
      <c r="A52" s="7" t="s">
        <v>73</v>
      </c>
      <c r="B52" s="7" t="s">
        <v>25</v>
      </c>
      <c r="C52" s="8">
        <v>1199.0</v>
      </c>
      <c r="D52" s="8">
        <v>2199.0</v>
      </c>
      <c r="E52" s="19">
        <v>0.45</v>
      </c>
      <c r="F52" s="10">
        <v>4.4</v>
      </c>
      <c r="G52" s="11">
        <v>24780.0</v>
      </c>
      <c r="K52" s="17" t="str">
        <f>IFERROR(__xludf.DUMMYFUNCTION("""COMPUTED_VALUE"""),"MusicalInstruments|Microphones|Condenser")</f>
        <v>MusicalInstruments|Microphones|Condenser</v>
      </c>
    </row>
    <row r="53">
      <c r="A53" s="7" t="s">
        <v>74</v>
      </c>
      <c r="B53" s="7" t="s">
        <v>15</v>
      </c>
      <c r="C53" s="8">
        <v>179.0</v>
      </c>
      <c r="D53" s="8">
        <v>500.0</v>
      </c>
      <c r="E53" s="19">
        <v>0.64</v>
      </c>
      <c r="F53" s="10">
        <v>4.2</v>
      </c>
      <c r="G53" s="11">
        <v>92595.0</v>
      </c>
      <c r="K53" s="17" t="str">
        <f>IFERROR(__xludf.DUMMYFUNCTION("""COMPUTED_VALUE"""),"Electronics|GeneralPurposeBatteries&amp;BatteryChargers|DisposableBatteries")</f>
        <v>Electronics|GeneralPurposeBatteries&amp;BatteryChargers|DisposableBatteries</v>
      </c>
    </row>
    <row r="54">
      <c r="A54" s="7" t="s">
        <v>75</v>
      </c>
      <c r="B54" s="7" t="s">
        <v>15</v>
      </c>
      <c r="C54" s="8">
        <v>799.0</v>
      </c>
      <c r="D54" s="8">
        <v>2100.0</v>
      </c>
      <c r="E54" s="19">
        <v>0.62</v>
      </c>
      <c r="F54" s="10">
        <v>4.3</v>
      </c>
      <c r="G54" s="11">
        <v>8188.0</v>
      </c>
      <c r="K54" s="17" t="str">
        <f>IFERROR(__xludf.DUMMYFUNCTION("""COMPUTED_VALUE"""),"OfficeProducts|OfficePaperProducts|Paper|Stationery|Pens,Pencils&amp;WritingSupplies|Pens&amp;Refills|GelInkRollerballPens")</f>
        <v>OfficeProducts|OfficePaperProducts|Paper|Stationery|Pens,Pencils&amp;WritingSupplies|Pens&amp;Refills|GelInkRollerballPens</v>
      </c>
    </row>
    <row r="55">
      <c r="A55" s="7" t="s">
        <v>76</v>
      </c>
      <c r="B55" s="7" t="s">
        <v>77</v>
      </c>
      <c r="C55" s="8">
        <v>6999.0</v>
      </c>
      <c r="D55" s="8">
        <v>12999.0</v>
      </c>
      <c r="E55" s="19">
        <v>0.46</v>
      </c>
      <c r="F55" s="10">
        <v>4.2</v>
      </c>
      <c r="G55" s="11">
        <v>4003.0</v>
      </c>
      <c r="K55" s="17" t="str">
        <f>IFERROR(__xludf.DUMMYFUNCTION("""COMPUTED_VALUE"""),"Home&amp;Kitchen|CraftMaterials|Scrapbooking|Tape")</f>
        <v>Home&amp;Kitchen|CraftMaterials|Scrapbooking|Tape</v>
      </c>
    </row>
    <row r="56">
      <c r="A56" s="7" t="s">
        <v>78</v>
      </c>
      <c r="B56" s="7" t="s">
        <v>15</v>
      </c>
      <c r="C56" s="8">
        <v>199.0</v>
      </c>
      <c r="D56" s="8">
        <v>349.0</v>
      </c>
      <c r="E56" s="19">
        <v>0.43</v>
      </c>
      <c r="F56" s="10">
        <v>4.1</v>
      </c>
      <c r="G56" s="10">
        <v>314.0</v>
      </c>
      <c r="K56" s="17" t="str">
        <f>IFERROR(__xludf.DUMMYFUNCTION("""COMPUTED_VALUE"""),"Computers&amp;Accessories|Accessories&amp;Peripherals|Keyboards,Mice&amp;InputDevices|Keyboard&amp;MouseSets")</f>
        <v>Computers&amp;Accessories|Accessories&amp;Peripherals|Keyboards,Mice&amp;InputDevices|Keyboard&amp;MouseSets</v>
      </c>
    </row>
    <row r="57">
      <c r="A57" s="7" t="s">
        <v>79</v>
      </c>
      <c r="B57" s="7" t="s">
        <v>71</v>
      </c>
      <c r="C57" s="8">
        <v>230.0</v>
      </c>
      <c r="D57" s="8">
        <v>499.0</v>
      </c>
      <c r="E57" s="19">
        <v>0.54</v>
      </c>
      <c r="F57" s="10">
        <v>3.7</v>
      </c>
      <c r="G57" s="11">
        <v>2960.0</v>
      </c>
      <c r="K57" s="17" t="str">
        <f>IFERROR(__xludf.DUMMYFUNCTION("""COMPUTED_VALUE"""),"Computers&amp;Accessories|ExternalDevices&amp;DataStorage|ExternalHardDisks")</f>
        <v>Computers&amp;Accessories|ExternalDevices&amp;DataStorage|ExternalHardDisks</v>
      </c>
    </row>
    <row r="58">
      <c r="A58" s="7" t="s">
        <v>80</v>
      </c>
      <c r="B58" s="7" t="s">
        <v>25</v>
      </c>
      <c r="C58" s="8">
        <v>649.0</v>
      </c>
      <c r="D58" s="8">
        <v>1399.0</v>
      </c>
      <c r="E58" s="19">
        <v>0.54</v>
      </c>
      <c r="F58" s="10">
        <v>4.2</v>
      </c>
      <c r="G58" s="7" t="s">
        <v>26</v>
      </c>
      <c r="K58" s="17" t="str">
        <f>IFERROR(__xludf.DUMMYFUNCTION("""COMPUTED_VALUE"""),"Electronics|Cameras&amp;Photography|VideoCameras")</f>
        <v>Electronics|Cameras&amp;Photography|VideoCameras</v>
      </c>
    </row>
    <row r="59">
      <c r="A59" s="7" t="s">
        <v>81</v>
      </c>
      <c r="B59" s="7" t="s">
        <v>37</v>
      </c>
      <c r="C59" s="8">
        <v>15999.0</v>
      </c>
      <c r="D59" s="8">
        <v>21999.0</v>
      </c>
      <c r="E59" s="19">
        <v>0.27</v>
      </c>
      <c r="F59" s="10">
        <v>4.2</v>
      </c>
      <c r="G59" s="11">
        <v>34899.0</v>
      </c>
      <c r="K59" s="17" t="str">
        <f>IFERROR(__xludf.DUMMYFUNCTION("""COMPUTED_VALUE"""),"Electronics|Cameras&amp;Photography|Accessories|Tripods&amp;Monopods|Tabletop&amp;TravelTripods")</f>
        <v>Electronics|Cameras&amp;Photography|Accessories|Tripods&amp;Monopods|Tabletop&amp;TravelTripods</v>
      </c>
    </row>
    <row r="60">
      <c r="A60" s="7" t="s">
        <v>82</v>
      </c>
      <c r="B60" s="7" t="s">
        <v>15</v>
      </c>
      <c r="C60" s="8">
        <v>348.0</v>
      </c>
      <c r="D60" s="8">
        <v>1499.0</v>
      </c>
      <c r="E60" s="19">
        <v>0.77</v>
      </c>
      <c r="F60" s="10">
        <v>4.2</v>
      </c>
      <c r="G60" s="10">
        <v>656.0</v>
      </c>
      <c r="K60" s="17" t="str">
        <f>IFERROR(__xludf.DUMMYFUNCTION("""COMPUTED_VALUE"""),"OfficeProducts|OfficeElectronics|Calculators|Scientific")</f>
        <v>OfficeProducts|OfficeElectronics|Calculators|Scientific</v>
      </c>
    </row>
    <row r="61">
      <c r="A61" s="7" t="s">
        <v>83</v>
      </c>
      <c r="B61" s="7" t="s">
        <v>15</v>
      </c>
      <c r="C61" s="8">
        <v>154.0</v>
      </c>
      <c r="D61" s="8">
        <v>349.0</v>
      </c>
      <c r="E61" s="19">
        <v>0.56</v>
      </c>
      <c r="F61" s="10">
        <v>4.3</v>
      </c>
      <c r="G61" s="11">
        <v>7064.0</v>
      </c>
      <c r="K61" s="17" t="str">
        <f>IFERROR(__xludf.DUMMYFUNCTION("""COMPUTED_VALUE"""),"Computers&amp;Accessories|NetworkingDevices|Repeaters&amp;Extenders")</f>
        <v>Computers&amp;Accessories|NetworkingDevices|Repeaters&amp;Extenders</v>
      </c>
    </row>
    <row r="62">
      <c r="A62" s="7" t="s">
        <v>84</v>
      </c>
      <c r="B62" s="7" t="s">
        <v>71</v>
      </c>
      <c r="C62" s="8">
        <v>179.0</v>
      </c>
      <c r="D62" s="8">
        <v>799.0</v>
      </c>
      <c r="E62" s="19">
        <v>0.78</v>
      </c>
      <c r="F62" s="10">
        <v>3.7</v>
      </c>
      <c r="G62" s="11">
        <v>2201.0</v>
      </c>
      <c r="K62" s="17" t="str">
        <f>IFERROR(__xludf.DUMMYFUNCTION("""COMPUTED_VALUE"""),"Electronics|Cameras&amp;Photography|Accessories|Tripods&amp;Monopods|TripodLegs")</f>
        <v>Electronics|Cameras&amp;Photography|Accessories|Tripods&amp;Monopods|TripodLegs</v>
      </c>
    </row>
    <row r="63">
      <c r="A63" s="7" t="s">
        <v>85</v>
      </c>
      <c r="B63" s="7" t="s">
        <v>37</v>
      </c>
      <c r="C63" s="8">
        <v>32990.0</v>
      </c>
      <c r="D63" s="8">
        <v>47900.0</v>
      </c>
      <c r="E63" s="19">
        <v>0.31</v>
      </c>
      <c r="F63" s="10">
        <v>4.3</v>
      </c>
      <c r="G63" s="11">
        <v>7109.0</v>
      </c>
      <c r="K63" s="17" t="str">
        <f>IFERROR(__xludf.DUMMYFUNCTION("""COMPUTED_VALUE"""),"Computers&amp;Accessories|Printers,Inks&amp;Accessories|Inks,Toners&amp;Cartridges|InkjetInkCartridges")</f>
        <v>Computers&amp;Accessories|Printers,Inks&amp;Accessories|Inks,Toners&amp;Cartridges|InkjetInkCartridges</v>
      </c>
    </row>
    <row r="64">
      <c r="A64" s="7" t="s">
        <v>86</v>
      </c>
      <c r="B64" s="7" t="s">
        <v>15</v>
      </c>
      <c r="C64" s="8">
        <v>139.0</v>
      </c>
      <c r="D64" s="8">
        <v>999.0</v>
      </c>
      <c r="E64" s="19">
        <v>0.86</v>
      </c>
      <c r="F64" s="10">
        <v>4.0</v>
      </c>
      <c r="G64" s="11">
        <v>1313.0</v>
      </c>
      <c r="K64" s="17" t="str">
        <f>IFERROR(__xludf.DUMMYFUNCTION("""COMPUTED_VALUE"""),"Computers&amp;Accessories|Accessories&amp;Peripherals|Keyboards,Mice&amp;InputDevices|Keyboard&amp;MiceAccessories|DustCovers")</f>
        <v>Computers&amp;Accessories|Accessories&amp;Peripherals|Keyboards,Mice&amp;InputDevices|Keyboard&amp;MiceAccessories|DustCovers</v>
      </c>
    </row>
    <row r="65">
      <c r="A65" s="7" t="s">
        <v>87</v>
      </c>
      <c r="B65" s="7" t="s">
        <v>15</v>
      </c>
      <c r="C65" s="8">
        <v>329.0</v>
      </c>
      <c r="D65" s="8">
        <v>845.0</v>
      </c>
      <c r="E65" s="19">
        <v>0.61</v>
      </c>
      <c r="F65" s="10">
        <v>4.2</v>
      </c>
      <c r="G65" s="11">
        <v>29746.0</v>
      </c>
      <c r="K65" s="17" t="str">
        <f>IFERROR(__xludf.DUMMYFUNCTION("""COMPUTED_VALUE"""),"Computers&amp;Accessories|Accessories&amp;Peripherals|PCGamingPeripherals|GamingMice")</f>
        <v>Computers&amp;Accessories|Accessories&amp;Peripherals|PCGamingPeripherals|GamingMice</v>
      </c>
    </row>
    <row r="66">
      <c r="A66" s="7" t="s">
        <v>88</v>
      </c>
      <c r="B66" s="7" t="s">
        <v>37</v>
      </c>
      <c r="C66" s="8">
        <v>13999.0</v>
      </c>
      <c r="D66" s="8">
        <v>24999.0</v>
      </c>
      <c r="E66" s="19">
        <v>0.44</v>
      </c>
      <c r="F66" s="10">
        <v>4.2</v>
      </c>
      <c r="G66" s="11">
        <v>45238.0</v>
      </c>
      <c r="K66" s="17" t="str">
        <f>IFERROR(__xludf.DUMMYFUNCTION("""COMPUTED_VALUE"""),"Home&amp;Kitchen|CraftMaterials|PaintingMaterials|Paints")</f>
        <v>Home&amp;Kitchen|CraftMaterials|PaintingMaterials|Paints</v>
      </c>
    </row>
    <row r="67">
      <c r="A67" s="7" t="s">
        <v>89</v>
      </c>
      <c r="B67" s="7" t="s">
        <v>31</v>
      </c>
      <c r="C67" s="8">
        <v>309.0</v>
      </c>
      <c r="D67" s="8">
        <v>1400.0</v>
      </c>
      <c r="E67" s="19">
        <v>0.78</v>
      </c>
      <c r="F67" s="10">
        <v>4.4</v>
      </c>
      <c r="G67" s="7" t="s">
        <v>32</v>
      </c>
      <c r="K67"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row>
    <row r="68">
      <c r="A68" s="7" t="s">
        <v>90</v>
      </c>
      <c r="B68" s="7" t="s">
        <v>15</v>
      </c>
      <c r="C68" s="8">
        <v>263.0</v>
      </c>
      <c r="D68" s="8">
        <v>699.0</v>
      </c>
      <c r="E68" s="19">
        <v>0.62</v>
      </c>
      <c r="F68" s="10">
        <v>4.1</v>
      </c>
      <c r="G68" s="10">
        <v>450.0</v>
      </c>
      <c r="K68" s="17" t="str">
        <f>IFERROR(__xludf.DUMMYFUNCTION("""COMPUTED_VALUE"""),"Computers&amp;Accessories|Accessories&amp;Peripherals|HardDiskBags")</f>
        <v>Computers&amp;Accessories|Accessories&amp;Peripherals|HardDiskBags</v>
      </c>
    </row>
    <row r="69">
      <c r="A69" s="7" t="s">
        <v>91</v>
      </c>
      <c r="B69" s="7" t="s">
        <v>77</v>
      </c>
      <c r="C69" s="8">
        <v>7999.0</v>
      </c>
      <c r="D69" s="8">
        <v>14990.0</v>
      </c>
      <c r="E69" s="19">
        <v>0.47</v>
      </c>
      <c r="F69" s="10">
        <v>4.3</v>
      </c>
      <c r="G69" s="10">
        <v>457.0</v>
      </c>
      <c r="K69" s="17" t="str">
        <f>IFERROR(__xludf.DUMMYFUNCTION("""COMPUTED_VALUE"""),"Electronics|Cameras&amp;Photography|Flashes|Macro&amp;RinglightFlashes")</f>
        <v>Electronics|Cameras&amp;Photography|Flashes|Macro&amp;RinglightFlashes</v>
      </c>
    </row>
    <row r="70">
      <c r="A70" s="7" t="s">
        <v>92</v>
      </c>
      <c r="B70" s="7" t="s">
        <v>93</v>
      </c>
      <c r="C70" s="8">
        <v>1599.0</v>
      </c>
      <c r="D70" s="8">
        <v>2999.0</v>
      </c>
      <c r="E70" s="19">
        <v>0.47</v>
      </c>
      <c r="F70" s="10">
        <v>4.2</v>
      </c>
      <c r="G70" s="11">
        <v>2727.0</v>
      </c>
      <c r="K70" s="17" t="str">
        <f>IFERROR(__xludf.DUMMYFUNCTION("""COMPUTED_VALUE"""),"Computers&amp;Accessories|NetworkingDevices")</f>
        <v>Computers&amp;Accessories|NetworkingDevices</v>
      </c>
    </row>
    <row r="71">
      <c r="A71" s="7" t="s">
        <v>94</v>
      </c>
      <c r="B71" s="7" t="s">
        <v>15</v>
      </c>
      <c r="C71" s="8">
        <v>219.0</v>
      </c>
      <c r="D71" s="8">
        <v>700.0</v>
      </c>
      <c r="E71" s="19">
        <v>0.69</v>
      </c>
      <c r="F71" s="10">
        <v>4.3</v>
      </c>
      <c r="G71" s="11">
        <v>20053.0</v>
      </c>
      <c r="K71" s="17" t="str">
        <f>IFERROR(__xludf.DUMMYFUNCTION("""COMPUTED_VALUE"""),"Computers&amp;Accessories|NetworkingDevices|Routers")</f>
        <v>Computers&amp;Accessories|NetworkingDevices|Routers</v>
      </c>
    </row>
    <row r="72">
      <c r="A72" s="7" t="s">
        <v>95</v>
      </c>
      <c r="B72" s="7" t="s">
        <v>15</v>
      </c>
      <c r="C72" s="8">
        <v>349.0</v>
      </c>
      <c r="D72" s="8">
        <v>899.0</v>
      </c>
      <c r="E72" s="19">
        <v>0.61</v>
      </c>
      <c r="F72" s="10">
        <v>4.5</v>
      </c>
      <c r="G72" s="10">
        <v>149.0</v>
      </c>
      <c r="K72" s="17" t="str">
        <f>IFERROR(__xludf.DUMMYFUNCTION("""COMPUTED_VALUE"""),"Electronics|Headphones,Earbuds&amp;Accessories|Headphones|Over-Ear")</f>
        <v>Electronics|Headphones,Earbuds&amp;Accessories|Headphones|Over-Ear</v>
      </c>
    </row>
    <row r="73">
      <c r="A73" s="7" t="s">
        <v>96</v>
      </c>
      <c r="B73" s="7" t="s">
        <v>15</v>
      </c>
      <c r="C73" s="8">
        <v>349.0</v>
      </c>
      <c r="D73" s="8">
        <v>599.0</v>
      </c>
      <c r="E73" s="19">
        <v>0.42</v>
      </c>
      <c r="F73" s="10">
        <v>4.1</v>
      </c>
      <c r="G73" s="10">
        <v>210.0</v>
      </c>
      <c r="K73" s="17" t="str">
        <f>IFERROR(__xludf.DUMMYFUNCTION("""COMPUTED_VALUE"""),"Electronics|HomeAudio|Speakers|BluetoothSpeakers")</f>
        <v>Electronics|HomeAudio|Speakers|BluetoothSpeakers</v>
      </c>
    </row>
    <row r="74">
      <c r="A74" s="7" t="s">
        <v>97</v>
      </c>
      <c r="B74" s="7" t="s">
        <v>37</v>
      </c>
      <c r="C74" s="8">
        <v>26999.0</v>
      </c>
      <c r="D74" s="8">
        <v>42999.0</v>
      </c>
      <c r="E74" s="19">
        <v>0.37</v>
      </c>
      <c r="F74" s="10">
        <v>4.2</v>
      </c>
      <c r="G74" s="11">
        <v>45238.0</v>
      </c>
      <c r="K74" s="17" t="str">
        <f>IFERROR(__xludf.DUMMYFUNCTION("""COMPUTED_VALUE"""),"Electronics|GeneralPurposeBatteries&amp;BatteryChargers")</f>
        <v>Electronics|GeneralPurposeBatteries&amp;BatteryChargers</v>
      </c>
    </row>
    <row r="75">
      <c r="A75" s="7" t="s">
        <v>98</v>
      </c>
      <c r="B75" s="7" t="s">
        <v>15</v>
      </c>
      <c r="C75" s="8">
        <v>115.0</v>
      </c>
      <c r="D75" s="8">
        <v>499.0</v>
      </c>
      <c r="E75" s="19">
        <v>0.77</v>
      </c>
      <c r="F75" s="10">
        <v>4.0</v>
      </c>
      <c r="G75" s="11">
        <v>7732.0</v>
      </c>
      <c r="K75" s="17" t="str">
        <f>IFERROR(__xludf.DUMMYFUNCTION("""COMPUTED_VALUE"""),"OfficeProducts|OfficePaperProducts|Paper|Stationery|Notebooks,WritingPads&amp;Diaries|WireboundNotebooks")</f>
        <v>OfficeProducts|OfficePaperProducts|Paper|Stationery|Notebooks,WritingPads&amp;Diaries|WireboundNotebooks</v>
      </c>
    </row>
    <row r="76">
      <c r="A76" s="7" t="s">
        <v>99</v>
      </c>
      <c r="B76" s="7" t="s">
        <v>15</v>
      </c>
      <c r="C76" s="8">
        <v>399.0</v>
      </c>
      <c r="D76" s="8">
        <v>999.0</v>
      </c>
      <c r="E76" s="19">
        <v>0.6</v>
      </c>
      <c r="F76" s="10">
        <v>4.1</v>
      </c>
      <c r="G76" s="11">
        <v>1780.0</v>
      </c>
      <c r="K76" s="17" t="str">
        <f>IFERROR(__xludf.DUMMYFUNCTION("""COMPUTED_VALUE"""),"Electronics|GeneralPurposeBatteries&amp;BatteryChargers|RechargeableBatteries")</f>
        <v>Electronics|GeneralPurposeBatteries&amp;BatteryChargers|RechargeableBatteries</v>
      </c>
    </row>
    <row r="77">
      <c r="A77" s="7" t="s">
        <v>100</v>
      </c>
      <c r="B77" s="7" t="s">
        <v>15</v>
      </c>
      <c r="C77" s="8">
        <v>199.0</v>
      </c>
      <c r="D77" s="8">
        <v>499.0</v>
      </c>
      <c r="E77" s="19">
        <v>0.6</v>
      </c>
      <c r="F77" s="10">
        <v>4.1</v>
      </c>
      <c r="G77" s="10">
        <v>602.0</v>
      </c>
      <c r="K77" s="17" t="str">
        <f>IFERROR(__xludf.DUMMYFUNCTION("""COMPUTED_VALUE"""),"Computers&amp;Accessories|NetworkingDevices|NetworkAdapters|BluetoothAdapters")</f>
        <v>Computers&amp;Accessories|NetworkingDevices|NetworkAdapters|BluetoothAdapters</v>
      </c>
    </row>
    <row r="78">
      <c r="A78" s="7" t="s">
        <v>101</v>
      </c>
      <c r="B78" s="7" t="s">
        <v>15</v>
      </c>
      <c r="C78" s="8">
        <v>179.0</v>
      </c>
      <c r="D78" s="8">
        <v>399.0</v>
      </c>
      <c r="E78" s="19">
        <v>0.55</v>
      </c>
      <c r="F78" s="10">
        <v>4.0</v>
      </c>
      <c r="G78" s="11">
        <v>1423.0</v>
      </c>
      <c r="K78" s="17" t="str">
        <f>IFERROR(__xludf.DUMMYFUNCTION("""COMPUTED_VALUE"""),"Computers&amp;Accessories|Accessories&amp;Peripherals|Adapters|USBtoUSBAdapters")</f>
        <v>Computers&amp;Accessories|Accessories&amp;Peripherals|Adapters|USBtoUSBAdapters</v>
      </c>
    </row>
    <row r="79">
      <c r="A79" s="7" t="s">
        <v>102</v>
      </c>
      <c r="B79" s="7" t="s">
        <v>37</v>
      </c>
      <c r="C79" s="8">
        <v>10901.0</v>
      </c>
      <c r="D79" s="8">
        <v>30990.0</v>
      </c>
      <c r="E79" s="19">
        <v>0.65</v>
      </c>
      <c r="F79" s="10">
        <v>4.1</v>
      </c>
      <c r="G79" s="10">
        <v>398.0</v>
      </c>
      <c r="K79" s="17" t="str">
        <f>IFERROR(__xludf.DUMMYFUNCTION("""COMPUTED_VALUE"""),"Electronics|Cameras&amp;Photography|Accessories|Tripods&amp;Monopods|CompleteTripodUnits")</f>
        <v>Electronics|Cameras&amp;Photography|Accessories|Tripods&amp;Monopods|CompleteTripodUnits</v>
      </c>
    </row>
    <row r="80">
      <c r="A80" s="7" t="s">
        <v>103</v>
      </c>
      <c r="B80" s="7" t="s">
        <v>15</v>
      </c>
      <c r="C80" s="8">
        <v>209.0</v>
      </c>
      <c r="D80" s="8">
        <v>499.0</v>
      </c>
      <c r="E80" s="19">
        <v>0.58</v>
      </c>
      <c r="F80" s="10">
        <v>3.9</v>
      </c>
      <c r="G80" s="10">
        <v>536.0</v>
      </c>
      <c r="K80" s="17" t="str">
        <f>IFERROR(__xludf.DUMMYFUNCTION("""COMPUTED_VALUE"""),"OfficeProducts|OfficePaperProducts|Paper|Stationery|Notebooks,WritingPads&amp;Diaries|Notepads&amp;MemoBooks")</f>
        <v>OfficeProducts|OfficePaperProducts|Paper|Stationery|Notebooks,WritingPads&amp;Diaries|Notepads&amp;MemoBooks</v>
      </c>
    </row>
    <row r="81">
      <c r="A81" s="7" t="s">
        <v>104</v>
      </c>
      <c r="B81" s="7" t="s">
        <v>71</v>
      </c>
      <c r="C81" s="8">
        <v>1434.0</v>
      </c>
      <c r="D81" s="8">
        <v>3999.0</v>
      </c>
      <c r="E81" s="19">
        <v>0.64</v>
      </c>
      <c r="F81" s="10">
        <v>4.0</v>
      </c>
      <c r="G81" s="10">
        <v>32.0</v>
      </c>
      <c r="K81" s="17" t="str">
        <f>IFERROR(__xludf.DUMMYFUNCTION("""COMPUTED_VALUE"""),"Electronics|Cameras&amp;Photography|Accessories|Film")</f>
        <v>Electronics|Cameras&amp;Photography|Accessories|Film</v>
      </c>
    </row>
    <row r="82">
      <c r="A82" s="7" t="s">
        <v>105</v>
      </c>
      <c r="B82" s="7" t="s">
        <v>15</v>
      </c>
      <c r="C82" s="8">
        <v>399.0</v>
      </c>
      <c r="D82" s="8">
        <v>1099.0</v>
      </c>
      <c r="E82" s="19">
        <v>0.64</v>
      </c>
      <c r="F82" s="10">
        <v>4.2</v>
      </c>
      <c r="G82" s="11">
        <v>24269.0</v>
      </c>
      <c r="K82" s="17" t="str">
        <f>IFERROR(__xludf.DUMMYFUNCTION("""COMPUTED_VALUE"""),"Computers&amp;Accessories|Monitors")</f>
        <v>Computers&amp;Accessories|Monitors</v>
      </c>
    </row>
    <row r="83">
      <c r="A83" s="7" t="s">
        <v>106</v>
      </c>
      <c r="B83" s="7" t="s">
        <v>15</v>
      </c>
      <c r="C83" s="8">
        <v>139.0</v>
      </c>
      <c r="D83" s="8">
        <v>249.0</v>
      </c>
      <c r="E83" s="19">
        <v>0.44</v>
      </c>
      <c r="F83" s="10">
        <v>4.0</v>
      </c>
      <c r="G83" s="11">
        <v>9378.0</v>
      </c>
      <c r="K83" s="17" t="str">
        <f>IFERROR(__xludf.DUMMYFUNCTION("""COMPUTED_VALUE"""),"Computers&amp;Accessories|Accessories&amp;Peripherals|USBGadgets|Lamps")</f>
        <v>Computers&amp;Accessories|Accessories&amp;Peripherals|USBGadgets|Lamps</v>
      </c>
    </row>
    <row r="84">
      <c r="A84" s="7" t="s">
        <v>107</v>
      </c>
      <c r="B84" s="7" t="s">
        <v>37</v>
      </c>
      <c r="C84" s="8">
        <v>7299.0</v>
      </c>
      <c r="D84" s="8">
        <v>19125.0</v>
      </c>
      <c r="E84" s="19">
        <v>0.62</v>
      </c>
      <c r="F84" s="10">
        <v>3.4</v>
      </c>
      <c r="G84" s="10">
        <v>902.0</v>
      </c>
      <c r="K84" s="17" t="str">
        <f>IFERROR(__xludf.DUMMYFUNCTION("""COMPUTED_VALUE"""),"Electronics|Cameras&amp;Photography|Accessories|Cleaners|CleaningKits")</f>
        <v>Electronics|Cameras&amp;Photography|Accessories|Cleaners|CleaningKits</v>
      </c>
    </row>
    <row r="85">
      <c r="A85" s="7" t="s">
        <v>108</v>
      </c>
      <c r="B85" s="7" t="s">
        <v>15</v>
      </c>
      <c r="C85" s="8">
        <v>299.0</v>
      </c>
      <c r="D85" s="8">
        <v>799.0</v>
      </c>
      <c r="E85" s="19">
        <v>0.63</v>
      </c>
      <c r="F85" s="10">
        <v>4.4</v>
      </c>
      <c r="G85" s="11">
        <v>28791.0</v>
      </c>
      <c r="K85" s="17" t="str">
        <f>IFERROR(__xludf.DUMMYFUNCTION("""COMPUTED_VALUE"""),"Electronics|Cameras&amp;Photography|SecurityCameras|DomeCameras")</f>
        <v>Electronics|Cameras&amp;Photography|SecurityCameras|DomeCameras</v>
      </c>
    </row>
    <row r="86">
      <c r="A86" s="7" t="s">
        <v>109</v>
      </c>
      <c r="B86" s="7" t="s">
        <v>15</v>
      </c>
      <c r="C86" s="8">
        <v>325.0</v>
      </c>
      <c r="D86" s="8">
        <v>1299.0</v>
      </c>
      <c r="E86" s="19">
        <v>0.75</v>
      </c>
      <c r="F86" s="10">
        <v>4.2</v>
      </c>
      <c r="G86" s="11">
        <v>10576.0</v>
      </c>
      <c r="K86" s="17" t="str">
        <f>IFERROR(__xludf.DUMMYFUNCTION("""COMPUTED_VALUE"""),"Computers&amp;Accessories|Accessories&amp;Peripherals|TabletAccessories|ScreenProtectors")</f>
        <v>Computers&amp;Accessories|Accessories&amp;Peripherals|TabletAccessories|ScreenProtectors</v>
      </c>
    </row>
    <row r="87">
      <c r="A87" s="7" t="s">
        <v>110</v>
      </c>
      <c r="B87" s="7" t="s">
        <v>37</v>
      </c>
      <c r="C87" s="8">
        <v>29999.0</v>
      </c>
      <c r="D87" s="8">
        <v>39999.0</v>
      </c>
      <c r="E87" s="19">
        <v>0.25</v>
      </c>
      <c r="F87" s="10">
        <v>4.2</v>
      </c>
      <c r="G87" s="11">
        <v>7298.0</v>
      </c>
      <c r="K87" s="17" t="str">
        <f>IFERROR(__xludf.DUMMYFUNCTION("""COMPUTED_VALUE"""),"Computers&amp;Accessories|Accessories&amp;Peripherals|PCGamingPeripherals|Gamepads")</f>
        <v>Computers&amp;Accessories|Accessories&amp;Peripherals|PCGamingPeripherals|Gamepads</v>
      </c>
    </row>
    <row r="88">
      <c r="A88" s="7" t="s">
        <v>111</v>
      </c>
      <c r="B88" s="7" t="s">
        <v>37</v>
      </c>
      <c r="C88" s="8">
        <v>27999.0</v>
      </c>
      <c r="D88" s="8">
        <v>40990.0</v>
      </c>
      <c r="E88" s="19">
        <v>0.32</v>
      </c>
      <c r="F88" s="10">
        <v>4.3</v>
      </c>
      <c r="G88" s="11">
        <v>4703.0</v>
      </c>
      <c r="K88" s="17" t="str">
        <f>IFERROR(__xludf.DUMMYFUNCTION("""COMPUTED_VALUE"""),"OfficeProducts|OfficeElectronics|Calculators|Basic")</f>
        <v>OfficeProducts|OfficeElectronics|Calculators|Basic</v>
      </c>
    </row>
    <row r="89">
      <c r="A89" s="7" t="s">
        <v>112</v>
      </c>
      <c r="B89" s="7" t="s">
        <v>37</v>
      </c>
      <c r="C89" s="8">
        <v>30990.0</v>
      </c>
      <c r="D89" s="8">
        <v>52900.0</v>
      </c>
      <c r="E89" s="19">
        <v>0.41</v>
      </c>
      <c r="F89" s="10">
        <v>4.3</v>
      </c>
      <c r="G89" s="11">
        <v>7109.0</v>
      </c>
      <c r="K89" s="17" t="str">
        <f>IFERROR(__xludf.DUMMYFUNCTION("""COMPUTED_VALUE"""),"Computers&amp;Accessories|Accessories&amp;Peripherals|USBHubs")</f>
        <v>Computers&amp;Accessories|Accessories&amp;Peripherals|USBHubs</v>
      </c>
    </row>
    <row r="90">
      <c r="A90" s="7" t="s">
        <v>113</v>
      </c>
      <c r="B90" s="7" t="s">
        <v>15</v>
      </c>
      <c r="C90" s="8">
        <v>199.0</v>
      </c>
      <c r="D90" s="8">
        <v>999.0</v>
      </c>
      <c r="E90" s="19">
        <v>0.8</v>
      </c>
      <c r="F90" s="10">
        <v>4.5</v>
      </c>
      <c r="G90" s="10">
        <v>127.0</v>
      </c>
      <c r="K90" s="17" t="str">
        <f>IFERROR(__xludf.DUMMYFUNCTION("""COMPUTED_VALUE"""),"Computers&amp;Accessories|Accessories&amp;Peripherals|Audio&amp;VideoAccessories|PCMicrophones")</f>
        <v>Computers&amp;Accessories|Accessories&amp;Peripherals|Audio&amp;VideoAccessories|PCMicrophones</v>
      </c>
    </row>
    <row r="91">
      <c r="A91" s="7" t="s">
        <v>114</v>
      </c>
      <c r="B91" s="7" t="s">
        <v>15</v>
      </c>
      <c r="C91" s="8">
        <v>649.0</v>
      </c>
      <c r="D91" s="8">
        <v>1999.0</v>
      </c>
      <c r="E91" s="19">
        <v>0.68</v>
      </c>
      <c r="F91" s="10">
        <v>4.2</v>
      </c>
      <c r="G91" s="11">
        <v>24269.0</v>
      </c>
      <c r="K91" s="17" t="str">
        <f>IFERROR(__xludf.DUMMYFUNCTION("""COMPUTED_VALUE"""),"Electronics|HomeAudio|Speakers|OutdoorSpeakers")</f>
        <v>Electronics|HomeAudio|Speakers|OutdoorSpeakers</v>
      </c>
    </row>
    <row r="92">
      <c r="A92" s="7" t="s">
        <v>115</v>
      </c>
      <c r="B92" s="7" t="s">
        <v>25</v>
      </c>
      <c r="C92" s="8">
        <v>269.0</v>
      </c>
      <c r="D92" s="8">
        <v>800.0</v>
      </c>
      <c r="E92" s="19">
        <v>0.66</v>
      </c>
      <c r="F92" s="10">
        <v>3.6</v>
      </c>
      <c r="G92" s="11">
        <v>10134.0</v>
      </c>
      <c r="K92" s="17" t="str">
        <f>IFERROR(__xludf.DUMMYFUNCTION("""COMPUTED_VALUE"""),"Computers&amp;Accessories|Accessories&amp;Peripherals|LaptopAccessories|Bags&amp;Sleeves|LaptopSleeves&amp;Slipcases")</f>
        <v>Computers&amp;Accessories|Accessories&amp;Peripherals|LaptopAccessories|Bags&amp;Sleeves|LaptopSleeves&amp;Slipcases</v>
      </c>
    </row>
    <row r="93">
      <c r="A93" s="7" t="s">
        <v>116</v>
      </c>
      <c r="B93" s="7" t="s">
        <v>37</v>
      </c>
      <c r="C93" s="8">
        <v>24999.0</v>
      </c>
      <c r="D93" s="8">
        <v>31999.0</v>
      </c>
      <c r="E93" s="19">
        <v>0.22</v>
      </c>
      <c r="F93" s="10">
        <v>4.2</v>
      </c>
      <c r="G93" s="11">
        <v>34899.0</v>
      </c>
      <c r="K93" s="17" t="str">
        <f>IFERROR(__xludf.DUMMYFUNCTION("""COMPUTED_VALUE"""),"Computers&amp;Accessories|ExternalDevices&amp;DataStorage|ExternalMemoryCardReaders")</f>
        <v>Computers&amp;Accessories|ExternalDevices&amp;DataStorage|ExternalMemoryCardReaders</v>
      </c>
    </row>
    <row r="94">
      <c r="A94" s="7" t="s">
        <v>117</v>
      </c>
      <c r="B94" s="7" t="s">
        <v>15</v>
      </c>
      <c r="C94" s="8">
        <v>299.0</v>
      </c>
      <c r="D94" s="8">
        <v>699.0</v>
      </c>
      <c r="E94" s="19">
        <v>0.57</v>
      </c>
      <c r="F94" s="10">
        <v>4.2</v>
      </c>
      <c r="G94" s="11">
        <v>94363.0</v>
      </c>
      <c r="K94" s="17" t="str">
        <f>IFERROR(__xludf.DUMMYFUNCTION("""COMPUTED_VALUE"""),"OfficeProducts|OfficePaperProducts|Paper|Stationery|Pens,Pencils&amp;WritingSupplies|Pens&amp;Refills|BottledInk")</f>
        <v>OfficeProducts|OfficePaperProducts|Paper|Stationery|Pens,Pencils&amp;WritingSupplies|Pens&amp;Refills|BottledInk</v>
      </c>
    </row>
    <row r="95">
      <c r="A95" s="7" t="s">
        <v>118</v>
      </c>
      <c r="B95" s="7" t="s">
        <v>15</v>
      </c>
      <c r="C95" s="8">
        <v>199.0</v>
      </c>
      <c r="D95" s="8">
        <v>999.0</v>
      </c>
      <c r="E95" s="19">
        <v>0.8</v>
      </c>
      <c r="F95" s="10">
        <v>4.1</v>
      </c>
      <c r="G95" s="10">
        <v>425.0</v>
      </c>
      <c r="K95" s="17" t="str">
        <f>IFERROR(__xludf.DUMMYFUNCTION("""COMPUTED_VALUE"""),"OfficeProducts|OfficePaperProducts|Paper|Stationery|Notebooks,WritingPads&amp;Diaries|CompositionNotebooks")</f>
        <v>OfficeProducts|OfficePaperProducts|Paper|Stationery|Notebooks,WritingPads&amp;Diaries|CompositionNotebooks</v>
      </c>
    </row>
    <row r="96">
      <c r="A96" s="7" t="s">
        <v>119</v>
      </c>
      <c r="B96" s="7" t="s">
        <v>37</v>
      </c>
      <c r="C96" s="8">
        <v>18990.0</v>
      </c>
      <c r="D96" s="8">
        <v>40990.0</v>
      </c>
      <c r="E96" s="19">
        <v>0.54</v>
      </c>
      <c r="F96" s="10">
        <v>4.2</v>
      </c>
      <c r="G96" s="11">
        <v>6659.0</v>
      </c>
      <c r="K96" s="17" t="str">
        <f>IFERROR(__xludf.DUMMYFUNCTION("""COMPUTED_VALUE"""),"OfficeProducts|OfficePaperProducts|Paper|Stationery|Pens,Pencils&amp;WritingSupplies|Pens&amp;Refills|RetractableBallpointPens")</f>
        <v>OfficeProducts|OfficePaperProducts|Paper|Stationery|Pens,Pencils&amp;WritingSupplies|Pens&amp;Refills|RetractableBallpointPens</v>
      </c>
    </row>
    <row r="97">
      <c r="A97" s="7" t="s">
        <v>120</v>
      </c>
      <c r="B97" s="7" t="s">
        <v>25</v>
      </c>
      <c r="C97" s="8">
        <v>290.0</v>
      </c>
      <c r="D97" s="8">
        <v>349.0</v>
      </c>
      <c r="E97" s="19">
        <v>0.17</v>
      </c>
      <c r="F97" s="10">
        <v>3.7</v>
      </c>
      <c r="G97" s="11">
        <v>1977.0</v>
      </c>
      <c r="K97" s="17" t="str">
        <f>IFERROR(__xludf.DUMMYFUNCTION("""COMPUTED_VALUE"""),"Computers&amp;Accessories|Accessories&amp;Peripherals|Cables&amp;Accessories|Cables|EthernetCables")</f>
        <v>Computers&amp;Accessories|Accessories&amp;Peripherals|Cables&amp;Accessories|Cables|EthernetCables</v>
      </c>
    </row>
    <row r="98">
      <c r="A98" s="7" t="s">
        <v>121</v>
      </c>
      <c r="B98" s="7" t="s">
        <v>71</v>
      </c>
      <c r="C98" s="8">
        <v>249.0</v>
      </c>
      <c r="D98" s="8">
        <v>799.0</v>
      </c>
      <c r="E98" s="19">
        <v>0.69</v>
      </c>
      <c r="F98" s="10">
        <v>3.8</v>
      </c>
      <c r="G98" s="11">
        <v>1079.0</v>
      </c>
      <c r="K98" s="17" t="str">
        <f>IFERROR(__xludf.DUMMYFUNCTION("""COMPUTED_VALUE"""),"Computers&amp;Accessories|Components|Memory")</f>
        <v>Computers&amp;Accessories|Components|Memory</v>
      </c>
    </row>
    <row r="99">
      <c r="A99" s="7" t="s">
        <v>122</v>
      </c>
      <c r="B99" s="7" t="s">
        <v>15</v>
      </c>
      <c r="C99" s="8">
        <v>345.0</v>
      </c>
      <c r="D99" s="8">
        <v>999.0</v>
      </c>
      <c r="E99" s="19">
        <v>0.65</v>
      </c>
      <c r="F99" s="10">
        <v>3.7</v>
      </c>
      <c r="G99" s="11">
        <v>1097.0</v>
      </c>
      <c r="K99" s="17" t="str">
        <f>IFERROR(__xludf.DUMMYFUNCTION("""COMPUTED_VALUE"""),"Computers&amp;Accessories|Accessories&amp;Peripherals|UninterruptedPowerSupplies")</f>
        <v>Computers&amp;Accessories|Accessories&amp;Peripherals|UninterruptedPowerSupplies</v>
      </c>
    </row>
    <row r="100">
      <c r="A100" s="7" t="s">
        <v>123</v>
      </c>
      <c r="B100" s="7" t="s">
        <v>25</v>
      </c>
      <c r="C100" s="8">
        <v>1099.0</v>
      </c>
      <c r="D100" s="8">
        <v>1899.0</v>
      </c>
      <c r="E100" s="19">
        <v>0.42</v>
      </c>
      <c r="F100" s="10">
        <v>4.5</v>
      </c>
      <c r="G100" s="11">
        <v>22420.0</v>
      </c>
      <c r="K100" s="17" t="str">
        <f>IFERROR(__xludf.DUMMYFUNCTION("""COMPUTED_VALUE"""),"Electronics|Headphones,Earbuds&amp;Accessories|Cases")</f>
        <v>Electronics|Headphones,Earbuds&amp;Accessories|Cases</v>
      </c>
    </row>
    <row r="101">
      <c r="A101" s="7" t="s">
        <v>124</v>
      </c>
      <c r="B101" s="7" t="s">
        <v>15</v>
      </c>
      <c r="C101" s="8">
        <v>719.0</v>
      </c>
      <c r="D101" s="8">
        <v>1499.0</v>
      </c>
      <c r="E101" s="19">
        <v>0.52</v>
      </c>
      <c r="F101" s="10">
        <v>4.1</v>
      </c>
      <c r="G101" s="11">
        <v>1045.0</v>
      </c>
      <c r="K101" s="17" t="str">
        <f>IFERROR(__xludf.DUMMYFUNCTION("""COMPUTED_VALUE"""),"Electronics|Accessories|MemoryCards|SecureDigitalCards")</f>
        <v>Electronics|Accessories|MemoryCards|SecureDigitalCards</v>
      </c>
    </row>
    <row r="102">
      <c r="A102" s="7" t="s">
        <v>125</v>
      </c>
      <c r="B102" s="7" t="s">
        <v>71</v>
      </c>
      <c r="C102" s="8">
        <v>349.0</v>
      </c>
      <c r="D102" s="8">
        <v>1499.0</v>
      </c>
      <c r="E102" s="19">
        <v>0.77</v>
      </c>
      <c r="F102" s="10">
        <v>4.3</v>
      </c>
      <c r="G102" s="11">
        <v>4145.0</v>
      </c>
      <c r="K102" s="17" t="str">
        <f>IFERROR(__xludf.DUMMYFUNCTION("""COMPUTED_VALUE"""),"Electronics|Mobiles&amp;Accessories|MobileAccessories|Photo&amp;VideoAccessories|Flashes&amp;SelfieLights|SelfieLights")</f>
        <v>Electronics|Mobiles&amp;Accessories|MobileAccessories|Photo&amp;VideoAccessories|Flashes&amp;SelfieLights|SelfieLights</v>
      </c>
    </row>
    <row r="103">
      <c r="A103" s="7" t="s">
        <v>126</v>
      </c>
      <c r="B103" s="7" t="s">
        <v>15</v>
      </c>
      <c r="C103" s="8">
        <v>849.0</v>
      </c>
      <c r="D103" s="8">
        <v>1809.0</v>
      </c>
      <c r="E103" s="19">
        <v>0.53</v>
      </c>
      <c r="F103" s="10">
        <v>4.3</v>
      </c>
      <c r="G103" s="11">
        <v>6547.0</v>
      </c>
      <c r="K103" s="17" t="str">
        <f>IFERROR(__xludf.DUMMYFUNCTION("""COMPUTED_VALUE"""),"Computers&amp;Accessories|Accessories&amp;Peripherals|Audio&amp;VideoAccessories|Webcams&amp;VoIPEquipment|Webcams")</f>
        <v>Computers&amp;Accessories|Accessories&amp;Peripherals|Audio&amp;VideoAccessories|Webcams&amp;VoIPEquipment|Webcams</v>
      </c>
    </row>
    <row r="104">
      <c r="A104" s="7" t="s">
        <v>127</v>
      </c>
      <c r="B104" s="7" t="s">
        <v>71</v>
      </c>
      <c r="C104" s="8">
        <v>299.0</v>
      </c>
      <c r="D104" s="8">
        <v>899.0</v>
      </c>
      <c r="E104" s="19">
        <v>0.67</v>
      </c>
      <c r="F104" s="10">
        <v>4.0</v>
      </c>
      <c r="G104" s="11">
        <v>1588.0</v>
      </c>
      <c r="K104" s="17" t="str">
        <f>IFERROR(__xludf.DUMMYFUNCTION("""COMPUTED_VALUE"""),"Computers&amp;Accessories|Accessories&amp;Peripherals|LaptopAccessories|CoolingPads")</f>
        <v>Computers&amp;Accessories|Accessories&amp;Peripherals|LaptopAccessories|CoolingPads</v>
      </c>
    </row>
    <row r="105">
      <c r="A105" s="7" t="s">
        <v>128</v>
      </c>
      <c r="B105" s="7" t="s">
        <v>37</v>
      </c>
      <c r="C105" s="8">
        <v>21999.0</v>
      </c>
      <c r="D105" s="8">
        <v>29999.0</v>
      </c>
      <c r="E105" s="19">
        <v>0.27</v>
      </c>
      <c r="F105" s="10">
        <v>4.2</v>
      </c>
      <c r="G105" s="11">
        <v>32840.0</v>
      </c>
      <c r="K105" s="17" t="str">
        <f>IFERROR(__xludf.DUMMYFUNCTION("""COMPUTED_VALUE"""),"Computers&amp;Accessories|Accessories&amp;Peripherals|LaptopAccessories")</f>
        <v>Computers&amp;Accessories|Accessories&amp;Peripherals|LaptopAccessories</v>
      </c>
    </row>
    <row r="106">
      <c r="A106" s="7" t="s">
        <v>129</v>
      </c>
      <c r="B106" s="7" t="s">
        <v>15</v>
      </c>
      <c r="C106" s="8">
        <v>349.0</v>
      </c>
      <c r="D106" s="8">
        <v>999.0</v>
      </c>
      <c r="E106" s="19">
        <v>0.65</v>
      </c>
      <c r="F106" s="10">
        <v>4.2</v>
      </c>
      <c r="G106" s="11">
        <v>13120.0</v>
      </c>
      <c r="K106" s="17" t="str">
        <f>IFERROR(__xludf.DUMMYFUNCTION("""COMPUTED_VALUE"""),"Computers&amp;Accessories|Accessories&amp;Peripherals|TabletAccessories|Stands")</f>
        <v>Computers&amp;Accessories|Accessories&amp;Peripherals|TabletAccessories|Stands</v>
      </c>
    </row>
    <row r="107">
      <c r="A107" s="7" t="s">
        <v>130</v>
      </c>
      <c r="B107" s="7" t="s">
        <v>15</v>
      </c>
      <c r="C107" s="8">
        <v>399.0</v>
      </c>
      <c r="D107" s="8">
        <v>999.0</v>
      </c>
      <c r="E107" s="19">
        <v>0.6</v>
      </c>
      <c r="F107" s="10">
        <v>4.3</v>
      </c>
      <c r="G107" s="11">
        <v>2806.0</v>
      </c>
      <c r="K107" s="17" t="str">
        <f>IFERROR(__xludf.DUMMYFUNCTION("""COMPUTED_VALUE"""),"HomeImprovement|Electrical|Adapters&amp;Multi-Outlets")</f>
        <v>HomeImprovement|Electrical|Adapters&amp;Multi-Outlets</v>
      </c>
    </row>
    <row r="108">
      <c r="A108" s="7" t="s">
        <v>131</v>
      </c>
      <c r="B108" s="7" t="s">
        <v>15</v>
      </c>
      <c r="C108" s="8">
        <v>449.0</v>
      </c>
      <c r="D108" s="8">
        <v>1299.0</v>
      </c>
      <c r="E108" s="19">
        <v>0.65</v>
      </c>
      <c r="F108" s="10">
        <v>4.2</v>
      </c>
      <c r="G108" s="11">
        <v>24269.0</v>
      </c>
      <c r="K108" s="17" t="str">
        <f>IFERROR(__xludf.DUMMYFUNCTION("""COMPUTED_VALUE"""),"OfficeProducts|OfficePaperProducts|Paper|Copy&amp;PrintingPaper|ColouredPaper")</f>
        <v>OfficeProducts|OfficePaperProducts|Paper|Copy&amp;PrintingPaper|ColouredPaper</v>
      </c>
    </row>
    <row r="109">
      <c r="A109" s="7" t="s">
        <v>132</v>
      </c>
      <c r="B109" s="7" t="s">
        <v>15</v>
      </c>
      <c r="C109" s="8">
        <v>299.0</v>
      </c>
      <c r="D109" s="8">
        <v>999.0</v>
      </c>
      <c r="E109" s="19">
        <v>0.7</v>
      </c>
      <c r="F109" s="10">
        <v>4.3</v>
      </c>
      <c r="G109" s="10">
        <v>766.0</v>
      </c>
      <c r="K109" s="17" t="str">
        <f>IFERROR(__xludf.DUMMYFUNCTION("""COMPUTED_VALUE"""),"Computers&amp;Accessories|Components|InternalSolidStateDrives")</f>
        <v>Computers&amp;Accessories|Components|InternalSolidStateDrives</v>
      </c>
    </row>
    <row r="110">
      <c r="A110" s="7" t="s">
        <v>133</v>
      </c>
      <c r="B110" s="7" t="s">
        <v>37</v>
      </c>
      <c r="C110" s="8">
        <v>37999.0</v>
      </c>
      <c r="D110" s="8">
        <v>65000.0</v>
      </c>
      <c r="E110" s="19">
        <v>0.42</v>
      </c>
      <c r="F110" s="10">
        <v>4.3</v>
      </c>
      <c r="G110" s="11">
        <v>3587.0</v>
      </c>
      <c r="K110" s="17" t="str">
        <f>IFERROR(__xludf.DUMMYFUNCTION("""COMPUTED_VALUE"""),"Electronics|HomeAudio|Speakers|MultimediaSpeakerSystems")</f>
        <v>Electronics|HomeAudio|Speakers|MultimediaSpeakerSystems</v>
      </c>
    </row>
    <row r="111">
      <c r="A111" s="7" t="s">
        <v>134</v>
      </c>
      <c r="B111" s="7" t="s">
        <v>15</v>
      </c>
      <c r="C111" s="8">
        <v>99.0</v>
      </c>
      <c r="D111" s="8">
        <v>800.0</v>
      </c>
      <c r="E111" s="19">
        <v>0.88</v>
      </c>
      <c r="F111" s="10">
        <v>3.9</v>
      </c>
      <c r="G111" s="11">
        <v>24871.0</v>
      </c>
      <c r="K111" s="17" t="str">
        <f>IFERROR(__xludf.DUMMYFUNCTION("""COMPUTED_VALUE"""),"Computers&amp;Accessories|NetworkingDevices|DataCards&amp;Dongles")</f>
        <v>Computers&amp;Accessories|NetworkingDevices|DataCards&amp;Dongles</v>
      </c>
    </row>
    <row r="112">
      <c r="A112" s="7" t="s">
        <v>135</v>
      </c>
      <c r="B112" s="7" t="s">
        <v>77</v>
      </c>
      <c r="C112" s="8">
        <v>7390.0</v>
      </c>
      <c r="D112" s="8">
        <v>20000.0</v>
      </c>
      <c r="E112" s="19">
        <v>0.63</v>
      </c>
      <c r="F112" s="10">
        <v>4.1</v>
      </c>
      <c r="G112" s="11">
        <v>2581.0</v>
      </c>
      <c r="K112" s="17" t="str">
        <f>IFERROR(__xludf.DUMMYFUNCTION("""COMPUTED_VALUE"""),"Computers&amp;Accessories|Accessories&amp;Peripherals|LaptopAccessories|LaptopChargers&amp;PowerSupplies")</f>
        <v>Computers&amp;Accessories|Accessories&amp;Peripherals|LaptopAccessories|LaptopChargers&amp;PowerSupplies</v>
      </c>
    </row>
    <row r="113">
      <c r="A113" s="7" t="s">
        <v>136</v>
      </c>
      <c r="B113" s="7" t="s">
        <v>15</v>
      </c>
      <c r="C113" s="8">
        <v>273.1</v>
      </c>
      <c r="D113" s="8">
        <v>999.0</v>
      </c>
      <c r="E113" s="19">
        <v>0.73</v>
      </c>
      <c r="F113" s="10">
        <v>4.3</v>
      </c>
      <c r="G113" s="11">
        <v>20850.0</v>
      </c>
      <c r="K113" s="17" t="str">
        <f>IFERROR(__xludf.DUMMYFUNCTION("""COMPUTED_VALUE"""),"Computers&amp;Accessories|Accessories&amp;Peripherals|Audio&amp;VideoAccessories|PCSpeakers")</f>
        <v>Computers&amp;Accessories|Accessories&amp;Peripherals|Audio&amp;VideoAccessories|PCSpeakers</v>
      </c>
    </row>
    <row r="114">
      <c r="A114" s="7" t="s">
        <v>137</v>
      </c>
      <c r="B114" s="7" t="s">
        <v>37</v>
      </c>
      <c r="C114" s="8">
        <v>15990.0</v>
      </c>
      <c r="D114" s="8">
        <v>23990.0</v>
      </c>
      <c r="E114" s="19">
        <v>0.33</v>
      </c>
      <c r="F114" s="10">
        <v>4.3</v>
      </c>
      <c r="G114" s="11">
        <v>1035.0</v>
      </c>
      <c r="K114" s="17" t="str">
        <f>IFERROR(__xludf.DUMMYFUNCTION("""COMPUTED_VALUE"""),"Electronics|Cameras&amp;Photography|Accessories|Batteries&amp;Chargers|BatteryChargers")</f>
        <v>Electronics|Cameras&amp;Photography|Accessories|Batteries&amp;Chargers|BatteryChargers</v>
      </c>
    </row>
    <row r="115">
      <c r="A115" s="7" t="s">
        <v>138</v>
      </c>
      <c r="B115" s="7" t="s">
        <v>15</v>
      </c>
      <c r="C115" s="8">
        <v>399.0</v>
      </c>
      <c r="D115" s="8">
        <v>999.0</v>
      </c>
      <c r="E115" s="19">
        <v>0.6</v>
      </c>
      <c r="F115" s="10">
        <v>4.1</v>
      </c>
      <c r="G115" s="11">
        <v>1780.0</v>
      </c>
      <c r="K115" s="17" t="str">
        <f>IFERROR(__xludf.DUMMYFUNCTION("""COMPUTED_VALUE"""),"Computers&amp;Accessories|Accessories&amp;Peripherals|TabletAccessories|Bags,Cases&amp;Sleeves|Cases")</f>
        <v>Computers&amp;Accessories|Accessories&amp;Peripherals|TabletAccessories|Bags,Cases&amp;Sleeves|Cases</v>
      </c>
    </row>
    <row r="116">
      <c r="A116" s="7" t="s">
        <v>139</v>
      </c>
      <c r="B116" s="7" t="s">
        <v>71</v>
      </c>
      <c r="C116" s="8">
        <v>399.0</v>
      </c>
      <c r="D116" s="8">
        <v>1999.0</v>
      </c>
      <c r="E116" s="19">
        <v>0.8</v>
      </c>
      <c r="F116" s="10">
        <v>4.5</v>
      </c>
      <c r="G116" s="10">
        <v>505.0</v>
      </c>
      <c r="K116" s="17" t="str">
        <f>IFERROR(__xludf.DUMMYFUNCTION("""COMPUTED_VALUE"""),"OfficeProducts|OfficePaperProducts|Paper|Stationery|Pens,Pencils&amp;WritingSupplies|Pens&amp;Refills|StickBallpointPens")</f>
        <v>OfficeProducts|OfficePaperProducts|Paper|Stationery|Pens,Pencils&amp;WritingSupplies|Pens&amp;Refills|StickBallpointPens</v>
      </c>
    </row>
    <row r="117">
      <c r="A117" s="7" t="s">
        <v>140</v>
      </c>
      <c r="B117" s="7" t="s">
        <v>15</v>
      </c>
      <c r="C117" s="8">
        <v>210.0</v>
      </c>
      <c r="D117" s="8">
        <v>399.0</v>
      </c>
      <c r="E117" s="19">
        <v>0.47</v>
      </c>
      <c r="F117" s="10">
        <v>4.1</v>
      </c>
      <c r="G117" s="11">
        <v>1717.0</v>
      </c>
      <c r="K117" s="17" t="str">
        <f>IFERROR(__xludf.DUMMYFUNCTION("""COMPUTED_VALUE"""),"Home&amp;Kitchen|CraftMaterials|DrawingMaterials|DrawingMedia|Pencils|WoodenPencils")</f>
        <v>Home&amp;Kitchen|CraftMaterials|DrawingMaterials|DrawingMedia|Pencils|WoodenPencils</v>
      </c>
    </row>
    <row r="118">
      <c r="A118" s="7" t="s">
        <v>141</v>
      </c>
      <c r="B118" s="7" t="s">
        <v>71</v>
      </c>
      <c r="C118" s="8">
        <v>1299.0</v>
      </c>
      <c r="D118" s="8">
        <v>1999.0</v>
      </c>
      <c r="E118" s="19">
        <v>0.35</v>
      </c>
      <c r="F118" s="10">
        <v>3.6</v>
      </c>
      <c r="G118" s="10">
        <v>590.0</v>
      </c>
      <c r="K118" s="17" t="str">
        <f>IFERROR(__xludf.DUMMYFUNCTION("""COMPUTED_VALUE"""),"Computers&amp;Accessories|Components|InternalHardDrives")</f>
        <v>Computers&amp;Accessories|Components|InternalHardDrives</v>
      </c>
    </row>
    <row r="119">
      <c r="A119" s="7" t="s">
        <v>142</v>
      </c>
      <c r="B119" s="7" t="s">
        <v>15</v>
      </c>
      <c r="C119" s="8">
        <v>347.0</v>
      </c>
      <c r="D119" s="8">
        <v>999.0</v>
      </c>
      <c r="E119" s="19">
        <v>0.65</v>
      </c>
      <c r="F119" s="10">
        <v>3.5</v>
      </c>
      <c r="G119" s="11">
        <v>1121.0</v>
      </c>
      <c r="K119" s="17" t="str">
        <f>IFERROR(__xludf.DUMMYFUNCTION("""COMPUTED_VALUE"""),"Computers&amp;Accessories|Printers,Inks&amp;Accessories|Printers")</f>
        <v>Computers&amp;Accessories|Printers,Inks&amp;Accessories|Printers</v>
      </c>
    </row>
    <row r="120">
      <c r="A120" s="7" t="s">
        <v>143</v>
      </c>
      <c r="B120" s="7" t="s">
        <v>15</v>
      </c>
      <c r="C120" s="8">
        <v>149.0</v>
      </c>
      <c r="D120" s="8">
        <v>999.0</v>
      </c>
      <c r="E120" s="19">
        <v>0.85</v>
      </c>
      <c r="F120" s="10">
        <v>4.0</v>
      </c>
      <c r="G120" s="11">
        <v>1313.0</v>
      </c>
      <c r="K120" s="17" t="str">
        <f>IFERROR(__xludf.DUMMYFUNCTION("""COMPUTED_VALUE"""),"Home&amp;Kitchen|CraftMaterials|DrawingMaterials|DrawingMedia|Pens")</f>
        <v>Home&amp;Kitchen|CraftMaterials|DrawingMaterials|DrawingMedia|Pens</v>
      </c>
    </row>
    <row r="121">
      <c r="A121" s="7" t="s">
        <v>144</v>
      </c>
      <c r="B121" s="7" t="s">
        <v>15</v>
      </c>
      <c r="C121" s="8">
        <v>228.0</v>
      </c>
      <c r="D121" s="8">
        <v>899.0</v>
      </c>
      <c r="E121" s="19">
        <v>0.75</v>
      </c>
      <c r="F121" s="10">
        <v>3.8</v>
      </c>
      <c r="G121" s="10">
        <v>132.0</v>
      </c>
      <c r="K121" s="17" t="str">
        <f>IFERROR(__xludf.DUMMYFUNCTION("""COMPUTED_VALUE"""),"Computers&amp;Accessories|Accessories&amp;Peripherals|Cables&amp;Accessories|Cables|SATACables")</f>
        <v>Computers&amp;Accessories|Accessories&amp;Peripherals|Cables&amp;Accessories|Cables|SATACables</v>
      </c>
    </row>
    <row r="122">
      <c r="A122" s="7" t="s">
        <v>145</v>
      </c>
      <c r="B122" s="7" t="s">
        <v>15</v>
      </c>
      <c r="C122" s="8">
        <v>1599.0</v>
      </c>
      <c r="D122" s="8">
        <v>1999.0</v>
      </c>
      <c r="E122" s="19">
        <v>0.2</v>
      </c>
      <c r="F122" s="10">
        <v>4.4</v>
      </c>
      <c r="G122" s="11">
        <v>1951.0</v>
      </c>
      <c r="K122" s="17" t="str">
        <f>IFERROR(__xludf.DUMMYFUNCTION("""COMPUTED_VALUE"""),"Computers&amp;Accessories|Accessories&amp;Peripherals|Audio&amp;VideoAccessories|PCHeadsets")</f>
        <v>Computers&amp;Accessories|Accessories&amp;Peripherals|Audio&amp;VideoAccessories|PCHeadsets</v>
      </c>
    </row>
    <row r="123">
      <c r="A123" s="7" t="s">
        <v>146</v>
      </c>
      <c r="B123" s="7" t="s">
        <v>71</v>
      </c>
      <c r="C123" s="8">
        <v>1499.0</v>
      </c>
      <c r="D123" s="8">
        <v>3999.0</v>
      </c>
      <c r="E123" s="19">
        <v>0.63</v>
      </c>
      <c r="F123" s="10">
        <v>3.7</v>
      </c>
      <c r="G123" s="10">
        <v>37.0</v>
      </c>
      <c r="K123" s="17" t="str">
        <f>IFERROR(__xludf.DUMMYFUNCTION("""COMPUTED_VALUE"""),"Computers&amp;Accessories|Accessories&amp;Peripherals|PCGamingPeripherals|GamingKeyboards")</f>
        <v>Computers&amp;Accessories|Accessories&amp;Peripherals|PCGamingPeripherals|GamingKeyboards</v>
      </c>
    </row>
    <row r="124">
      <c r="A124" s="7" t="s">
        <v>147</v>
      </c>
      <c r="B124" s="7" t="s">
        <v>37</v>
      </c>
      <c r="C124" s="8">
        <v>8499.0</v>
      </c>
      <c r="D124" s="8">
        <v>15999.0</v>
      </c>
      <c r="E124" s="19">
        <v>0.47</v>
      </c>
      <c r="F124" s="10">
        <v>4.3</v>
      </c>
      <c r="G124" s="10">
        <v>592.0</v>
      </c>
      <c r="K124" s="17" t="str">
        <f>IFERROR(__xludf.DUMMYFUNCTION("""COMPUTED_VALUE"""),"Electronics|HomeAudio|Speakers|SoundbarSpeakers")</f>
        <v>Electronics|HomeAudio|Speakers|SoundbarSpeakers</v>
      </c>
    </row>
    <row r="125">
      <c r="A125" s="7" t="s">
        <v>148</v>
      </c>
      <c r="B125" s="7" t="s">
        <v>37</v>
      </c>
      <c r="C125" s="8">
        <v>20990.0</v>
      </c>
      <c r="D125" s="8">
        <v>44990.0</v>
      </c>
      <c r="E125" s="19">
        <v>0.53</v>
      </c>
      <c r="F125" s="10">
        <v>4.1</v>
      </c>
      <c r="G125" s="11">
        <v>1259.0</v>
      </c>
      <c r="K125" s="17" t="str">
        <f>IFERROR(__xludf.DUMMYFUNCTION("""COMPUTED_VALUE"""),"Electronics|Headphones,Earbuds&amp;Accessories|Earpads")</f>
        <v>Electronics|Headphones,Earbuds&amp;Accessories|Earpads</v>
      </c>
    </row>
    <row r="126">
      <c r="A126" s="7" t="s">
        <v>149</v>
      </c>
      <c r="B126" s="7" t="s">
        <v>37</v>
      </c>
      <c r="C126" s="8">
        <v>32999.0</v>
      </c>
      <c r="D126" s="8">
        <v>44999.0</v>
      </c>
      <c r="E126" s="19">
        <v>0.27</v>
      </c>
      <c r="F126" s="10">
        <v>4.2</v>
      </c>
      <c r="G126" s="11">
        <v>45238.0</v>
      </c>
      <c r="K126" s="17" t="str">
        <f>IFERROR(__xludf.DUMMYFUNCTION("""COMPUTED_VALUE"""),"Computers&amp;Accessories|Printers,Inks&amp;Accessories|Printers|InkjetPrinters")</f>
        <v>Computers&amp;Accessories|Printers,Inks&amp;Accessories|Printers|InkjetPrinters</v>
      </c>
    </row>
    <row r="127">
      <c r="A127" s="7" t="s">
        <v>150</v>
      </c>
      <c r="B127" s="7" t="s">
        <v>31</v>
      </c>
      <c r="C127" s="8">
        <v>799.0</v>
      </c>
      <c r="D127" s="8">
        <v>1700.0</v>
      </c>
      <c r="E127" s="19">
        <v>0.53</v>
      </c>
      <c r="F127" s="10">
        <v>4.1</v>
      </c>
      <c r="G127" s="11">
        <v>28638.0</v>
      </c>
      <c r="K127" s="17" t="str">
        <f>IFERROR(__xludf.DUMMYFUNCTION("""COMPUTED_VALUE"""),"Toys&amp;Games|Arts&amp;Crafts|Drawing&amp;PaintingSupplies|ColouringPens&amp;Markers")</f>
        <v>Toys&amp;Games|Arts&amp;Crafts|Drawing&amp;PaintingSupplies|ColouringPens&amp;Markers</v>
      </c>
    </row>
    <row r="128">
      <c r="A128" s="7" t="s">
        <v>151</v>
      </c>
      <c r="B128" s="7" t="s">
        <v>31</v>
      </c>
      <c r="C128" s="8">
        <v>229.0</v>
      </c>
      <c r="D128" s="8">
        <v>595.0</v>
      </c>
      <c r="E128" s="19">
        <v>0.62</v>
      </c>
      <c r="F128" s="10">
        <v>4.3</v>
      </c>
      <c r="G128" s="11">
        <v>12835.0</v>
      </c>
      <c r="K128" s="17" t="str">
        <f>IFERROR(__xludf.DUMMYFUNCTION("""COMPUTED_VALUE"""),"Computers&amp;Accessories|Accessories&amp;Peripherals|PCGamingPeripherals|Headsets")</f>
        <v>Computers&amp;Accessories|Accessories&amp;Peripherals|PCGamingPeripherals|Headsets</v>
      </c>
    </row>
    <row r="129">
      <c r="A129" s="7" t="s">
        <v>152</v>
      </c>
      <c r="B129" s="7" t="s">
        <v>37</v>
      </c>
      <c r="C129" s="8">
        <v>9999.0</v>
      </c>
      <c r="D129" s="8">
        <v>27990.0</v>
      </c>
      <c r="E129" s="19">
        <v>0.64</v>
      </c>
      <c r="F129" s="10">
        <v>4.2</v>
      </c>
      <c r="G129" s="11">
        <v>1269.0</v>
      </c>
      <c r="K129" s="17" t="str">
        <f>IFERROR(__xludf.DUMMYFUNCTION("""COMPUTED_VALUE"""),"Computers&amp;Accessories|ExternalDevices&amp;DataStorage|ExternalSolidStateDrives")</f>
        <v>Computers&amp;Accessories|ExternalDevices&amp;DataStorage|ExternalSolidStateDrives</v>
      </c>
    </row>
    <row r="130">
      <c r="A130" s="7" t="s">
        <v>153</v>
      </c>
      <c r="B130" s="7" t="s">
        <v>71</v>
      </c>
      <c r="C130" s="8">
        <v>349.0</v>
      </c>
      <c r="D130" s="8">
        <v>599.0</v>
      </c>
      <c r="E130" s="19">
        <v>0.42</v>
      </c>
      <c r="F130" s="10">
        <v>4.2</v>
      </c>
      <c r="G130" s="10">
        <v>284.0</v>
      </c>
      <c r="K130" s="17" t="str">
        <f>IFERROR(__xludf.DUMMYFUNCTION("""COMPUTED_VALUE"""),"Computers&amp;Accessories|NetworkingDevices|NetworkAdapters|PowerLANAdapters")</f>
        <v>Computers&amp;Accessories|NetworkingDevices|NetworkAdapters|PowerLANAdapters</v>
      </c>
    </row>
    <row r="131">
      <c r="A131" s="7" t="s">
        <v>154</v>
      </c>
      <c r="B131" s="7" t="s">
        <v>155</v>
      </c>
      <c r="C131" s="8">
        <v>489.0</v>
      </c>
      <c r="D131" s="8">
        <v>1200.0</v>
      </c>
      <c r="E131" s="19">
        <v>0.59</v>
      </c>
      <c r="F131" s="10">
        <v>4.4</v>
      </c>
      <c r="G131" s="11">
        <v>69538.0</v>
      </c>
      <c r="K131" s="17" t="str">
        <f>IFERROR(__xludf.DUMMYFUNCTION("""COMPUTED_VALUE"""),"Computers&amp;Accessories|Printers,Inks&amp;Accessories|Inks,Toners&amp;Cartridges|InkjetInkRefills&amp;Kits")</f>
        <v>Computers&amp;Accessories|Printers,Inks&amp;Accessories|Inks,Toners&amp;Cartridges|InkjetInkRefills&amp;Kits</v>
      </c>
    </row>
    <row r="132">
      <c r="A132" s="7" t="s">
        <v>156</v>
      </c>
      <c r="B132" s="7" t="s">
        <v>37</v>
      </c>
      <c r="C132" s="8">
        <v>23999.0</v>
      </c>
      <c r="D132" s="8">
        <v>34990.0</v>
      </c>
      <c r="E132" s="19">
        <v>0.31</v>
      </c>
      <c r="F132" s="10">
        <v>4.3</v>
      </c>
      <c r="G132" s="11">
        <v>4703.0</v>
      </c>
      <c r="K132" s="17" t="str">
        <f>IFERROR(__xludf.DUMMYFUNCTION("""COMPUTED_VALUE"""),"OfficeProducts|OfficePaperProducts|Paper|Stationery|Notebooks,WritingPads&amp;Diaries")</f>
        <v>OfficeProducts|OfficePaperProducts|Paper|Stationery|Notebooks,WritingPads&amp;Diaries</v>
      </c>
    </row>
    <row r="133">
      <c r="A133" s="7" t="s">
        <v>157</v>
      </c>
      <c r="B133" s="7" t="s">
        <v>15</v>
      </c>
      <c r="C133" s="8">
        <v>399.0</v>
      </c>
      <c r="D133" s="8">
        <v>999.0</v>
      </c>
      <c r="E133" s="19">
        <v>0.6</v>
      </c>
      <c r="F133" s="10">
        <v>4.3</v>
      </c>
      <c r="G133" s="11">
        <v>2806.0</v>
      </c>
      <c r="K133" s="17" t="str">
        <f>IFERROR(__xludf.DUMMYFUNCTION("""COMPUTED_VALUE"""),"Electronics|Cameras&amp;Photography|Accessories|PhotoStudio&amp;Lighting|PhotoBackgroundAccessories|BackgroundSupports")</f>
        <v>Electronics|Cameras&amp;Photography|Accessories|PhotoStudio&amp;Lighting|PhotoBackgroundAccessories|BackgroundSupports</v>
      </c>
    </row>
    <row r="134">
      <c r="A134" s="7" t="s">
        <v>158</v>
      </c>
      <c r="B134" s="7" t="s">
        <v>159</v>
      </c>
      <c r="C134" s="8">
        <v>349.0</v>
      </c>
      <c r="D134" s="8">
        <v>1299.0</v>
      </c>
      <c r="E134" s="19">
        <v>0.73</v>
      </c>
      <c r="F134" s="10">
        <v>4.0</v>
      </c>
      <c r="G134" s="11">
        <v>3295.0</v>
      </c>
      <c r="K134" s="17" t="str">
        <f>IFERROR(__xludf.DUMMYFUNCTION("""COMPUTED_VALUE"""),"OfficeProducts|OfficeElectronics|Calculators|Financial&amp;Business")</f>
        <v>OfficeProducts|OfficeElectronics|Calculators|Financial&amp;Business</v>
      </c>
    </row>
    <row r="135">
      <c r="A135" s="7" t="s">
        <v>160</v>
      </c>
      <c r="B135" s="7" t="s">
        <v>15</v>
      </c>
      <c r="C135" s="8">
        <v>179.0</v>
      </c>
      <c r="D135" s="8">
        <v>299.0</v>
      </c>
      <c r="E135" s="19">
        <v>0.4</v>
      </c>
      <c r="F135" s="10">
        <v>3.9</v>
      </c>
      <c r="G135" s="10">
        <v>81.0</v>
      </c>
      <c r="K135" s="17" t="str">
        <f>IFERROR(__xludf.DUMMYFUNCTION("""COMPUTED_VALUE"""),"Electronics|PowerAccessories|SurgeProtectors")</f>
        <v>Electronics|PowerAccessories|SurgeProtectors</v>
      </c>
    </row>
    <row r="136">
      <c r="A136" s="7" t="s">
        <v>161</v>
      </c>
      <c r="B136" s="7" t="s">
        <v>15</v>
      </c>
      <c r="C136" s="8">
        <v>689.0</v>
      </c>
      <c r="D136" s="8">
        <v>1500.0</v>
      </c>
      <c r="E136" s="19">
        <v>0.54</v>
      </c>
      <c r="F136" s="10">
        <v>4.2</v>
      </c>
      <c r="G136" s="11">
        <v>42301.0</v>
      </c>
      <c r="K136" s="17" t="str">
        <f>IFERROR(__xludf.DUMMYFUNCTION("""COMPUTED_VALUE"""),"Computers&amp;Accessories|Tablets")</f>
        <v>Computers&amp;Accessories|Tablets</v>
      </c>
    </row>
    <row r="137">
      <c r="A137" s="7" t="s">
        <v>162</v>
      </c>
      <c r="B137" s="7" t="s">
        <v>37</v>
      </c>
      <c r="C137" s="8">
        <v>30990.0</v>
      </c>
      <c r="D137" s="8">
        <v>49990.0</v>
      </c>
      <c r="E137" s="19">
        <v>0.38</v>
      </c>
      <c r="F137" s="10">
        <v>4.3</v>
      </c>
      <c r="G137" s="11">
        <v>1376.0</v>
      </c>
      <c r="K137" s="17" t="str">
        <f>IFERROR(__xludf.DUMMYFUNCTION("""COMPUTED_VALUE"""),"HomeImprovement|Electrical|CordManagement")</f>
        <v>HomeImprovement|Electrical|CordManagement</v>
      </c>
    </row>
    <row r="138">
      <c r="A138" s="7" t="s">
        <v>163</v>
      </c>
      <c r="B138" s="7" t="s">
        <v>15</v>
      </c>
      <c r="C138" s="8">
        <v>249.0</v>
      </c>
      <c r="D138" s="8">
        <v>931.0</v>
      </c>
      <c r="E138" s="19">
        <v>0.73</v>
      </c>
      <c r="F138" s="10">
        <v>3.9</v>
      </c>
      <c r="G138" s="11">
        <v>1075.0</v>
      </c>
      <c r="K138" s="17" t="str">
        <f>IFERROR(__xludf.DUMMYFUNCTION("""COMPUTED_VALUE"""),"Home&amp;Kitchen|CraftMaterials|PaintingMaterials")</f>
        <v>Home&amp;Kitchen|CraftMaterials|PaintingMaterials</v>
      </c>
    </row>
    <row r="139">
      <c r="A139" s="7" t="s">
        <v>164</v>
      </c>
      <c r="B139" s="7" t="s">
        <v>31</v>
      </c>
      <c r="C139" s="8">
        <v>999.0</v>
      </c>
      <c r="D139" s="8">
        <v>2399.0</v>
      </c>
      <c r="E139" s="19">
        <v>0.58</v>
      </c>
      <c r="F139" s="10">
        <v>4.6</v>
      </c>
      <c r="G139" s="11">
        <v>3664.0</v>
      </c>
      <c r="K139" s="17" t="str">
        <f>IFERROR(__xludf.DUMMYFUNCTION("""COMPUTED_VALUE"""),"Computers&amp;Accessories|Printers,Inks&amp;Accessories|Inks,Toners&amp;Cartridges|TonerCartridges")</f>
        <v>Computers&amp;Accessories|Printers,Inks&amp;Accessories|Inks,Toners&amp;Cartridges|TonerCartridges</v>
      </c>
    </row>
    <row r="140">
      <c r="A140" s="7" t="s">
        <v>165</v>
      </c>
      <c r="B140" s="7" t="s">
        <v>71</v>
      </c>
      <c r="C140" s="8">
        <v>399.0</v>
      </c>
      <c r="D140" s="8">
        <v>399.0</v>
      </c>
      <c r="E140" s="19">
        <v>0.0</v>
      </c>
      <c r="F140" s="10">
        <v>3.9</v>
      </c>
      <c r="G140" s="11">
        <v>1951.0</v>
      </c>
      <c r="K140" s="17" t="str">
        <f>IFERROR(__xludf.DUMMYFUNCTION("""COMPUTED_VALUE"""),"OfficeProducts|OfficePaperProducts|Paper|Stationery|Pens,Pencils&amp;WritingSupplies|Pens&amp;Refills|LiquidInkRollerballPens")</f>
        <v>OfficeProducts|OfficePaperProducts|Paper|Stationery|Pens,Pencils&amp;WritingSupplies|Pens&amp;Refills|LiquidInkRollerballPens</v>
      </c>
    </row>
    <row r="141">
      <c r="A141" s="7" t="s">
        <v>166</v>
      </c>
      <c r="B141" s="7" t="s">
        <v>15</v>
      </c>
      <c r="C141" s="8">
        <v>349.0</v>
      </c>
      <c r="D141" s="8">
        <v>699.0</v>
      </c>
      <c r="E141" s="19">
        <v>0.5</v>
      </c>
      <c r="F141" s="10">
        <v>4.3</v>
      </c>
      <c r="G141" s="11">
        <v>20850.0</v>
      </c>
      <c r="K141" s="17" t="str">
        <f>IFERROR(__xludf.DUMMYFUNCTION("""COMPUTED_VALUE"""),"OfficeProducts|OfficePaperProducts|Paper|Stationery|Pens,Pencils&amp;WritingSupplies|Pens&amp;Refills|FountainPens")</f>
        <v>OfficeProducts|OfficePaperProducts|Paper|Stationery|Pens,Pencils&amp;WritingSupplies|Pens&amp;Refills|FountainPens</v>
      </c>
    </row>
    <row r="142">
      <c r="A142" s="7" t="s">
        <v>167</v>
      </c>
      <c r="B142" s="7" t="s">
        <v>15</v>
      </c>
      <c r="C142" s="8">
        <v>399.0</v>
      </c>
      <c r="D142" s="8">
        <v>1099.0</v>
      </c>
      <c r="E142" s="19">
        <v>0.64</v>
      </c>
      <c r="F142" s="10">
        <v>4.1</v>
      </c>
      <c r="G142" s="11">
        <v>2685.0</v>
      </c>
      <c r="K142" s="17" t="str">
        <f>IFERROR(__xludf.DUMMYFUNCTION("""COMPUTED_VALUE"""),"Computers&amp;Accessories|Accessories&amp;Peripherals|HardDriveAccessories|Caddies")</f>
        <v>Computers&amp;Accessories|Accessories&amp;Peripherals|HardDriveAccessories|Caddies</v>
      </c>
    </row>
    <row r="143">
      <c r="A143" s="7" t="s">
        <v>168</v>
      </c>
      <c r="B143" s="7" t="s">
        <v>25</v>
      </c>
      <c r="C143" s="8">
        <v>1699.0</v>
      </c>
      <c r="D143" s="8">
        <v>2999.0</v>
      </c>
      <c r="E143" s="19">
        <v>0.43</v>
      </c>
      <c r="F143" s="10">
        <v>4.4</v>
      </c>
      <c r="G143" s="11">
        <v>24780.0</v>
      </c>
      <c r="K143" s="17" t="str">
        <f>IFERROR(__xludf.DUMMYFUNCTION("""COMPUTED_VALUE"""),"Computers&amp;Accessories|Laptops|TraditionalLaptops")</f>
        <v>Computers&amp;Accessories|Laptops|TraditionalLaptops</v>
      </c>
    </row>
    <row r="144">
      <c r="A144" s="7" t="s">
        <v>169</v>
      </c>
      <c r="B144" s="7" t="s">
        <v>71</v>
      </c>
      <c r="C144" s="8">
        <v>655.0</v>
      </c>
      <c r="D144" s="8">
        <v>1099.0</v>
      </c>
      <c r="E144" s="19">
        <v>0.4</v>
      </c>
      <c r="F144" s="10">
        <v>3.2</v>
      </c>
      <c r="G144" s="10">
        <v>285.0</v>
      </c>
      <c r="K144" s="17" t="str">
        <f>IFERROR(__xludf.DUMMYFUNCTION("""COMPUTED_VALUE"""),"Home&amp;Kitchen|Kitchen&amp;HomeAppliances|SmallKitchenAppliances|Kettles&amp;HotWaterDispensers|ElectricKettles")</f>
        <v>Home&amp;Kitchen|Kitchen&amp;HomeAppliances|SmallKitchenAppliances|Kettles&amp;HotWaterDispensers|ElectricKettles</v>
      </c>
    </row>
    <row r="145">
      <c r="A145" s="7" t="s">
        <v>170</v>
      </c>
      <c r="B145" s="7" t="s">
        <v>25</v>
      </c>
      <c r="C145" s="8">
        <v>749.0</v>
      </c>
      <c r="D145" s="8">
        <v>1339.0</v>
      </c>
      <c r="E145" s="19">
        <v>0.44</v>
      </c>
      <c r="F145" s="10">
        <v>4.2</v>
      </c>
      <c r="G145" s="7" t="s">
        <v>171</v>
      </c>
      <c r="K145" s="17" t="str">
        <f>IFERROR(__xludf.DUMMYFUNCTION("""COMPUTED_VALUE"""),"Home&amp;Kitchen|Heating,Cooling&amp;AirQuality|RoomHeaters|ElectricHeaters")</f>
        <v>Home&amp;Kitchen|Heating,Cooling&amp;AirQuality|RoomHeaters|ElectricHeaters</v>
      </c>
    </row>
    <row r="146">
      <c r="A146" s="7" t="s">
        <v>172</v>
      </c>
      <c r="B146" s="7" t="s">
        <v>37</v>
      </c>
      <c r="C146" s="8">
        <v>9999.0</v>
      </c>
      <c r="D146" s="8">
        <v>12999.0</v>
      </c>
      <c r="E146" s="19">
        <v>0.23</v>
      </c>
      <c r="F146" s="10">
        <v>4.2</v>
      </c>
      <c r="G146" s="11">
        <v>6088.0</v>
      </c>
      <c r="K146" s="17" t="str">
        <f>IFERROR(__xludf.DUMMYFUNCTION("""COMPUTED_VALUE"""),"Home&amp;Kitchen|Heating,Cooling&amp;AirQuality|RoomHeaters|FanHeaters")</f>
        <v>Home&amp;Kitchen|Heating,Cooling&amp;AirQuality|RoomHeaters|FanHeaters</v>
      </c>
    </row>
    <row r="147">
      <c r="A147" s="7" t="s">
        <v>173</v>
      </c>
      <c r="B147" s="7" t="s">
        <v>71</v>
      </c>
      <c r="C147" s="8">
        <v>195.0</v>
      </c>
      <c r="D147" s="8">
        <v>499.0</v>
      </c>
      <c r="E147" s="19">
        <v>0.61</v>
      </c>
      <c r="F147" s="10">
        <v>3.7</v>
      </c>
      <c r="G147" s="11">
        <v>1383.0</v>
      </c>
      <c r="K147" s="17" t="str">
        <f>IFERROR(__xludf.DUMMYFUNCTION("""COMPUTED_VALUE"""),"Home&amp;Kitchen|Kitchen&amp;HomeAppliances|Vacuum,Cleaning&amp;Ironing|Irons,Steamers&amp;Accessories|LintShavers")</f>
        <v>Home&amp;Kitchen|Kitchen&amp;HomeAppliances|Vacuum,Cleaning&amp;Ironing|Irons,Steamers&amp;Accessories|LintShavers</v>
      </c>
    </row>
    <row r="148">
      <c r="A148" s="7" t="s">
        <v>174</v>
      </c>
      <c r="B148" s="7" t="s">
        <v>15</v>
      </c>
      <c r="C148" s="8">
        <v>999.0</v>
      </c>
      <c r="D148" s="8">
        <v>2100.0</v>
      </c>
      <c r="E148" s="19">
        <v>0.52</v>
      </c>
      <c r="F148" s="10">
        <v>4.5</v>
      </c>
      <c r="G148" s="11">
        <v>5492.0</v>
      </c>
      <c r="K148" s="17" t="str">
        <f>IFERROR(__xludf.DUMMYFUNCTION("""COMPUTED_VALUE"""),"Home&amp;Kitchen|Kitchen&amp;HomeAppliances|SmallKitchenAppliances|DigitalKitchenScales")</f>
        <v>Home&amp;Kitchen|Kitchen&amp;HomeAppliances|SmallKitchenAppliances|DigitalKitchenScales</v>
      </c>
    </row>
    <row r="149">
      <c r="A149" s="7" t="s">
        <v>175</v>
      </c>
      <c r="B149" s="7" t="s">
        <v>15</v>
      </c>
      <c r="C149" s="8">
        <v>499.0</v>
      </c>
      <c r="D149" s="8">
        <v>899.0</v>
      </c>
      <c r="E149" s="19">
        <v>0.44</v>
      </c>
      <c r="F149" s="10">
        <v>4.2</v>
      </c>
      <c r="G149" s="10">
        <v>919.0</v>
      </c>
      <c r="K149" s="17" t="str">
        <f>IFERROR(__xludf.DUMMYFUNCTION("""COMPUTED_VALUE"""),"Home&amp;Kitchen|Kitchen&amp;Dining|KitchenTools|ManualChoppers&amp;Chippers|Choppers")</f>
        <v>Home&amp;Kitchen|Kitchen&amp;Dining|KitchenTools|ManualChoppers&amp;Chippers|Choppers</v>
      </c>
    </row>
    <row r="150">
      <c r="A150" s="7" t="s">
        <v>176</v>
      </c>
      <c r="B150" s="7" t="s">
        <v>177</v>
      </c>
      <c r="C150" s="8">
        <v>416.0</v>
      </c>
      <c r="D150" s="8">
        <v>599.0</v>
      </c>
      <c r="E150" s="19">
        <v>0.31</v>
      </c>
      <c r="F150" s="10">
        <v>4.2</v>
      </c>
      <c r="G150" s="11">
        <v>30023.0</v>
      </c>
      <c r="K150" s="17" t="str">
        <f>IFERROR(__xludf.DUMMYFUNCTION("""COMPUTED_VALUE"""),"Home&amp;Kitchen|Kitchen&amp;HomeAppliances|SmallKitchenAppliances|InductionCooktop")</f>
        <v>Home&amp;Kitchen|Kitchen&amp;HomeAppliances|SmallKitchenAppliances|InductionCooktop</v>
      </c>
    </row>
    <row r="151">
      <c r="A151" s="7" t="s">
        <v>178</v>
      </c>
      <c r="B151" s="7" t="s">
        <v>15</v>
      </c>
      <c r="C151" s="8">
        <v>368.0</v>
      </c>
      <c r="D151" s="8">
        <v>699.0</v>
      </c>
      <c r="E151" s="19">
        <v>0.47</v>
      </c>
      <c r="F151" s="10">
        <v>4.2</v>
      </c>
      <c r="G151" s="10">
        <v>387.0</v>
      </c>
      <c r="K151" s="17" t="str">
        <f>IFERROR(__xludf.DUMMYFUNCTION("""COMPUTED_VALUE"""),"Home&amp;Kitchen|Kitchen&amp;HomeAppliances|SmallKitchenAppliances|HandBlenders")</f>
        <v>Home&amp;Kitchen|Kitchen&amp;HomeAppliances|SmallKitchenAppliances|HandBlenders</v>
      </c>
    </row>
    <row r="152">
      <c r="A152" s="7" t="s">
        <v>179</v>
      </c>
      <c r="B152" s="7" t="s">
        <v>37</v>
      </c>
      <c r="C152" s="8">
        <v>29990.0</v>
      </c>
      <c r="D152" s="8">
        <v>65000.0</v>
      </c>
      <c r="E152" s="19">
        <v>0.54</v>
      </c>
      <c r="F152" s="10">
        <v>4.1</v>
      </c>
      <c r="G152" s="10">
        <v>211.0</v>
      </c>
      <c r="K152" s="17" t="str">
        <f>IFERROR(__xludf.DUMMYFUNCTION("""COMPUTED_VALUE"""),"Home&amp;Kitchen|Kitchen&amp;HomeAppliances|Vacuum,Cleaning&amp;Ironing|Irons,Steamers&amp;Accessories|Irons|DryIrons")</f>
        <v>Home&amp;Kitchen|Kitchen&amp;HomeAppliances|Vacuum,Cleaning&amp;Ironing|Irons,Steamers&amp;Accessories|Irons|DryIrons</v>
      </c>
    </row>
    <row r="153">
      <c r="A153" s="7" t="s">
        <v>180</v>
      </c>
      <c r="B153" s="7" t="s">
        <v>15</v>
      </c>
      <c r="C153" s="8">
        <v>339.0</v>
      </c>
      <c r="D153" s="8">
        <v>1099.0</v>
      </c>
      <c r="E153" s="19">
        <v>0.69</v>
      </c>
      <c r="F153" s="10">
        <v>4.3</v>
      </c>
      <c r="G153" s="10">
        <v>974.0</v>
      </c>
      <c r="K153" s="17" t="str">
        <f>IFERROR(__xludf.DUMMYFUNCTION("""COMPUTED_VALUE"""),"Home&amp;Kitchen|Kitchen&amp;HomeAppliances|SmallKitchenAppliances|MixerGrinders")</f>
        <v>Home&amp;Kitchen|Kitchen&amp;HomeAppliances|SmallKitchenAppliances|MixerGrinders</v>
      </c>
    </row>
    <row r="154">
      <c r="A154" s="7" t="s">
        <v>181</v>
      </c>
      <c r="B154" s="7" t="s">
        <v>37</v>
      </c>
      <c r="C154" s="8">
        <v>15490.0</v>
      </c>
      <c r="D154" s="8">
        <v>20900.0</v>
      </c>
      <c r="E154" s="19">
        <v>0.26</v>
      </c>
      <c r="F154" s="10">
        <v>4.3</v>
      </c>
      <c r="G154" s="11">
        <v>16299.0</v>
      </c>
      <c r="K154" s="17" t="str">
        <f>IFERROR(__xludf.DUMMYFUNCTION("""COMPUTED_VALUE"""),"Home&amp;Kitchen|Heating,Cooling&amp;AirQuality|WaterHeaters&amp;Geysers|InstantWaterHeaters")</f>
        <v>Home&amp;Kitchen|Heating,Cooling&amp;AirQuality|WaterHeaters&amp;Geysers|InstantWaterHeaters</v>
      </c>
    </row>
    <row r="155">
      <c r="A155" s="7" t="s">
        <v>182</v>
      </c>
      <c r="B155" s="7" t="s">
        <v>15</v>
      </c>
      <c r="C155" s="8">
        <v>499.0</v>
      </c>
      <c r="D155" s="8">
        <v>1299.0</v>
      </c>
      <c r="E155" s="19">
        <v>0.62</v>
      </c>
      <c r="F155" s="10">
        <v>4.3</v>
      </c>
      <c r="G155" s="11">
        <v>30411.0</v>
      </c>
      <c r="K155" s="17" t="str">
        <f>IFERROR(__xludf.DUMMYFUNCTION("""COMPUTED_VALUE"""),"Home&amp;Kitchen|Heating,Cooling&amp;AirQuality|RoomHeaters")</f>
        <v>Home&amp;Kitchen|Heating,Cooling&amp;AirQuality|RoomHeaters</v>
      </c>
    </row>
    <row r="156">
      <c r="A156" s="7" t="s">
        <v>183</v>
      </c>
      <c r="B156" s="7" t="s">
        <v>25</v>
      </c>
      <c r="C156" s="8">
        <v>249.0</v>
      </c>
      <c r="D156" s="8">
        <v>399.0</v>
      </c>
      <c r="E156" s="19">
        <v>0.38</v>
      </c>
      <c r="F156" s="10">
        <v>3.4</v>
      </c>
      <c r="G156" s="11">
        <v>4642.0</v>
      </c>
      <c r="K156" s="17" t="str">
        <f>IFERROR(__xludf.DUMMYFUNCTION("""COMPUTED_VALUE"""),"Home&amp;Kitchen|Kitchen&amp;HomeAppliances|SmallKitchenAppliances|Kettles&amp;HotWaterDispensers|Kettle&amp;ToasterSets")</f>
        <v>Home&amp;Kitchen|Kitchen&amp;HomeAppliances|SmallKitchenAppliances|Kettles&amp;HotWaterDispensers|Kettle&amp;ToasterSets</v>
      </c>
    </row>
    <row r="157">
      <c r="A157" s="7" t="s">
        <v>184</v>
      </c>
      <c r="B157" s="7" t="s">
        <v>71</v>
      </c>
      <c r="C157" s="8">
        <v>399.0</v>
      </c>
      <c r="D157" s="8">
        <v>799.0</v>
      </c>
      <c r="E157" s="19">
        <v>0.5</v>
      </c>
      <c r="F157" s="10">
        <v>4.3</v>
      </c>
      <c r="G157" s="10">
        <v>12.0</v>
      </c>
      <c r="K157" s="17" t="str">
        <f>IFERROR(__xludf.DUMMYFUNCTION("""COMPUTED_VALUE"""),"Home&amp;Kitchen|Heating,Cooling&amp;AirQuality|WaterHeaters&amp;Geysers|StorageWaterHeaters")</f>
        <v>Home&amp;Kitchen|Heating,Cooling&amp;AirQuality|WaterHeaters&amp;Geysers|StorageWaterHeaters</v>
      </c>
    </row>
    <row r="158">
      <c r="A158" s="7" t="s">
        <v>185</v>
      </c>
      <c r="B158" s="7" t="s">
        <v>15</v>
      </c>
      <c r="C158" s="8">
        <v>1499.0</v>
      </c>
      <c r="D158" s="8">
        <v>1999.0</v>
      </c>
      <c r="E158" s="19">
        <v>0.25</v>
      </c>
      <c r="F158" s="10">
        <v>4.4</v>
      </c>
      <c r="G158" s="11">
        <v>1951.0</v>
      </c>
      <c r="K158" s="17" t="str">
        <f>IFERROR(__xludf.DUMMYFUNCTION("""COMPUTED_VALUE"""),"Home&amp;Kitchen|Heating,Cooling&amp;AirQuality|WaterHeaters&amp;Geysers|ImmersionRods")</f>
        <v>Home&amp;Kitchen|Heating,Cooling&amp;AirQuality|WaterHeaters&amp;Geysers|ImmersionRods</v>
      </c>
    </row>
    <row r="159">
      <c r="A159" s="7" t="s">
        <v>186</v>
      </c>
      <c r="B159" s="7" t="s">
        <v>187</v>
      </c>
      <c r="C159" s="8">
        <v>9490.0</v>
      </c>
      <c r="D159" s="8">
        <v>15990.0</v>
      </c>
      <c r="E159" s="19">
        <v>0.41</v>
      </c>
      <c r="F159" s="10">
        <v>3.9</v>
      </c>
      <c r="G159" s="11">
        <v>10480.0</v>
      </c>
      <c r="K159" s="17" t="str">
        <f>IFERROR(__xludf.DUMMYFUNCTION("""COMPUTED_VALUE"""),"Home&amp;Kitchen|Kitchen&amp;HomeAppliances|SmallKitchenAppliances|DeepFatFryers|AirFryers")</f>
        <v>Home&amp;Kitchen|Kitchen&amp;HomeAppliances|SmallKitchenAppliances|DeepFatFryers|AirFryers</v>
      </c>
    </row>
    <row r="160">
      <c r="A160" s="7" t="s">
        <v>188</v>
      </c>
      <c r="B160" s="7" t="s">
        <v>31</v>
      </c>
      <c r="C160" s="8">
        <v>637.0</v>
      </c>
      <c r="D160" s="8">
        <v>1499.0</v>
      </c>
      <c r="E160" s="19">
        <v>0.58</v>
      </c>
      <c r="F160" s="10">
        <v>4.1</v>
      </c>
      <c r="G160" s="10">
        <v>24.0</v>
      </c>
      <c r="K160" s="17" t="str">
        <f>IFERROR(__xludf.DUMMYFUNCTION("""COMPUTED_VALUE"""),"Home&amp;Kitchen|HomeStorage&amp;Organization|LaundryOrganization|LaundryBaskets")</f>
        <v>Home&amp;Kitchen|HomeStorage&amp;Organization|LaundryOrganization|LaundryBaskets</v>
      </c>
    </row>
    <row r="161">
      <c r="A161" s="7" t="s">
        <v>189</v>
      </c>
      <c r="B161" s="7" t="s">
        <v>71</v>
      </c>
      <c r="C161" s="8">
        <v>399.0</v>
      </c>
      <c r="D161" s="8">
        <v>899.0</v>
      </c>
      <c r="E161" s="19">
        <v>0.56</v>
      </c>
      <c r="F161" s="10">
        <v>3.9</v>
      </c>
      <c r="G161" s="10">
        <v>254.0</v>
      </c>
      <c r="K161" s="17" t="str">
        <f>IFERROR(__xludf.DUMMYFUNCTION("""COMPUTED_VALUE"""),"Home&amp;Kitchen|Kitchen&amp;HomeAppliances|Vacuum,Cleaning&amp;Ironing|Irons,Steamers&amp;Accessories|Irons|SteamIrons")</f>
        <v>Home&amp;Kitchen|Kitchen&amp;HomeAppliances|Vacuum,Cleaning&amp;Ironing|Irons,Steamers&amp;Accessories|Irons|SteamIrons</v>
      </c>
    </row>
    <row r="162">
      <c r="A162" s="7" t="s">
        <v>190</v>
      </c>
      <c r="B162" s="7" t="s">
        <v>177</v>
      </c>
      <c r="C162" s="8">
        <v>1089.0</v>
      </c>
      <c r="D162" s="8">
        <v>1600.0</v>
      </c>
      <c r="E162" s="19">
        <v>0.32</v>
      </c>
      <c r="F162" s="10">
        <v>4.0</v>
      </c>
      <c r="G162" s="11">
        <v>3565.0</v>
      </c>
      <c r="K162" s="17" t="str">
        <f>IFERROR(__xludf.DUMMYFUNCTION("""COMPUTED_VALUE"""),"Home&amp;Kitchen|Kitchen&amp;HomeAppliances|SmallKitchenAppliances|JuicerMixerGrinders")</f>
        <v>Home&amp;Kitchen|Kitchen&amp;HomeAppliances|SmallKitchenAppliances|JuicerMixerGrinders</v>
      </c>
    </row>
    <row r="163">
      <c r="A163" s="7" t="s">
        <v>191</v>
      </c>
      <c r="B163" s="7" t="s">
        <v>15</v>
      </c>
      <c r="C163" s="8">
        <v>339.0</v>
      </c>
      <c r="D163" s="8">
        <v>999.0</v>
      </c>
      <c r="E163" s="19">
        <v>0.66</v>
      </c>
      <c r="F163" s="10">
        <v>4.3</v>
      </c>
      <c r="G163" s="11">
        <v>6255.0</v>
      </c>
      <c r="K163" s="17" t="str">
        <f>IFERROR(__xludf.DUMMYFUNCTION("""COMPUTED_VALUE"""),"Home&amp;Kitchen|Kitchen&amp;HomeAppliances|Vacuum,Cleaning&amp;Ironing|Vacuums&amp;FloorCare|Vacuums|HandheldVacuums")</f>
        <v>Home&amp;Kitchen|Kitchen&amp;HomeAppliances|Vacuum,Cleaning&amp;Ironing|Vacuums&amp;FloorCare|Vacuums|HandheldVacuums</v>
      </c>
    </row>
    <row r="164">
      <c r="A164" s="7" t="s">
        <v>192</v>
      </c>
      <c r="B164" s="7" t="s">
        <v>15</v>
      </c>
      <c r="C164" s="8">
        <v>149.0</v>
      </c>
      <c r="D164" s="8">
        <v>499.0</v>
      </c>
      <c r="E164" s="19">
        <v>0.7</v>
      </c>
      <c r="F164" s="10">
        <v>4.0</v>
      </c>
      <c r="G164" s="11">
        <v>7732.0</v>
      </c>
      <c r="K164" s="17" t="str">
        <f>IFERROR(__xludf.DUMMYFUNCTION("""COMPUTED_VALUE"""),"Home&amp;Kitchen|Kitchen&amp;HomeAppliances|SmallKitchenAppliances|EggBoilers")</f>
        <v>Home&amp;Kitchen|Kitchen&amp;HomeAppliances|SmallKitchenAppliances|EggBoilers</v>
      </c>
    </row>
    <row r="165">
      <c r="A165" s="7" t="s">
        <v>193</v>
      </c>
      <c r="B165" s="7" t="s">
        <v>15</v>
      </c>
      <c r="C165" s="8">
        <v>149.0</v>
      </c>
      <c r="D165" s="8">
        <v>399.0</v>
      </c>
      <c r="E165" s="19">
        <v>0.63</v>
      </c>
      <c r="F165" s="10">
        <v>3.9</v>
      </c>
      <c r="G165" s="10">
        <v>57.0</v>
      </c>
      <c r="K165" s="17" t="str">
        <f>IFERROR(__xludf.DUMMYFUNCTION("""COMPUTED_VALUE"""),"Home&amp;Kitchen|Kitchen&amp;HomeAppliances|SmallKitchenAppliances|SandwichMakers")</f>
        <v>Home&amp;Kitchen|Kitchen&amp;HomeAppliances|SmallKitchenAppliances|SandwichMakers</v>
      </c>
    </row>
    <row r="166">
      <c r="A166" s="7" t="s">
        <v>194</v>
      </c>
      <c r="B166" s="7" t="s">
        <v>15</v>
      </c>
      <c r="C166" s="8">
        <v>599.0</v>
      </c>
      <c r="D166" s="8">
        <v>849.0</v>
      </c>
      <c r="E166" s="19">
        <v>0.29</v>
      </c>
      <c r="F166" s="10">
        <v>4.5</v>
      </c>
      <c r="G166" s="10">
        <v>577.0</v>
      </c>
      <c r="K166" s="17" t="str">
        <f>IFERROR(__xludf.DUMMYFUNCTION("""COMPUTED_VALUE"""),"Home&amp;Kitchen|Kitchen&amp;HomeAppliances|SmallKitchenAppliances|MiniFoodProcessors&amp;Choppers")</f>
        <v>Home&amp;Kitchen|Kitchen&amp;HomeAppliances|SmallKitchenAppliances|MiniFoodProcessors&amp;Choppers</v>
      </c>
    </row>
    <row r="167">
      <c r="A167" s="7" t="s">
        <v>195</v>
      </c>
      <c r="B167" s="7" t="s">
        <v>71</v>
      </c>
      <c r="C167" s="8">
        <v>299.0</v>
      </c>
      <c r="D167" s="8">
        <v>1199.0</v>
      </c>
      <c r="E167" s="19">
        <v>0.75</v>
      </c>
      <c r="F167" s="10">
        <v>3.9</v>
      </c>
      <c r="G167" s="11">
        <v>1193.0</v>
      </c>
      <c r="K167" s="17" t="str">
        <f>IFERROR(__xludf.DUMMYFUNCTION("""COMPUTED_VALUE"""),"Home&amp;Kitchen|Kitchen&amp;HomeAppliances|SmallKitchenAppliances|DigitalKitchenScales|DigitalScales")</f>
        <v>Home&amp;Kitchen|Kitchen&amp;HomeAppliances|SmallKitchenAppliances|DigitalKitchenScales|DigitalScales</v>
      </c>
    </row>
    <row r="168">
      <c r="A168" s="7" t="s">
        <v>196</v>
      </c>
      <c r="B168" s="7" t="s">
        <v>15</v>
      </c>
      <c r="C168" s="8">
        <v>399.0</v>
      </c>
      <c r="D168" s="8">
        <v>1299.0</v>
      </c>
      <c r="E168" s="19">
        <v>0.69</v>
      </c>
      <c r="F168" s="10">
        <v>4.2</v>
      </c>
      <c r="G168" s="11">
        <v>13120.0</v>
      </c>
      <c r="K168" s="17" t="str">
        <f>IFERROR(__xludf.DUMMYFUNCTION("""COMPUTED_VALUE"""),"Home&amp;Kitchen|Kitchen&amp;HomeAppliances|SmallKitchenAppliances|VacuumSealers")</f>
        <v>Home&amp;Kitchen|Kitchen&amp;HomeAppliances|SmallKitchenAppliances|VacuumSealers</v>
      </c>
    </row>
    <row r="169">
      <c r="A169" s="7" t="s">
        <v>197</v>
      </c>
      <c r="B169" s="7" t="s">
        <v>71</v>
      </c>
      <c r="C169" s="8">
        <v>339.0</v>
      </c>
      <c r="D169" s="8">
        <v>1999.0</v>
      </c>
      <c r="E169" s="19">
        <v>0.83</v>
      </c>
      <c r="F169" s="10">
        <v>4.0</v>
      </c>
      <c r="G169" s="10">
        <v>343.0</v>
      </c>
      <c r="K169" s="17" t="str">
        <f>IFERROR(__xludf.DUMMYFUNCTION("""COMPUTED_VALUE"""),"Home&amp;Kitchen|Heating,Cooling&amp;AirQuality|Fans|CeilingFans")</f>
        <v>Home&amp;Kitchen|Heating,Cooling&amp;AirQuality|Fans|CeilingFans</v>
      </c>
    </row>
    <row r="170">
      <c r="A170" s="7" t="s">
        <v>198</v>
      </c>
      <c r="B170" s="7" t="s">
        <v>37</v>
      </c>
      <c r="C170" s="8">
        <v>12499.0</v>
      </c>
      <c r="D170" s="8">
        <v>22990.0</v>
      </c>
      <c r="E170" s="19">
        <v>0.46</v>
      </c>
      <c r="F170" s="10">
        <v>4.3</v>
      </c>
      <c r="G170" s="11">
        <v>1611.0</v>
      </c>
      <c r="K170" s="17" t="str">
        <f>IFERROR(__xludf.DUMMYFUNCTION("""COMPUTED_VALUE"""),"Home&amp;Kitchen|Kitchen&amp;HomeAppliances|Vacuum,Cleaning&amp;Ironing|Vacuums&amp;FloorCare|Vacuums|CanisterVacuums")</f>
        <v>Home&amp;Kitchen|Kitchen&amp;HomeAppliances|Vacuum,Cleaning&amp;Ironing|Vacuums&amp;FloorCare|Vacuums|CanisterVacuums</v>
      </c>
    </row>
    <row r="171">
      <c r="A171" s="7" t="s">
        <v>199</v>
      </c>
      <c r="B171" s="7" t="s">
        <v>15</v>
      </c>
      <c r="C171" s="8">
        <v>249.0</v>
      </c>
      <c r="D171" s="8">
        <v>399.0</v>
      </c>
      <c r="E171" s="19">
        <v>0.38</v>
      </c>
      <c r="F171" s="10">
        <v>4.0</v>
      </c>
      <c r="G171" s="11">
        <v>6558.0</v>
      </c>
      <c r="K171" s="17" t="str">
        <f>IFERROR(__xludf.DUMMYFUNCTION("""COMPUTED_VALUE"""),"Home&amp;Kitchen|Kitchen&amp;HomeAppliances|Vacuum,Cleaning&amp;Ironing|PressureWashers,Steam&amp;WindowCleaners")</f>
        <v>Home&amp;Kitchen|Kitchen&amp;HomeAppliances|Vacuum,Cleaning&amp;Ironing|PressureWashers,Steam&amp;WindowCleaners</v>
      </c>
    </row>
    <row r="172">
      <c r="A172" s="7" t="s">
        <v>200</v>
      </c>
      <c r="B172" s="7" t="s">
        <v>25</v>
      </c>
      <c r="C172" s="8">
        <v>1399.0</v>
      </c>
      <c r="D172" s="8">
        <v>2499.0</v>
      </c>
      <c r="E172" s="19">
        <v>0.44</v>
      </c>
      <c r="F172" s="10">
        <v>4.4</v>
      </c>
      <c r="G172" s="11">
        <v>23169.0</v>
      </c>
      <c r="K172" s="17" t="str">
        <f>IFERROR(__xludf.DUMMYFUNCTION("""COMPUTED_VALUE"""),"Home&amp;Kitchen|Heating,Cooling&amp;AirQuality|RoomHeaters|HalogenHeaters")</f>
        <v>Home&amp;Kitchen|Heating,Cooling&amp;AirQuality|RoomHeaters|HalogenHeaters</v>
      </c>
    </row>
    <row r="173">
      <c r="A173" s="7" t="s">
        <v>201</v>
      </c>
      <c r="B173" s="7" t="s">
        <v>37</v>
      </c>
      <c r="C173" s="8">
        <v>32999.0</v>
      </c>
      <c r="D173" s="8">
        <v>47990.0</v>
      </c>
      <c r="E173" s="19">
        <v>0.31</v>
      </c>
      <c r="F173" s="10">
        <v>4.3</v>
      </c>
      <c r="G173" s="11">
        <v>4703.0</v>
      </c>
      <c r="K173" s="17" t="str">
        <f>IFERROR(__xludf.DUMMYFUNCTION("""COMPUTED_VALUE"""),"Home&amp;Kitchen|Kitchen&amp;HomeAppliances|SmallKitchenAppliances|Pop-upToasters")</f>
        <v>Home&amp;Kitchen|Kitchen&amp;HomeAppliances|SmallKitchenAppliances|Pop-upToasters</v>
      </c>
    </row>
    <row r="174">
      <c r="A174" s="7" t="s">
        <v>202</v>
      </c>
      <c r="B174" s="7" t="s">
        <v>15</v>
      </c>
      <c r="C174" s="8">
        <v>149.0</v>
      </c>
      <c r="D174" s="8">
        <v>399.0</v>
      </c>
      <c r="E174" s="19">
        <v>0.63</v>
      </c>
      <c r="F174" s="10">
        <v>4.0</v>
      </c>
      <c r="G174" s="11">
        <v>1423.0</v>
      </c>
      <c r="K174" s="17" t="str">
        <f>IFERROR(__xludf.DUMMYFUNCTION("""COMPUTED_VALUE"""),"Home&amp;Kitchen|Heating,Cooling&amp;AirQuality|RoomHeaters|HeatConvectors")</f>
        <v>Home&amp;Kitchen|Heating,Cooling&amp;AirQuality|RoomHeaters|HeatConvectors</v>
      </c>
    </row>
    <row r="175">
      <c r="A175" s="7" t="s">
        <v>203</v>
      </c>
      <c r="B175" s="7" t="s">
        <v>15</v>
      </c>
      <c r="C175" s="8">
        <v>325.0</v>
      </c>
      <c r="D175" s="8">
        <v>999.0</v>
      </c>
      <c r="E175" s="19">
        <v>0.67</v>
      </c>
      <c r="F175" s="10">
        <v>4.3</v>
      </c>
      <c r="G175" s="11">
        <v>2651.0</v>
      </c>
      <c r="K175" s="17" t="str">
        <f>IFERROR(__xludf.DUMMYFUNCTION("""COMPUTED_VALUE"""),"Home&amp;Kitchen|Kitchen&amp;HomeAppliances|Coffee,Tea&amp;Espresso|CoffeeGrinders|ElectricGrinders")</f>
        <v>Home&amp;Kitchen|Kitchen&amp;HomeAppliances|Coffee,Tea&amp;Espresso|CoffeeGrinders|ElectricGrinders</v>
      </c>
    </row>
    <row r="176">
      <c r="A176" s="7" t="s">
        <v>204</v>
      </c>
      <c r="B176" s="7" t="s">
        <v>15</v>
      </c>
      <c r="C176" s="8">
        <v>399.0</v>
      </c>
      <c r="D176" s="8">
        <v>1999.0</v>
      </c>
      <c r="E176" s="19">
        <v>0.8</v>
      </c>
      <c r="F176" s="10">
        <v>5.0</v>
      </c>
      <c r="G176" s="10">
        <v>5.0</v>
      </c>
      <c r="K176" s="17" t="str">
        <f>IFERROR(__xludf.DUMMYFUNCTION("""COMPUTED_VALUE"""),"Home&amp;Kitchen|Heating,Cooling&amp;AirQuality|Fans|ExhaustFans")</f>
        <v>Home&amp;Kitchen|Heating,Cooling&amp;AirQuality|Fans|ExhaustFans</v>
      </c>
    </row>
    <row r="177">
      <c r="A177" s="7" t="s">
        <v>205</v>
      </c>
      <c r="B177" s="7" t="s">
        <v>25</v>
      </c>
      <c r="C177" s="8">
        <v>199.0</v>
      </c>
      <c r="D177" s="8">
        <v>499.0</v>
      </c>
      <c r="E177" s="19">
        <v>0.6</v>
      </c>
      <c r="F177" s="10">
        <v>3.7</v>
      </c>
      <c r="G177" s="10">
        <v>612.0</v>
      </c>
      <c r="K177" s="17" t="str">
        <f>IFERROR(__xludf.DUMMYFUNCTION("""COMPUTED_VALUE"""),"Home&amp;Kitchen|Kitchen&amp;HomeAppliances|Coffee,Tea&amp;Espresso|DripCoffeeMachines")</f>
        <v>Home&amp;Kitchen|Kitchen&amp;HomeAppliances|Coffee,Tea&amp;Espresso|DripCoffeeMachines</v>
      </c>
    </row>
    <row r="178">
      <c r="A178" s="7" t="s">
        <v>206</v>
      </c>
      <c r="B178" s="7" t="s">
        <v>15</v>
      </c>
      <c r="C178" s="8">
        <v>88.0</v>
      </c>
      <c r="D178" s="8">
        <v>299.0</v>
      </c>
      <c r="E178" s="19">
        <v>0.71</v>
      </c>
      <c r="F178" s="10">
        <v>4.0</v>
      </c>
      <c r="G178" s="11">
        <v>9378.0</v>
      </c>
      <c r="K178" s="17" t="str">
        <f>IFERROR(__xludf.DUMMYFUNCTION("""COMPUTED_VALUE"""),"Home&amp;Kitchen|Kitchen&amp;HomeAppliances|WaterPurifiers&amp;Accessories|WaterPurifierAccessories")</f>
        <v>Home&amp;Kitchen|Kitchen&amp;HomeAppliances|WaterPurifiers&amp;Accessories|WaterPurifierAccessories</v>
      </c>
    </row>
    <row r="179">
      <c r="A179" s="7" t="s">
        <v>207</v>
      </c>
      <c r="B179" s="7" t="s">
        <v>15</v>
      </c>
      <c r="C179" s="8">
        <v>399.0</v>
      </c>
      <c r="D179" s="8">
        <v>1099.0</v>
      </c>
      <c r="E179" s="19">
        <v>0.64</v>
      </c>
      <c r="F179" s="10">
        <v>4.1</v>
      </c>
      <c r="G179" s="11">
        <v>2685.0</v>
      </c>
      <c r="K179" s="17" t="str">
        <f>IFERROR(__xludf.DUMMYFUNCTION("""COMPUTED_VALUE"""),"Home&amp;Kitchen|Kitchen&amp;HomeAppliances|WaterPurifiers&amp;Accessories|WaterCartridges")</f>
        <v>Home&amp;Kitchen|Kitchen&amp;HomeAppliances|WaterPurifiers&amp;Accessories|WaterCartridges</v>
      </c>
    </row>
    <row r="180">
      <c r="A180" s="7" t="s">
        <v>208</v>
      </c>
      <c r="B180" s="7" t="s">
        <v>15</v>
      </c>
      <c r="C180" s="8">
        <v>57.89</v>
      </c>
      <c r="D180" s="8">
        <v>199.0</v>
      </c>
      <c r="E180" s="19">
        <v>0.71</v>
      </c>
      <c r="F180" s="10">
        <v>4.0</v>
      </c>
      <c r="G180" s="11">
        <v>9378.0</v>
      </c>
      <c r="K180" s="17" t="str">
        <f>IFERROR(__xludf.DUMMYFUNCTION("""COMPUTED_VALUE"""),"Home&amp;Kitchen|Kitchen&amp;HomeAppliances|SmallKitchenAppliances|Rice&amp;PastaCookers")</f>
        <v>Home&amp;Kitchen|Kitchen&amp;HomeAppliances|SmallKitchenAppliances|Rice&amp;PastaCookers</v>
      </c>
    </row>
    <row r="181">
      <c r="A181" s="7" t="s">
        <v>209</v>
      </c>
      <c r="B181" s="7" t="s">
        <v>71</v>
      </c>
      <c r="C181" s="8">
        <v>799.0</v>
      </c>
      <c r="D181" s="8">
        <v>1999.0</v>
      </c>
      <c r="E181" s="19">
        <v>0.6</v>
      </c>
      <c r="F181" s="10">
        <v>3.3</v>
      </c>
      <c r="G181" s="10">
        <v>576.0</v>
      </c>
      <c r="K181" s="17" t="str">
        <f>IFERROR(__xludf.DUMMYFUNCTION("""COMPUTED_VALUE"""),"Car&amp;Motorbike|CarAccessories|InteriorAccessories|AirPurifiers&amp;Ionizers")</f>
        <v>Car&amp;Motorbike|CarAccessories|InteriorAccessories|AirPurifiers&amp;Ionizers</v>
      </c>
    </row>
    <row r="182">
      <c r="A182" s="7" t="s">
        <v>210</v>
      </c>
      <c r="B182" s="7" t="s">
        <v>71</v>
      </c>
      <c r="C182" s="8">
        <v>205.0</v>
      </c>
      <c r="D182" s="8">
        <v>499.0</v>
      </c>
      <c r="E182" s="19">
        <v>0.59</v>
      </c>
      <c r="F182" s="10">
        <v>3.8</v>
      </c>
      <c r="G182" s="10">
        <v>313.0</v>
      </c>
      <c r="K182" s="17" t="str">
        <f>IFERROR(__xludf.DUMMYFUNCTION("""COMPUTED_VALUE"""),"Home&amp;Kitchen|Kitchen&amp;HomeAppliances|Vacuum,Cleaning&amp;Ironing|Vacuums&amp;FloorCare|Vacuums|Wet-DryVacuums")</f>
        <v>Home&amp;Kitchen|Kitchen&amp;HomeAppliances|Vacuum,Cleaning&amp;Ironing|Vacuums&amp;FloorCare|Vacuums|Wet-DryVacuums</v>
      </c>
    </row>
    <row r="183">
      <c r="A183" s="7" t="s">
        <v>211</v>
      </c>
      <c r="B183" s="7" t="s">
        <v>15</v>
      </c>
      <c r="C183" s="8">
        <v>299.0</v>
      </c>
      <c r="D183" s="8">
        <v>699.0</v>
      </c>
      <c r="E183" s="19">
        <v>0.57</v>
      </c>
      <c r="F183" s="10">
        <v>4.1</v>
      </c>
      <c r="G183" s="11">
        <v>2957.0</v>
      </c>
      <c r="K183" s="17" t="str">
        <f>IFERROR(__xludf.DUMMYFUNCTION("""COMPUTED_VALUE"""),"Home&amp;Kitchen|Heating,Cooling&amp;AirQuality|AirPurifiers|HEPAAirPurifiers")</f>
        <v>Home&amp;Kitchen|Heating,Cooling&amp;AirQuality|AirPurifiers|HEPAAirPurifiers</v>
      </c>
    </row>
    <row r="184">
      <c r="A184" s="7" t="s">
        <v>212</v>
      </c>
      <c r="B184" s="7" t="s">
        <v>15</v>
      </c>
      <c r="C184" s="8">
        <v>849.0</v>
      </c>
      <c r="D184" s="8">
        <v>999.0</v>
      </c>
      <c r="E184" s="19">
        <v>0.15</v>
      </c>
      <c r="F184" s="10">
        <v>4.1</v>
      </c>
      <c r="G184" s="11">
        <v>6736.0</v>
      </c>
      <c r="K184" s="17" t="str">
        <f>IFERROR(__xludf.DUMMYFUNCTION("""COMPUTED_VALUE"""),"Home&amp;Kitchen|Kitchen&amp;HomeAppliances|WaterPurifiers&amp;Accessories|WaterFilters&amp;Purifiers")</f>
        <v>Home&amp;Kitchen|Kitchen&amp;HomeAppliances|WaterPurifiers&amp;Accessories|WaterFilters&amp;Purifiers</v>
      </c>
    </row>
    <row r="185">
      <c r="A185" s="7" t="s">
        <v>213</v>
      </c>
      <c r="B185" s="7" t="s">
        <v>15</v>
      </c>
      <c r="C185" s="8">
        <v>949.0</v>
      </c>
      <c r="D185" s="8">
        <v>1999.0</v>
      </c>
      <c r="E185" s="19">
        <v>0.53</v>
      </c>
      <c r="F185" s="10">
        <v>4.4</v>
      </c>
      <c r="G185" s="11">
        <v>13552.0</v>
      </c>
      <c r="K185" s="17" t="str">
        <f>IFERROR(__xludf.DUMMYFUNCTION("""COMPUTED_VALUE"""),"Home&amp;Kitchen|HomeStorage&amp;Organization|LaundryOrganization|LaundryBags")</f>
        <v>Home&amp;Kitchen|HomeStorage&amp;Organization|LaundryOrganization|LaundryBags</v>
      </c>
    </row>
    <row r="186">
      <c r="A186" s="7" t="s">
        <v>214</v>
      </c>
      <c r="B186" s="7" t="s">
        <v>15</v>
      </c>
      <c r="C186" s="8">
        <v>499.0</v>
      </c>
      <c r="D186" s="8">
        <v>1200.0</v>
      </c>
      <c r="E186" s="19">
        <v>0.58</v>
      </c>
      <c r="F186" s="10">
        <v>4.3</v>
      </c>
      <c r="G186" s="11">
        <v>5451.0</v>
      </c>
      <c r="K186" s="17" t="str">
        <f>IFERROR(__xludf.DUMMYFUNCTION("""COMPUTED_VALUE"""),"Home&amp;Kitchen|Kitchen&amp;HomeAppliances|SewingMachines&amp;Accessories|Sewing&amp;EmbroideryMachines")</f>
        <v>Home&amp;Kitchen|Kitchen&amp;HomeAppliances|SewingMachines&amp;Accessories|Sewing&amp;EmbroideryMachines</v>
      </c>
    </row>
    <row r="187">
      <c r="A187" s="7" t="s">
        <v>215</v>
      </c>
      <c r="B187" s="7" t="s">
        <v>15</v>
      </c>
      <c r="C187" s="8">
        <v>299.0</v>
      </c>
      <c r="D187" s="8">
        <v>485.0</v>
      </c>
      <c r="E187" s="19">
        <v>0.38</v>
      </c>
      <c r="F187" s="10">
        <v>4.3</v>
      </c>
      <c r="G187" s="11">
        <v>10911.0</v>
      </c>
      <c r="K187" s="17" t="str">
        <f>IFERROR(__xludf.DUMMYFUNCTION("""COMPUTED_VALUE"""),"Home&amp;Kitchen|HomeStorage&amp;Organization|LaundryOrganization|IroningAccessories|SprayBottles")</f>
        <v>Home&amp;Kitchen|HomeStorage&amp;Organization|LaundryOrganization|IroningAccessories|SprayBottles</v>
      </c>
    </row>
    <row r="188">
      <c r="A188" s="7" t="s">
        <v>216</v>
      </c>
      <c r="B188" s="7" t="s">
        <v>15</v>
      </c>
      <c r="C188" s="8">
        <v>949.0</v>
      </c>
      <c r="D188" s="8">
        <v>1999.0</v>
      </c>
      <c r="E188" s="19">
        <v>0.53</v>
      </c>
      <c r="F188" s="10">
        <v>4.4</v>
      </c>
      <c r="G188" s="11">
        <v>13552.0</v>
      </c>
      <c r="K188" s="17" t="str">
        <f>IFERROR(__xludf.DUMMYFUNCTION("""COMPUTED_VALUE"""),"Home&amp;Kitchen|Kitchen&amp;HomeAppliances|SmallKitchenAppliances|HandMixers")</f>
        <v>Home&amp;Kitchen|Kitchen&amp;HomeAppliances|SmallKitchenAppliances|HandMixers</v>
      </c>
    </row>
    <row r="189">
      <c r="A189" s="7" t="s">
        <v>217</v>
      </c>
      <c r="B189" s="7" t="s">
        <v>15</v>
      </c>
      <c r="C189" s="8">
        <v>379.0</v>
      </c>
      <c r="D189" s="8">
        <v>1099.0</v>
      </c>
      <c r="E189" s="19">
        <v>0.66</v>
      </c>
      <c r="F189" s="10">
        <v>4.3</v>
      </c>
      <c r="G189" s="11">
        <v>2806.0</v>
      </c>
      <c r="K189" s="17" t="str">
        <f>IFERROR(__xludf.DUMMYFUNCTION("""COMPUTED_VALUE"""),"Home&amp;Kitchen|Kitchen&amp;HomeAppliances|SmallKitchenAppliances|Mills&amp;Grinders|WetGrinders")</f>
        <v>Home&amp;Kitchen|Kitchen&amp;HomeAppliances|SmallKitchenAppliances|Mills&amp;Grinders|WetGrinders</v>
      </c>
    </row>
    <row r="190">
      <c r="A190" s="7" t="s">
        <v>218</v>
      </c>
      <c r="B190" s="7" t="s">
        <v>37</v>
      </c>
      <c r="C190" s="8">
        <v>8990.0</v>
      </c>
      <c r="D190" s="8">
        <v>18990.0</v>
      </c>
      <c r="E190" s="19">
        <v>0.53</v>
      </c>
      <c r="F190" s="10">
        <v>3.9</v>
      </c>
      <c r="G190" s="10">
        <v>350.0</v>
      </c>
      <c r="K190" s="17" t="str">
        <f>IFERROR(__xludf.DUMMYFUNCTION("""COMPUTED_VALUE"""),"Home&amp;Kitchen|Kitchen&amp;HomeAppliances|SmallKitchenAppliances|OvenToasterGrills")</f>
        <v>Home&amp;Kitchen|Kitchen&amp;HomeAppliances|SmallKitchenAppliances|OvenToasterGrills</v>
      </c>
    </row>
    <row r="191">
      <c r="A191" s="7" t="s">
        <v>219</v>
      </c>
      <c r="B191" s="7" t="s">
        <v>177</v>
      </c>
      <c r="C191" s="8">
        <v>486.0</v>
      </c>
      <c r="D191" s="8">
        <v>1999.0</v>
      </c>
      <c r="E191" s="19">
        <v>0.76</v>
      </c>
      <c r="F191" s="10">
        <v>4.2</v>
      </c>
      <c r="G191" s="11">
        <v>30023.0</v>
      </c>
      <c r="K191" s="17" t="str">
        <f>IFERROR(__xludf.DUMMYFUNCTION("""COMPUTED_VALUE"""),"Home&amp;Kitchen|Kitchen&amp;HomeAppliances|SmallKitchenAppliances|Juicers")</f>
        <v>Home&amp;Kitchen|Kitchen&amp;HomeAppliances|SmallKitchenAppliances|Juicers</v>
      </c>
    </row>
    <row r="192">
      <c r="A192" s="7" t="s">
        <v>220</v>
      </c>
      <c r="B192" s="7" t="s">
        <v>77</v>
      </c>
      <c r="C192" s="8">
        <v>5699.0</v>
      </c>
      <c r="D192" s="8">
        <v>11000.0</v>
      </c>
      <c r="E192" s="19">
        <v>0.48</v>
      </c>
      <c r="F192" s="10">
        <v>4.2</v>
      </c>
      <c r="G192" s="11">
        <v>4003.0</v>
      </c>
      <c r="K192" s="17" t="str">
        <f>IFERROR(__xludf.DUMMYFUNCTION("""COMPUTED_VALUE"""),"Home&amp;Kitchen|Kitchen&amp;HomeAppliances|SmallKitchenAppliances")</f>
        <v>Home&amp;Kitchen|Kitchen&amp;HomeAppliances|SmallKitchenAppliances</v>
      </c>
    </row>
    <row r="193">
      <c r="A193" s="7" t="s">
        <v>221</v>
      </c>
      <c r="B193" s="7" t="s">
        <v>15</v>
      </c>
      <c r="C193" s="8">
        <v>709.0</v>
      </c>
      <c r="D193" s="8">
        <v>1999.0</v>
      </c>
      <c r="E193" s="19">
        <v>0.65</v>
      </c>
      <c r="F193" s="10">
        <v>4.1</v>
      </c>
      <c r="G193" s="7" t="s">
        <v>222</v>
      </c>
      <c r="K193" s="17" t="str">
        <f>IFERROR(__xludf.DUMMYFUNCTION("""COMPUTED_VALUE"""),"Health&amp;PersonalCare|HomeMedicalSupplies&amp;Equipment|HealthMonitors|WeighingScales|DigitalBathroomScales")</f>
        <v>Health&amp;PersonalCare|HomeMedicalSupplies&amp;Equipment|HealthMonitors|WeighingScales|DigitalBathroomScales</v>
      </c>
    </row>
    <row r="194">
      <c r="A194" s="7" t="s">
        <v>223</v>
      </c>
      <c r="B194" s="7" t="s">
        <v>37</v>
      </c>
      <c r="C194" s="8">
        <v>47990.0</v>
      </c>
      <c r="D194" s="8">
        <v>70900.0</v>
      </c>
      <c r="E194" s="19">
        <v>0.32</v>
      </c>
      <c r="F194" s="10">
        <v>4.3</v>
      </c>
      <c r="G194" s="11">
        <v>7109.0</v>
      </c>
      <c r="K194" s="17" t="str">
        <f>IFERROR(__xludf.DUMMYFUNCTION("""COMPUTED_VALUE"""),"Home&amp;Kitchen|Kitchen&amp;HomeAppliances|Coffee,Tea&amp;Espresso|EspressoMachines")</f>
        <v>Home&amp;Kitchen|Kitchen&amp;HomeAppliances|Coffee,Tea&amp;Espresso|EspressoMachines</v>
      </c>
    </row>
    <row r="195">
      <c r="A195" s="7" t="s">
        <v>224</v>
      </c>
      <c r="B195" s="7" t="s">
        <v>71</v>
      </c>
      <c r="C195" s="8">
        <v>299.0</v>
      </c>
      <c r="D195" s="8">
        <v>1199.0</v>
      </c>
      <c r="E195" s="19">
        <v>0.75</v>
      </c>
      <c r="F195" s="10">
        <v>3.7</v>
      </c>
      <c r="G195" s="10">
        <v>490.0</v>
      </c>
      <c r="K195" s="17" t="str">
        <f>IFERROR(__xludf.DUMMYFUNCTION("""COMPUTED_VALUE"""),"Home&amp;Kitchen|Heating,Cooling&amp;AirQuality|Fans|TableFans")</f>
        <v>Home&amp;Kitchen|Heating,Cooling&amp;AirQuality|Fans|TableFans</v>
      </c>
    </row>
    <row r="196">
      <c r="A196" s="7" t="s">
        <v>225</v>
      </c>
      <c r="B196" s="7" t="s">
        <v>15</v>
      </c>
      <c r="C196" s="8">
        <v>320.0</v>
      </c>
      <c r="D196" s="8">
        <v>599.0</v>
      </c>
      <c r="E196" s="19">
        <v>0.47</v>
      </c>
      <c r="F196" s="10">
        <v>4.1</v>
      </c>
      <c r="G196" s="10">
        <v>491.0</v>
      </c>
      <c r="K196" s="17" t="str">
        <f>IFERROR(__xludf.DUMMYFUNCTION("""COMPUTED_VALUE"""),"Home&amp;Kitchen|Kitchen&amp;HomeAppliances|Coffee,Tea&amp;Espresso|MilkFrothers")</f>
        <v>Home&amp;Kitchen|Kitchen&amp;HomeAppliances|Coffee,Tea&amp;Espresso|MilkFrothers</v>
      </c>
    </row>
    <row r="197">
      <c r="A197" s="7" t="s">
        <v>226</v>
      </c>
      <c r="B197" s="7" t="s">
        <v>15</v>
      </c>
      <c r="C197" s="8">
        <v>139.0</v>
      </c>
      <c r="D197" s="8">
        <v>549.0</v>
      </c>
      <c r="E197" s="19">
        <v>0.75</v>
      </c>
      <c r="F197" s="10">
        <v>3.9</v>
      </c>
      <c r="G197" s="10">
        <v>61.0</v>
      </c>
      <c r="K197" s="17" t="str">
        <f>IFERROR(__xludf.DUMMYFUNCTION("""COMPUTED_VALUE"""),"Home&amp;Kitchen|Heating,Cooling&amp;AirQuality|Humidifiers")</f>
        <v>Home&amp;Kitchen|Heating,Cooling&amp;AirQuality|Humidifiers</v>
      </c>
    </row>
    <row r="198">
      <c r="A198" s="7" t="s">
        <v>227</v>
      </c>
      <c r="B198" s="7" t="s">
        <v>15</v>
      </c>
      <c r="C198" s="8">
        <v>129.0</v>
      </c>
      <c r="D198" s="8">
        <v>249.0</v>
      </c>
      <c r="E198" s="19">
        <v>0.48</v>
      </c>
      <c r="F198" s="10">
        <v>4.0</v>
      </c>
      <c r="G198" s="11">
        <v>9378.0</v>
      </c>
      <c r="K198" s="17" t="str">
        <f>IFERROR(__xludf.DUMMYFUNCTION("""COMPUTED_VALUE"""),"Home&amp;Kitchen|Kitchen&amp;HomeAppliances|SmallKitchenAppliances|SmallApplianceParts&amp;Accessories|StandMixerAccessories")</f>
        <v>Home&amp;Kitchen|Kitchen&amp;HomeAppliances|SmallKitchenAppliances|SmallApplianceParts&amp;Accessories|StandMixerAccessories</v>
      </c>
    </row>
    <row r="199">
      <c r="A199" s="7" t="s">
        <v>228</v>
      </c>
      <c r="B199" s="7" t="s">
        <v>37</v>
      </c>
      <c r="C199" s="8">
        <v>24999.0</v>
      </c>
      <c r="D199" s="8">
        <v>35999.0</v>
      </c>
      <c r="E199" s="19">
        <v>0.31</v>
      </c>
      <c r="F199" s="10">
        <v>4.2</v>
      </c>
      <c r="G199" s="11">
        <v>32840.0</v>
      </c>
      <c r="K199" s="17" t="str">
        <f>IFERROR(__xludf.DUMMYFUNCTION("""COMPUTED_VALUE"""),"Home&amp;Kitchen|Kitchen&amp;HomeAppliances|Vacuum,Cleaning&amp;Ironing|Vacuums&amp;FloorCare|Vacuums|RoboticVacuums")</f>
        <v>Home&amp;Kitchen|Kitchen&amp;HomeAppliances|Vacuum,Cleaning&amp;Ironing|Vacuums&amp;FloorCare|Vacuums|RoboticVacuums</v>
      </c>
    </row>
    <row r="200">
      <c r="A200" s="7" t="s">
        <v>229</v>
      </c>
      <c r="B200" s="7" t="s">
        <v>15</v>
      </c>
      <c r="C200" s="8">
        <v>999.0</v>
      </c>
      <c r="D200" s="8">
        <v>1699.0</v>
      </c>
      <c r="E200" s="19">
        <v>0.41</v>
      </c>
      <c r="F200" s="10">
        <v>4.4</v>
      </c>
      <c r="G200" s="11">
        <v>7318.0</v>
      </c>
      <c r="K200" s="17" t="str">
        <f>IFERROR(__xludf.DUMMYFUNCTION("""COMPUTED_VALUE"""),"Home&amp;Kitchen|Kitchen&amp;HomeAppliances|SmallKitchenAppliances|YogurtMakers")</f>
        <v>Home&amp;Kitchen|Kitchen&amp;HomeAppliances|SmallKitchenAppliances|YogurtMakers</v>
      </c>
    </row>
    <row r="201">
      <c r="A201" s="7" t="s">
        <v>230</v>
      </c>
      <c r="B201" s="7" t="s">
        <v>15</v>
      </c>
      <c r="C201" s="8">
        <v>225.0</v>
      </c>
      <c r="D201" s="8">
        <v>499.0</v>
      </c>
      <c r="E201" s="19">
        <v>0.55</v>
      </c>
      <c r="F201" s="10">
        <v>4.1</v>
      </c>
      <c r="G201" s="10">
        <v>789.0</v>
      </c>
      <c r="K201" s="17" t="str">
        <f>IFERROR(__xludf.DUMMYFUNCTION("""COMPUTED_VALUE"""),"Home&amp;Kitchen|Kitchen&amp;HomeAppliances|SmallKitchenAppliances|Juicers|ColdPressJuicers")</f>
        <v>Home&amp;Kitchen|Kitchen&amp;HomeAppliances|SmallKitchenAppliances|Juicers|ColdPressJuicers</v>
      </c>
    </row>
    <row r="202">
      <c r="A202" s="7" t="s">
        <v>231</v>
      </c>
      <c r="B202" s="7" t="s">
        <v>71</v>
      </c>
      <c r="C202" s="8">
        <v>547.0</v>
      </c>
      <c r="D202" s="8">
        <v>2999.0</v>
      </c>
      <c r="E202" s="19">
        <v>0.82</v>
      </c>
      <c r="F202" s="10">
        <v>4.3</v>
      </c>
      <c r="G202" s="10">
        <v>407.0</v>
      </c>
      <c r="K202" s="17" t="str">
        <f>IFERROR(__xludf.DUMMYFUNCTION("""COMPUTED_VALUE"""),"Home&amp;Kitchen|Heating,Cooling&amp;AirQuality|AirConditioners|Split-SystemAirConditioners")</f>
        <v>Home&amp;Kitchen|Heating,Cooling&amp;AirQuality|AirConditioners|Split-SystemAirConditioners</v>
      </c>
    </row>
    <row r="203">
      <c r="A203" s="7" t="s">
        <v>232</v>
      </c>
      <c r="B203" s="7" t="s">
        <v>15</v>
      </c>
      <c r="C203" s="8">
        <v>259.0</v>
      </c>
      <c r="D203" s="8">
        <v>699.0</v>
      </c>
      <c r="E203" s="19">
        <v>0.63</v>
      </c>
      <c r="F203" s="10">
        <v>3.8</v>
      </c>
      <c r="G203" s="11">
        <v>2399.0</v>
      </c>
      <c r="K203" s="17" t="str">
        <f>IFERROR(__xludf.DUMMYFUNCTION("""COMPUTED_VALUE"""),"Home&amp;Kitchen|Kitchen&amp;HomeAppliances|SmallKitchenAppliances|SmallApplianceParts&amp;Accessories")</f>
        <v>Home&amp;Kitchen|Kitchen&amp;HomeAppliances|SmallKitchenAppliances|SmallApplianceParts&amp;Accessories</v>
      </c>
    </row>
    <row r="204">
      <c r="A204" s="7" t="s">
        <v>233</v>
      </c>
      <c r="B204" s="7" t="s">
        <v>71</v>
      </c>
      <c r="C204" s="8">
        <v>239.0</v>
      </c>
      <c r="D204" s="8">
        <v>699.0</v>
      </c>
      <c r="E204" s="19">
        <v>0.66</v>
      </c>
      <c r="F204" s="10">
        <v>4.4</v>
      </c>
      <c r="G204" s="11">
        <v>2640.0</v>
      </c>
      <c r="K204" s="17" t="str">
        <f>IFERROR(__xludf.DUMMYFUNCTION("""COMPUTED_VALUE"""),"Home&amp;Kitchen|Kitchen&amp;HomeAppliances|SmallKitchenAppliances|WaffleMakers&amp;Irons")</f>
        <v>Home&amp;Kitchen|Kitchen&amp;HomeAppliances|SmallKitchenAppliances|WaffleMakers&amp;Irons</v>
      </c>
    </row>
    <row r="205">
      <c r="A205" s="7" t="s">
        <v>234</v>
      </c>
      <c r="B205" s="7" t="s">
        <v>71</v>
      </c>
      <c r="C205" s="8">
        <v>349.0</v>
      </c>
      <c r="D205" s="8">
        <v>999.0</v>
      </c>
      <c r="E205" s="19">
        <v>0.65</v>
      </c>
      <c r="F205" s="10">
        <v>4.0</v>
      </c>
      <c r="G205" s="10">
        <v>839.0</v>
      </c>
      <c r="K205" s="17" t="str">
        <f>IFERROR(__xludf.DUMMYFUNCTION("""COMPUTED_VALUE"""),"Home&amp;Kitchen|Kitchen&amp;HomeAppliances|Coffee,Tea&amp;Espresso|StovetopEspressoPots")</f>
        <v>Home&amp;Kitchen|Kitchen&amp;HomeAppliances|Coffee,Tea&amp;Espresso|StovetopEspressoPots</v>
      </c>
    </row>
    <row r="206">
      <c r="A206" s="7" t="s">
        <v>235</v>
      </c>
      <c r="B206" s="7" t="s">
        <v>31</v>
      </c>
      <c r="C206" s="8">
        <v>467.0</v>
      </c>
      <c r="D206" s="8">
        <v>599.0</v>
      </c>
      <c r="E206" s="19">
        <v>0.22</v>
      </c>
      <c r="F206" s="10">
        <v>4.4</v>
      </c>
      <c r="G206" s="11">
        <v>44054.0</v>
      </c>
      <c r="K206" s="17" t="str">
        <f>IFERROR(__xludf.DUMMYFUNCTION("""COMPUTED_VALUE"""),"Home&amp;Kitchen|Kitchen&amp;HomeAppliances|Coffee,Tea&amp;Espresso|CoffeeMakerAccessories|MeasuringSpoons")</f>
        <v>Home&amp;Kitchen|Kitchen&amp;HomeAppliances|Coffee,Tea&amp;Espresso|CoffeeMakerAccessories|MeasuringSpoons</v>
      </c>
    </row>
    <row r="207">
      <c r="A207" s="7" t="s">
        <v>236</v>
      </c>
      <c r="B207" s="7" t="s">
        <v>15</v>
      </c>
      <c r="C207" s="8">
        <v>449.0</v>
      </c>
      <c r="D207" s="8">
        <v>599.0</v>
      </c>
      <c r="E207" s="19">
        <v>0.25</v>
      </c>
      <c r="F207" s="10">
        <v>4.0</v>
      </c>
      <c r="G207" s="11">
        <v>3231.0</v>
      </c>
      <c r="K207" s="17" t="str">
        <f>IFERROR(__xludf.DUMMYFUNCTION("""COMPUTED_VALUE"""),"Home&amp;Kitchen|Kitchen&amp;HomeAppliances|Coffee,Tea&amp;Espresso|CoffeePresses")</f>
        <v>Home&amp;Kitchen|Kitchen&amp;HomeAppliances|Coffee,Tea&amp;Espresso|CoffeePresses</v>
      </c>
    </row>
    <row r="208">
      <c r="A208" s="7" t="s">
        <v>237</v>
      </c>
      <c r="B208" s="7" t="s">
        <v>37</v>
      </c>
      <c r="C208" s="8">
        <v>11990.0</v>
      </c>
      <c r="D208" s="8">
        <v>31990.0</v>
      </c>
      <c r="E208" s="19">
        <v>0.63</v>
      </c>
      <c r="F208" s="10">
        <v>4.2</v>
      </c>
      <c r="G208" s="10">
        <v>64.0</v>
      </c>
      <c r="K208" s="17" t="str">
        <f>IFERROR(__xludf.DUMMYFUNCTION("""COMPUTED_VALUE"""),"Home&amp;Kitchen|Kitchen&amp;HomeAppliances|SmallKitchenAppliances|RotiMakers")</f>
        <v>Home&amp;Kitchen|Kitchen&amp;HomeAppliances|SmallKitchenAppliances|RotiMakers</v>
      </c>
    </row>
    <row r="209">
      <c r="A209" s="7" t="s">
        <v>238</v>
      </c>
      <c r="B209" s="7" t="s">
        <v>15</v>
      </c>
      <c r="C209" s="8">
        <v>350.0</v>
      </c>
      <c r="D209" s="8">
        <v>599.0</v>
      </c>
      <c r="E209" s="19">
        <v>0.42</v>
      </c>
      <c r="F209" s="10">
        <v>3.9</v>
      </c>
      <c r="G209" s="11">
        <v>8314.0</v>
      </c>
      <c r="K209" s="17" t="str">
        <f>IFERROR(__xludf.DUMMYFUNCTION("""COMPUTED_VALUE"""),"Home&amp;Kitchen|Heating,Cooling&amp;AirQuality|Parts&amp;Accessories|FanParts&amp;Accessories")</f>
        <v>Home&amp;Kitchen|Heating,Cooling&amp;AirQuality|Parts&amp;Accessories|FanParts&amp;Accessories</v>
      </c>
    </row>
    <row r="210">
      <c r="A210" s="7" t="s">
        <v>239</v>
      </c>
      <c r="B210" s="7" t="s">
        <v>15</v>
      </c>
      <c r="C210" s="8">
        <v>252.0</v>
      </c>
      <c r="D210" s="8">
        <v>999.0</v>
      </c>
      <c r="E210" s="19">
        <v>0.75</v>
      </c>
      <c r="F210" s="10">
        <v>3.7</v>
      </c>
      <c r="G210" s="11">
        <v>2249.0</v>
      </c>
      <c r="K210" s="17" t="str">
        <f>IFERROR(__xludf.DUMMYFUNCTION("""COMPUTED_VALUE"""),"Home&amp;Kitchen|Kitchen&amp;HomeAppliances|SmallKitchenAppliances|StandMixers")</f>
        <v>Home&amp;Kitchen|Kitchen&amp;HomeAppliances|SmallKitchenAppliances|StandMixers</v>
      </c>
    </row>
    <row r="211">
      <c r="A211" s="7" t="s">
        <v>240</v>
      </c>
      <c r="B211" s="7" t="s">
        <v>71</v>
      </c>
      <c r="C211" s="8">
        <v>204.0</v>
      </c>
      <c r="D211" s="8">
        <v>599.0</v>
      </c>
      <c r="E211" s="19">
        <v>0.66</v>
      </c>
      <c r="F211" s="10">
        <v>3.6</v>
      </c>
      <c r="G211" s="10">
        <v>339.0</v>
      </c>
      <c r="K211" s="17" t="str">
        <f>IFERROR(__xludf.DUMMYFUNCTION("""COMPUTED_VALUE"""),"Home&amp;Kitchen|Heating,Cooling&amp;AirQuality|Fans|PedestalFans")</f>
        <v>Home&amp;Kitchen|Heating,Cooling&amp;AirQuality|Fans|PedestalFans</v>
      </c>
    </row>
    <row r="212">
      <c r="A212" s="7" t="s">
        <v>241</v>
      </c>
      <c r="B212" s="7" t="s">
        <v>187</v>
      </c>
      <c r="C212" s="8">
        <v>6490.0</v>
      </c>
      <c r="D212" s="8">
        <v>9990.0</v>
      </c>
      <c r="E212" s="19">
        <v>0.35</v>
      </c>
      <c r="F212" s="10">
        <v>4.0</v>
      </c>
      <c r="G212" s="10">
        <v>27.0</v>
      </c>
      <c r="K212" s="17" t="str">
        <f>IFERROR(__xludf.DUMMYFUNCTION("""COMPUTED_VALUE"""),"Home&amp;Kitchen|Kitchen&amp;HomeAppliances|Vacuum,Cleaning&amp;Ironing|Vacuums&amp;FloorCare|VacuumAccessories|VacuumBags|HandheldBags")</f>
        <v>Home&amp;Kitchen|Kitchen&amp;HomeAppliances|Vacuum,Cleaning&amp;Ironing|Vacuums&amp;FloorCare|VacuumAccessories|VacuumBags|HandheldBags</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v>0.7</v>
      </c>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v>0.67</v>
      </c>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v>0.58</v>
      </c>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v>0.5</v>
      </c>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v>0.38</v>
      </c>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v>0.57</v>
      </c>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v>0.62</v>
      </c>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1">
    <mergeCell ref="I2:J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1609</v>
      </c>
      <c r="K2" s="23">
        <f t="array" ref="K2:K1466">SORT(C2:C1466,1,True)</f>
        <v>39</v>
      </c>
    </row>
    <row r="3">
      <c r="A3" s="7" t="s">
        <v>17</v>
      </c>
      <c r="B3" s="7" t="s">
        <v>15</v>
      </c>
      <c r="C3" s="8">
        <v>199.0</v>
      </c>
      <c r="D3" s="8">
        <v>349.0</v>
      </c>
      <c r="E3" s="19">
        <v>0.43</v>
      </c>
      <c r="F3" s="10">
        <v>4.0</v>
      </c>
      <c r="G3" s="11">
        <v>43994.0</v>
      </c>
      <c r="K3" s="23">
        <v>39.0</v>
      </c>
    </row>
    <row r="4">
      <c r="A4" s="7" t="s">
        <v>18</v>
      </c>
      <c r="B4" s="7" t="s">
        <v>15</v>
      </c>
      <c r="C4" s="8">
        <v>199.0</v>
      </c>
      <c r="D4" s="8">
        <v>1899.0</v>
      </c>
      <c r="E4" s="19">
        <v>0.9</v>
      </c>
      <c r="F4" s="10">
        <v>3.9</v>
      </c>
      <c r="G4" s="11">
        <v>7928.0</v>
      </c>
      <c r="I4" s="22"/>
      <c r="K4" s="23">
        <v>39.0</v>
      </c>
    </row>
    <row r="5">
      <c r="A5" s="7" t="s">
        <v>19</v>
      </c>
      <c r="B5" s="7" t="s">
        <v>15</v>
      </c>
      <c r="C5" s="8">
        <v>329.0</v>
      </c>
      <c r="D5" s="8">
        <v>699.0</v>
      </c>
      <c r="E5" s="19">
        <v>0.53</v>
      </c>
      <c r="F5" s="10">
        <v>4.2</v>
      </c>
      <c r="G5" s="11">
        <v>94363.0</v>
      </c>
      <c r="K5" s="23">
        <v>50.0</v>
      </c>
    </row>
    <row r="6">
      <c r="A6" s="7" t="s">
        <v>20</v>
      </c>
      <c r="B6" s="7" t="s">
        <v>15</v>
      </c>
      <c r="C6" s="8">
        <v>154.0</v>
      </c>
      <c r="D6" s="8">
        <v>399.0</v>
      </c>
      <c r="E6" s="19">
        <v>0.61</v>
      </c>
      <c r="F6" s="10">
        <v>4.2</v>
      </c>
      <c r="G6" s="11">
        <v>16905.0</v>
      </c>
      <c r="K6" s="23">
        <v>57.89</v>
      </c>
    </row>
    <row r="7">
      <c r="A7" s="7" t="s">
        <v>21</v>
      </c>
      <c r="B7" s="7" t="s">
        <v>15</v>
      </c>
      <c r="C7" s="8">
        <v>149.0</v>
      </c>
      <c r="D7" s="8">
        <v>1000.0</v>
      </c>
      <c r="E7" s="19">
        <v>0.85</v>
      </c>
      <c r="F7" s="10">
        <v>3.9</v>
      </c>
      <c r="G7" s="11">
        <v>24871.0</v>
      </c>
      <c r="K7" s="23">
        <v>59.0</v>
      </c>
    </row>
    <row r="8">
      <c r="A8" s="7" t="s">
        <v>22</v>
      </c>
      <c r="B8" s="7" t="s">
        <v>15</v>
      </c>
      <c r="C8" s="8">
        <v>176.63</v>
      </c>
      <c r="D8" s="8">
        <v>499.0</v>
      </c>
      <c r="E8" s="19">
        <v>0.65</v>
      </c>
      <c r="F8" s="10">
        <v>4.1</v>
      </c>
      <c r="G8" s="11">
        <v>15188.0</v>
      </c>
      <c r="K8" s="23">
        <v>59.0</v>
      </c>
    </row>
    <row r="9">
      <c r="A9" s="7" t="s">
        <v>23</v>
      </c>
      <c r="B9" s="7" t="s">
        <v>15</v>
      </c>
      <c r="C9" s="8">
        <v>229.0</v>
      </c>
      <c r="D9" s="8">
        <v>299.0</v>
      </c>
      <c r="E9" s="19">
        <v>0.23</v>
      </c>
      <c r="F9" s="10">
        <v>4.3</v>
      </c>
      <c r="G9" s="11">
        <v>30411.0</v>
      </c>
      <c r="K9" s="23">
        <v>59.0</v>
      </c>
    </row>
    <row r="10">
      <c r="A10" s="7" t="s">
        <v>24</v>
      </c>
      <c r="B10" s="7" t="s">
        <v>25</v>
      </c>
      <c r="C10" s="8">
        <v>499.0</v>
      </c>
      <c r="D10" s="8">
        <v>999.0</v>
      </c>
      <c r="E10" s="19">
        <v>0.5</v>
      </c>
      <c r="F10" s="10">
        <v>4.2</v>
      </c>
      <c r="G10" s="7" t="s">
        <v>26</v>
      </c>
      <c r="K10" s="23">
        <v>59.0</v>
      </c>
    </row>
    <row r="11">
      <c r="A11" s="7" t="s">
        <v>27</v>
      </c>
      <c r="B11" s="7" t="s">
        <v>15</v>
      </c>
      <c r="C11" s="8">
        <v>199.0</v>
      </c>
      <c r="D11" s="8">
        <v>299.0</v>
      </c>
      <c r="E11" s="19">
        <v>0.33</v>
      </c>
      <c r="F11" s="10">
        <v>4.0</v>
      </c>
      <c r="G11" s="11">
        <v>43994.0</v>
      </c>
      <c r="K11" s="23">
        <v>59.0</v>
      </c>
    </row>
    <row r="12">
      <c r="A12" s="7" t="s">
        <v>28</v>
      </c>
      <c r="B12" s="7" t="s">
        <v>15</v>
      </c>
      <c r="C12" s="8">
        <v>154.0</v>
      </c>
      <c r="D12" s="8">
        <v>339.0</v>
      </c>
      <c r="E12" s="19">
        <v>0.55</v>
      </c>
      <c r="F12" s="10">
        <v>4.3</v>
      </c>
      <c r="G12" s="11">
        <v>13391.0</v>
      </c>
      <c r="K12" s="23">
        <v>67.0</v>
      </c>
    </row>
    <row r="13">
      <c r="A13" s="7" t="s">
        <v>29</v>
      </c>
      <c r="B13" s="7" t="s">
        <v>15</v>
      </c>
      <c r="C13" s="8">
        <v>299.0</v>
      </c>
      <c r="D13" s="8">
        <v>799.0</v>
      </c>
      <c r="E13" s="19">
        <v>0.63</v>
      </c>
      <c r="F13" s="10">
        <v>4.2</v>
      </c>
      <c r="G13" s="11">
        <v>94363.0</v>
      </c>
      <c r="K13" s="23">
        <v>69.0</v>
      </c>
    </row>
    <row r="14">
      <c r="A14" s="7" t="s">
        <v>30</v>
      </c>
      <c r="B14" s="7" t="s">
        <v>31</v>
      </c>
      <c r="C14" s="8">
        <v>219.0</v>
      </c>
      <c r="D14" s="8">
        <v>700.0</v>
      </c>
      <c r="E14" s="19">
        <v>0.69</v>
      </c>
      <c r="F14" s="10">
        <v>4.4</v>
      </c>
      <c r="G14" s="7" t="s">
        <v>32</v>
      </c>
      <c r="K14" s="23">
        <v>79.0</v>
      </c>
    </row>
    <row r="15">
      <c r="A15" s="7" t="s">
        <v>33</v>
      </c>
      <c r="B15" s="7" t="s">
        <v>15</v>
      </c>
      <c r="C15" s="8">
        <v>350.0</v>
      </c>
      <c r="D15" s="8">
        <v>899.0</v>
      </c>
      <c r="E15" s="19">
        <v>0.61</v>
      </c>
      <c r="F15" s="10">
        <v>4.2</v>
      </c>
      <c r="G15" s="11">
        <v>2262.0</v>
      </c>
      <c r="K15" s="23">
        <v>79.0</v>
      </c>
    </row>
    <row r="16">
      <c r="A16" s="7" t="s">
        <v>34</v>
      </c>
      <c r="B16" s="7" t="s">
        <v>15</v>
      </c>
      <c r="C16" s="8">
        <v>159.0</v>
      </c>
      <c r="D16" s="8">
        <v>399.0</v>
      </c>
      <c r="E16" s="19">
        <v>0.6</v>
      </c>
      <c r="F16" s="10">
        <v>4.1</v>
      </c>
      <c r="G16" s="11">
        <v>4768.0</v>
      </c>
      <c r="K16" s="23">
        <v>85.0</v>
      </c>
    </row>
    <row r="17">
      <c r="A17" s="7" t="s">
        <v>35</v>
      </c>
      <c r="B17" s="7" t="s">
        <v>15</v>
      </c>
      <c r="C17" s="8">
        <v>349.0</v>
      </c>
      <c r="D17" s="8">
        <v>399.0</v>
      </c>
      <c r="E17" s="19">
        <v>0.13</v>
      </c>
      <c r="F17" s="10">
        <v>4.4</v>
      </c>
      <c r="G17" s="11">
        <v>18757.0</v>
      </c>
      <c r="K17" s="23">
        <v>88.0</v>
      </c>
    </row>
    <row r="18">
      <c r="A18" s="7" t="s">
        <v>36</v>
      </c>
      <c r="B18" s="7" t="s">
        <v>37</v>
      </c>
      <c r="C18" s="8">
        <v>13999.0</v>
      </c>
      <c r="D18" s="8">
        <v>24999.0</v>
      </c>
      <c r="E18" s="19">
        <v>0.44</v>
      </c>
      <c r="F18" s="10">
        <v>4.2</v>
      </c>
      <c r="G18" s="11">
        <v>32840.0</v>
      </c>
      <c r="K18" s="23">
        <v>89.0</v>
      </c>
    </row>
    <row r="19">
      <c r="A19" s="7" t="s">
        <v>38</v>
      </c>
      <c r="B19" s="7" t="s">
        <v>15</v>
      </c>
      <c r="C19" s="8">
        <v>249.0</v>
      </c>
      <c r="D19" s="8">
        <v>399.0</v>
      </c>
      <c r="E19" s="19">
        <v>0.38</v>
      </c>
      <c r="F19" s="10">
        <v>4.0</v>
      </c>
      <c r="G19" s="11">
        <v>43994.0</v>
      </c>
      <c r="K19" s="23">
        <v>89.0</v>
      </c>
    </row>
    <row r="20">
      <c r="A20" s="7" t="s">
        <v>39</v>
      </c>
      <c r="B20" s="7" t="s">
        <v>15</v>
      </c>
      <c r="C20" s="8">
        <v>199.0</v>
      </c>
      <c r="D20" s="8">
        <v>499.0</v>
      </c>
      <c r="E20" s="19">
        <v>0.6</v>
      </c>
      <c r="F20" s="10">
        <v>4.1</v>
      </c>
      <c r="G20" s="11">
        <v>13045.0</v>
      </c>
      <c r="K20" s="23">
        <v>89.0</v>
      </c>
    </row>
    <row r="21">
      <c r="A21" s="7" t="s">
        <v>40</v>
      </c>
      <c r="B21" s="7" t="s">
        <v>37</v>
      </c>
      <c r="C21" s="8">
        <v>13490.0</v>
      </c>
      <c r="D21" s="8">
        <v>21990.0</v>
      </c>
      <c r="E21" s="19">
        <v>0.39</v>
      </c>
      <c r="F21" s="10">
        <v>4.3</v>
      </c>
      <c r="G21" s="11">
        <v>11976.0</v>
      </c>
      <c r="K21" s="23">
        <v>89.0</v>
      </c>
    </row>
    <row r="22">
      <c r="A22" s="7" t="s">
        <v>41</v>
      </c>
      <c r="B22" s="7" t="s">
        <v>15</v>
      </c>
      <c r="C22" s="8">
        <v>970.0</v>
      </c>
      <c r="D22" s="8">
        <v>1799.0</v>
      </c>
      <c r="E22" s="19">
        <v>0.46</v>
      </c>
      <c r="F22" s="10">
        <v>4.5</v>
      </c>
      <c r="G22" s="10">
        <v>815.0</v>
      </c>
      <c r="K22" s="23">
        <v>89.0</v>
      </c>
    </row>
    <row r="23">
      <c r="A23" s="7" t="s">
        <v>42</v>
      </c>
      <c r="B23" s="7" t="s">
        <v>31</v>
      </c>
      <c r="C23" s="8">
        <v>279.0</v>
      </c>
      <c r="D23" s="8">
        <v>499.0</v>
      </c>
      <c r="E23" s="19">
        <v>0.44</v>
      </c>
      <c r="F23" s="10">
        <v>3.7</v>
      </c>
      <c r="G23" s="11">
        <v>10962.0</v>
      </c>
      <c r="K23" s="23">
        <v>90.0</v>
      </c>
    </row>
    <row r="24">
      <c r="A24" s="7" t="s">
        <v>43</v>
      </c>
      <c r="B24" s="7" t="s">
        <v>37</v>
      </c>
      <c r="C24" s="8">
        <v>13490.0</v>
      </c>
      <c r="D24" s="8">
        <v>22900.0</v>
      </c>
      <c r="E24" s="19">
        <v>0.41</v>
      </c>
      <c r="F24" s="10">
        <v>4.3</v>
      </c>
      <c r="G24" s="11">
        <v>16299.0</v>
      </c>
      <c r="K24" s="23">
        <v>90.0</v>
      </c>
    </row>
    <row r="25">
      <c r="A25" s="7" t="s">
        <v>44</v>
      </c>
      <c r="B25" s="7" t="s">
        <v>15</v>
      </c>
      <c r="C25" s="8">
        <v>59.0</v>
      </c>
      <c r="D25" s="8">
        <v>199.0</v>
      </c>
      <c r="E25" s="19">
        <v>0.7</v>
      </c>
      <c r="F25" s="10">
        <v>4.0</v>
      </c>
      <c r="G25" s="11">
        <v>9378.0</v>
      </c>
      <c r="K25" s="23">
        <v>90.0</v>
      </c>
    </row>
    <row r="26">
      <c r="A26" s="7" t="s">
        <v>45</v>
      </c>
      <c r="B26" s="7" t="s">
        <v>37</v>
      </c>
      <c r="C26" s="8">
        <v>11499.0</v>
      </c>
      <c r="D26" s="8">
        <v>19990.0</v>
      </c>
      <c r="E26" s="19">
        <v>0.42</v>
      </c>
      <c r="F26" s="10">
        <v>4.3</v>
      </c>
      <c r="G26" s="11">
        <v>4703.0</v>
      </c>
      <c r="K26" s="23">
        <v>90.0</v>
      </c>
    </row>
    <row r="27">
      <c r="A27" s="7" t="s">
        <v>46</v>
      </c>
      <c r="B27" s="7" t="s">
        <v>31</v>
      </c>
      <c r="C27" s="8">
        <v>199.0</v>
      </c>
      <c r="D27" s="8">
        <v>699.0</v>
      </c>
      <c r="E27" s="19">
        <v>0.72</v>
      </c>
      <c r="F27" s="10">
        <v>4.2</v>
      </c>
      <c r="G27" s="11">
        <v>12153.0</v>
      </c>
      <c r="K27" s="23">
        <v>95.0</v>
      </c>
    </row>
    <row r="28">
      <c r="A28" s="7" t="s">
        <v>47</v>
      </c>
      <c r="B28" s="7" t="s">
        <v>37</v>
      </c>
      <c r="C28" s="8">
        <v>14999.0</v>
      </c>
      <c r="D28" s="8">
        <v>19999.0</v>
      </c>
      <c r="E28" s="19">
        <v>0.25</v>
      </c>
      <c r="F28" s="10">
        <v>4.2</v>
      </c>
      <c r="G28" s="11">
        <v>34899.0</v>
      </c>
      <c r="K28" s="23">
        <v>95.0</v>
      </c>
    </row>
    <row r="29">
      <c r="A29" s="7" t="s">
        <v>48</v>
      </c>
      <c r="B29" s="7" t="s">
        <v>15</v>
      </c>
      <c r="C29" s="8">
        <v>299.0</v>
      </c>
      <c r="D29" s="8">
        <v>399.0</v>
      </c>
      <c r="E29" s="19">
        <v>0.25</v>
      </c>
      <c r="F29" s="10">
        <v>4.0</v>
      </c>
      <c r="G29" s="11">
        <v>2766.0</v>
      </c>
      <c r="K29" s="23">
        <v>96.0</v>
      </c>
    </row>
    <row r="30">
      <c r="A30" s="7" t="s">
        <v>49</v>
      </c>
      <c r="B30" s="7" t="s">
        <v>15</v>
      </c>
      <c r="C30" s="8">
        <v>970.0</v>
      </c>
      <c r="D30" s="8">
        <v>1999.0</v>
      </c>
      <c r="E30" s="19">
        <v>0.51</v>
      </c>
      <c r="F30" s="10">
        <v>4.4</v>
      </c>
      <c r="G30" s="10">
        <v>184.0</v>
      </c>
      <c r="K30" s="23">
        <v>99.0</v>
      </c>
    </row>
    <row r="31">
      <c r="A31" s="7" t="s">
        <v>50</v>
      </c>
      <c r="B31" s="7" t="s">
        <v>15</v>
      </c>
      <c r="C31" s="8">
        <v>299.0</v>
      </c>
      <c r="D31" s="8">
        <v>999.0</v>
      </c>
      <c r="E31" s="19">
        <v>0.7</v>
      </c>
      <c r="F31" s="10">
        <v>4.3</v>
      </c>
      <c r="G31" s="11">
        <v>20850.0</v>
      </c>
      <c r="K31" s="23">
        <v>99.0</v>
      </c>
    </row>
    <row r="32">
      <c r="A32" s="7" t="s">
        <v>51</v>
      </c>
      <c r="B32" s="7" t="s">
        <v>15</v>
      </c>
      <c r="C32" s="8">
        <v>199.0</v>
      </c>
      <c r="D32" s="8">
        <v>750.0</v>
      </c>
      <c r="E32" s="19">
        <v>0.73</v>
      </c>
      <c r="F32" s="10">
        <v>4.5</v>
      </c>
      <c r="G32" s="11">
        <v>74976.0</v>
      </c>
      <c r="K32" s="23">
        <v>99.0</v>
      </c>
    </row>
    <row r="33">
      <c r="A33" s="7" t="s">
        <v>52</v>
      </c>
      <c r="B33" s="7" t="s">
        <v>15</v>
      </c>
      <c r="C33" s="8">
        <v>179.0</v>
      </c>
      <c r="D33" s="8">
        <v>499.0</v>
      </c>
      <c r="E33" s="19">
        <v>0.64</v>
      </c>
      <c r="F33" s="10">
        <v>4.0</v>
      </c>
      <c r="G33" s="11">
        <v>1934.0</v>
      </c>
      <c r="K33" s="23">
        <v>99.0</v>
      </c>
    </row>
    <row r="34">
      <c r="A34" s="7" t="s">
        <v>53</v>
      </c>
      <c r="B34" s="7" t="s">
        <v>15</v>
      </c>
      <c r="C34" s="8">
        <v>389.0</v>
      </c>
      <c r="D34" s="8">
        <v>1099.0</v>
      </c>
      <c r="E34" s="19">
        <v>0.65</v>
      </c>
      <c r="F34" s="10">
        <v>4.3</v>
      </c>
      <c r="G34" s="10">
        <v>974.0</v>
      </c>
      <c r="K34" s="23">
        <v>99.0</v>
      </c>
    </row>
    <row r="35">
      <c r="A35" s="7" t="s">
        <v>54</v>
      </c>
      <c r="B35" s="7" t="s">
        <v>15</v>
      </c>
      <c r="C35" s="8">
        <v>599.0</v>
      </c>
      <c r="D35" s="8">
        <v>599.0</v>
      </c>
      <c r="E35" s="19">
        <v>0.0</v>
      </c>
      <c r="F35" s="10">
        <v>4.3</v>
      </c>
      <c r="G35" s="10">
        <v>355.0</v>
      </c>
      <c r="K35" s="23">
        <v>99.0</v>
      </c>
    </row>
    <row r="36">
      <c r="A36" s="7" t="s">
        <v>55</v>
      </c>
      <c r="B36" s="7" t="s">
        <v>15</v>
      </c>
      <c r="C36" s="8">
        <v>199.0</v>
      </c>
      <c r="D36" s="8">
        <v>999.0</v>
      </c>
      <c r="E36" s="19">
        <v>0.8</v>
      </c>
      <c r="F36" s="10">
        <v>3.9</v>
      </c>
      <c r="G36" s="11">
        <v>1075.0</v>
      </c>
      <c r="K36" s="23">
        <v>99.0</v>
      </c>
    </row>
    <row r="37">
      <c r="A37" s="7" t="s">
        <v>56</v>
      </c>
      <c r="B37" s="7" t="s">
        <v>15</v>
      </c>
      <c r="C37" s="8">
        <v>99.0</v>
      </c>
      <c r="D37" s="8">
        <v>666.66</v>
      </c>
      <c r="E37" s="19">
        <v>0.85</v>
      </c>
      <c r="F37" s="10">
        <v>3.9</v>
      </c>
      <c r="G37" s="11">
        <v>24871.0</v>
      </c>
      <c r="K37" s="23">
        <v>99.0</v>
      </c>
    </row>
    <row r="38">
      <c r="A38" s="7" t="s">
        <v>57</v>
      </c>
      <c r="B38" s="7" t="s">
        <v>15</v>
      </c>
      <c r="C38" s="8">
        <v>899.0</v>
      </c>
      <c r="D38" s="8">
        <v>1900.0</v>
      </c>
      <c r="E38" s="19">
        <v>0.53</v>
      </c>
      <c r="F38" s="10">
        <v>4.4</v>
      </c>
      <c r="G38" s="11">
        <v>13552.0</v>
      </c>
      <c r="K38" s="23">
        <v>99.0</v>
      </c>
    </row>
    <row r="39">
      <c r="A39" s="7" t="s">
        <v>58</v>
      </c>
      <c r="B39" s="7" t="s">
        <v>15</v>
      </c>
      <c r="C39" s="8">
        <v>199.0</v>
      </c>
      <c r="D39" s="8">
        <v>999.0</v>
      </c>
      <c r="E39" s="19">
        <v>0.8</v>
      </c>
      <c r="F39" s="10">
        <v>4.0</v>
      </c>
      <c r="G39" s="10">
        <v>576.0</v>
      </c>
      <c r="K39" s="23">
        <v>99.0</v>
      </c>
    </row>
    <row r="40">
      <c r="A40" s="7" t="s">
        <v>59</v>
      </c>
      <c r="B40" s="7" t="s">
        <v>37</v>
      </c>
      <c r="C40" s="8">
        <v>32999.0</v>
      </c>
      <c r="D40" s="8">
        <v>45999.0</v>
      </c>
      <c r="E40" s="19">
        <v>0.28</v>
      </c>
      <c r="F40" s="10">
        <v>4.2</v>
      </c>
      <c r="G40" s="11">
        <v>7298.0</v>
      </c>
      <c r="K40" s="23">
        <v>99.0</v>
      </c>
    </row>
    <row r="41">
      <c r="A41" s="7" t="s">
        <v>60</v>
      </c>
      <c r="B41" s="7" t="s">
        <v>15</v>
      </c>
      <c r="C41" s="8">
        <v>970.0</v>
      </c>
      <c r="D41" s="8">
        <v>1999.0</v>
      </c>
      <c r="E41" s="19">
        <v>0.51</v>
      </c>
      <c r="F41" s="10">
        <v>4.2</v>
      </c>
      <c r="G41" s="10">
        <v>462.0</v>
      </c>
      <c r="K41" s="23">
        <v>99.0</v>
      </c>
    </row>
    <row r="42">
      <c r="A42" s="7" t="s">
        <v>61</v>
      </c>
      <c r="B42" s="7" t="s">
        <v>15</v>
      </c>
      <c r="C42" s="8">
        <v>209.0</v>
      </c>
      <c r="D42" s="8">
        <v>695.0</v>
      </c>
      <c r="E42" s="19">
        <v>0.7</v>
      </c>
      <c r="F42" s="10">
        <v>4.5</v>
      </c>
      <c r="G42" s="7" t="s">
        <v>62</v>
      </c>
      <c r="K42" s="23">
        <v>99.0</v>
      </c>
    </row>
    <row r="43">
      <c r="A43" s="7" t="s">
        <v>63</v>
      </c>
      <c r="B43" s="7" t="s">
        <v>37</v>
      </c>
      <c r="C43" s="8">
        <v>19999.0</v>
      </c>
      <c r="D43" s="8">
        <v>34999.0</v>
      </c>
      <c r="E43" s="19">
        <v>0.43</v>
      </c>
      <c r="F43" s="10">
        <v>4.3</v>
      </c>
      <c r="G43" s="11">
        <v>27151.0</v>
      </c>
      <c r="K43" s="23">
        <v>99.0</v>
      </c>
    </row>
    <row r="44">
      <c r="A44" s="7" t="s">
        <v>64</v>
      </c>
      <c r="B44" s="7" t="s">
        <v>15</v>
      </c>
      <c r="C44" s="8">
        <v>399.0</v>
      </c>
      <c r="D44" s="8">
        <v>1099.0</v>
      </c>
      <c r="E44" s="19">
        <v>0.64</v>
      </c>
      <c r="F44" s="10">
        <v>4.2</v>
      </c>
      <c r="G44" s="11">
        <v>24269.0</v>
      </c>
      <c r="K44" s="23">
        <v>99.0</v>
      </c>
    </row>
    <row r="45">
      <c r="A45" s="7" t="s">
        <v>65</v>
      </c>
      <c r="B45" s="7" t="s">
        <v>25</v>
      </c>
      <c r="C45" s="8">
        <v>999.0</v>
      </c>
      <c r="D45" s="8">
        <v>1599.0</v>
      </c>
      <c r="E45" s="19">
        <v>0.38</v>
      </c>
      <c r="F45" s="10">
        <v>4.3</v>
      </c>
      <c r="G45" s="11">
        <v>12093.0</v>
      </c>
      <c r="K45" s="23">
        <v>100.0</v>
      </c>
    </row>
    <row r="46">
      <c r="A46" s="7" t="s">
        <v>66</v>
      </c>
      <c r="B46" s="7" t="s">
        <v>15</v>
      </c>
      <c r="C46" s="8">
        <v>59.0</v>
      </c>
      <c r="D46" s="8">
        <v>199.0</v>
      </c>
      <c r="E46" s="19">
        <v>0.7</v>
      </c>
      <c r="F46" s="10">
        <v>4.0</v>
      </c>
      <c r="G46" s="11">
        <v>9378.0</v>
      </c>
      <c r="K46" s="23">
        <v>100.0</v>
      </c>
    </row>
    <row r="47">
      <c r="A47" s="7" t="s">
        <v>67</v>
      </c>
      <c r="B47" s="7" t="s">
        <v>15</v>
      </c>
      <c r="C47" s="8">
        <v>333.0</v>
      </c>
      <c r="D47" s="8">
        <v>999.0</v>
      </c>
      <c r="E47" s="19">
        <v>0.67</v>
      </c>
      <c r="F47" s="10">
        <v>3.3</v>
      </c>
      <c r="G47" s="11">
        <v>9792.0</v>
      </c>
      <c r="K47" s="23">
        <v>114.0</v>
      </c>
    </row>
    <row r="48">
      <c r="A48" s="7" t="s">
        <v>68</v>
      </c>
      <c r="B48" s="7" t="s">
        <v>25</v>
      </c>
      <c r="C48" s="8">
        <v>507.0</v>
      </c>
      <c r="D48" s="8">
        <v>1208.0</v>
      </c>
      <c r="E48" s="19">
        <v>0.58</v>
      </c>
      <c r="F48" s="10">
        <v>4.1</v>
      </c>
      <c r="G48" s="11">
        <v>8131.0</v>
      </c>
      <c r="K48" s="23">
        <v>115.0</v>
      </c>
    </row>
    <row r="49">
      <c r="A49" s="7" t="s">
        <v>69</v>
      </c>
      <c r="B49" s="7" t="s">
        <v>31</v>
      </c>
      <c r="C49" s="8">
        <v>309.0</v>
      </c>
      <c r="D49" s="8">
        <v>475.0</v>
      </c>
      <c r="E49" s="19">
        <v>0.35</v>
      </c>
      <c r="F49" s="10">
        <v>4.4</v>
      </c>
      <c r="G49" s="7" t="s">
        <v>32</v>
      </c>
      <c r="K49" s="23">
        <v>115.0</v>
      </c>
    </row>
    <row r="50">
      <c r="A50" s="7" t="s">
        <v>70</v>
      </c>
      <c r="B50" s="7" t="s">
        <v>71</v>
      </c>
      <c r="C50" s="8">
        <v>399.0</v>
      </c>
      <c r="D50" s="8">
        <v>999.0</v>
      </c>
      <c r="E50" s="19">
        <v>0.6</v>
      </c>
      <c r="F50" s="10">
        <v>3.6</v>
      </c>
      <c r="G50" s="10">
        <v>493.0</v>
      </c>
      <c r="K50" s="23">
        <v>115.0</v>
      </c>
    </row>
    <row r="51">
      <c r="A51" s="7" t="s">
        <v>72</v>
      </c>
      <c r="B51" s="7" t="s">
        <v>15</v>
      </c>
      <c r="C51" s="8">
        <v>199.0</v>
      </c>
      <c r="D51" s="8">
        <v>395.0</v>
      </c>
      <c r="E51" s="19">
        <v>0.5</v>
      </c>
      <c r="F51" s="10">
        <v>4.2</v>
      </c>
      <c r="G51" s="11">
        <v>92595.0</v>
      </c>
      <c r="K51" s="23">
        <v>115.0</v>
      </c>
    </row>
    <row r="52">
      <c r="A52" s="7" t="s">
        <v>73</v>
      </c>
      <c r="B52" s="7" t="s">
        <v>25</v>
      </c>
      <c r="C52" s="8">
        <v>1199.0</v>
      </c>
      <c r="D52" s="8">
        <v>2199.0</v>
      </c>
      <c r="E52" s="19">
        <v>0.45</v>
      </c>
      <c r="F52" s="10">
        <v>4.4</v>
      </c>
      <c r="G52" s="11">
        <v>24780.0</v>
      </c>
      <c r="K52" s="23">
        <v>116.0</v>
      </c>
    </row>
    <row r="53">
      <c r="A53" s="7" t="s">
        <v>74</v>
      </c>
      <c r="B53" s="7" t="s">
        <v>15</v>
      </c>
      <c r="C53" s="8">
        <v>179.0</v>
      </c>
      <c r="D53" s="8">
        <v>500.0</v>
      </c>
      <c r="E53" s="19">
        <v>0.64</v>
      </c>
      <c r="F53" s="10">
        <v>4.2</v>
      </c>
      <c r="G53" s="11">
        <v>92595.0</v>
      </c>
      <c r="K53" s="23">
        <v>116.0</v>
      </c>
    </row>
    <row r="54">
      <c r="A54" s="7" t="s">
        <v>75</v>
      </c>
      <c r="B54" s="7" t="s">
        <v>15</v>
      </c>
      <c r="C54" s="8">
        <v>799.0</v>
      </c>
      <c r="D54" s="8">
        <v>2100.0</v>
      </c>
      <c r="E54" s="19">
        <v>0.62</v>
      </c>
      <c r="F54" s="10">
        <v>4.3</v>
      </c>
      <c r="G54" s="11">
        <v>8188.0</v>
      </c>
      <c r="K54" s="23">
        <v>119.0</v>
      </c>
    </row>
    <row r="55">
      <c r="A55" s="7" t="s">
        <v>76</v>
      </c>
      <c r="B55" s="7" t="s">
        <v>77</v>
      </c>
      <c r="C55" s="8">
        <v>6999.0</v>
      </c>
      <c r="D55" s="8">
        <v>12999.0</v>
      </c>
      <c r="E55" s="19">
        <v>0.46</v>
      </c>
      <c r="F55" s="10">
        <v>4.2</v>
      </c>
      <c r="G55" s="11">
        <v>4003.0</v>
      </c>
      <c r="K55" s="23">
        <v>119.0</v>
      </c>
    </row>
    <row r="56">
      <c r="A56" s="7" t="s">
        <v>78</v>
      </c>
      <c r="B56" s="7" t="s">
        <v>15</v>
      </c>
      <c r="C56" s="8">
        <v>199.0</v>
      </c>
      <c r="D56" s="8">
        <v>349.0</v>
      </c>
      <c r="E56" s="19">
        <v>0.43</v>
      </c>
      <c r="F56" s="10">
        <v>4.1</v>
      </c>
      <c r="G56" s="10">
        <v>314.0</v>
      </c>
      <c r="K56" s="23">
        <v>119.0</v>
      </c>
    </row>
    <row r="57">
      <c r="A57" s="7" t="s">
        <v>79</v>
      </c>
      <c r="B57" s="7" t="s">
        <v>71</v>
      </c>
      <c r="C57" s="8">
        <v>230.0</v>
      </c>
      <c r="D57" s="8">
        <v>499.0</v>
      </c>
      <c r="E57" s="19">
        <v>0.54</v>
      </c>
      <c r="F57" s="10">
        <v>3.7</v>
      </c>
      <c r="G57" s="11">
        <v>2960.0</v>
      </c>
      <c r="K57" s="23">
        <v>119.0</v>
      </c>
    </row>
    <row r="58">
      <c r="A58" s="7" t="s">
        <v>80</v>
      </c>
      <c r="B58" s="7" t="s">
        <v>25</v>
      </c>
      <c r="C58" s="8">
        <v>649.0</v>
      </c>
      <c r="D58" s="8">
        <v>1399.0</v>
      </c>
      <c r="E58" s="19">
        <v>0.54</v>
      </c>
      <c r="F58" s="10">
        <v>4.2</v>
      </c>
      <c r="G58" s="7" t="s">
        <v>26</v>
      </c>
      <c r="K58" s="23">
        <v>120.0</v>
      </c>
    </row>
    <row r="59">
      <c r="A59" s="7" t="s">
        <v>81</v>
      </c>
      <c r="B59" s="7" t="s">
        <v>37</v>
      </c>
      <c r="C59" s="8">
        <v>15999.0</v>
      </c>
      <c r="D59" s="8">
        <v>21999.0</v>
      </c>
      <c r="E59" s="19">
        <v>0.27</v>
      </c>
      <c r="F59" s="10">
        <v>4.2</v>
      </c>
      <c r="G59" s="11">
        <v>34899.0</v>
      </c>
      <c r="K59" s="23">
        <v>120.0</v>
      </c>
    </row>
    <row r="60">
      <c r="A60" s="7" t="s">
        <v>82</v>
      </c>
      <c r="B60" s="7" t="s">
        <v>15</v>
      </c>
      <c r="C60" s="8">
        <v>348.0</v>
      </c>
      <c r="D60" s="8">
        <v>1499.0</v>
      </c>
      <c r="E60" s="19">
        <v>0.77</v>
      </c>
      <c r="F60" s="10">
        <v>4.2</v>
      </c>
      <c r="G60" s="10">
        <v>656.0</v>
      </c>
      <c r="K60" s="23">
        <v>120.0</v>
      </c>
    </row>
    <row r="61">
      <c r="A61" s="7" t="s">
        <v>83</v>
      </c>
      <c r="B61" s="7" t="s">
        <v>15</v>
      </c>
      <c r="C61" s="8">
        <v>154.0</v>
      </c>
      <c r="D61" s="8">
        <v>349.0</v>
      </c>
      <c r="E61" s="19">
        <v>0.56</v>
      </c>
      <c r="F61" s="10">
        <v>4.3</v>
      </c>
      <c r="G61" s="11">
        <v>7064.0</v>
      </c>
      <c r="K61" s="23">
        <v>120.0</v>
      </c>
    </row>
    <row r="62">
      <c r="A62" s="7" t="s">
        <v>84</v>
      </c>
      <c r="B62" s="7" t="s">
        <v>71</v>
      </c>
      <c r="C62" s="8">
        <v>179.0</v>
      </c>
      <c r="D62" s="8">
        <v>799.0</v>
      </c>
      <c r="E62" s="19">
        <v>0.78</v>
      </c>
      <c r="F62" s="10">
        <v>3.7</v>
      </c>
      <c r="G62" s="11">
        <v>2201.0</v>
      </c>
      <c r="K62" s="23">
        <v>125.0</v>
      </c>
    </row>
    <row r="63">
      <c r="A63" s="7" t="s">
        <v>85</v>
      </c>
      <c r="B63" s="7" t="s">
        <v>37</v>
      </c>
      <c r="C63" s="8">
        <v>32990.0</v>
      </c>
      <c r="D63" s="8">
        <v>47900.0</v>
      </c>
      <c r="E63" s="19">
        <v>0.31</v>
      </c>
      <c r="F63" s="10">
        <v>4.3</v>
      </c>
      <c r="G63" s="11">
        <v>7109.0</v>
      </c>
      <c r="K63" s="23">
        <v>128.31</v>
      </c>
    </row>
    <row r="64">
      <c r="A64" s="7" t="s">
        <v>86</v>
      </c>
      <c r="B64" s="7" t="s">
        <v>15</v>
      </c>
      <c r="C64" s="8">
        <v>139.0</v>
      </c>
      <c r="D64" s="8">
        <v>999.0</v>
      </c>
      <c r="E64" s="19">
        <v>0.86</v>
      </c>
      <c r="F64" s="10">
        <v>4.0</v>
      </c>
      <c r="G64" s="11">
        <v>1313.0</v>
      </c>
      <c r="K64" s="23">
        <v>129.0</v>
      </c>
    </row>
    <row r="65">
      <c r="A65" s="7" t="s">
        <v>87</v>
      </c>
      <c r="B65" s="7" t="s">
        <v>15</v>
      </c>
      <c r="C65" s="8">
        <v>329.0</v>
      </c>
      <c r="D65" s="8">
        <v>845.0</v>
      </c>
      <c r="E65" s="19">
        <v>0.61</v>
      </c>
      <c r="F65" s="10">
        <v>4.2</v>
      </c>
      <c r="G65" s="11">
        <v>29746.0</v>
      </c>
      <c r="K65" s="23">
        <v>129.0</v>
      </c>
    </row>
    <row r="66">
      <c r="A66" s="7" t="s">
        <v>88</v>
      </c>
      <c r="B66" s="7" t="s">
        <v>37</v>
      </c>
      <c r="C66" s="8">
        <v>13999.0</v>
      </c>
      <c r="D66" s="8">
        <v>24999.0</v>
      </c>
      <c r="E66" s="19">
        <v>0.44</v>
      </c>
      <c r="F66" s="10">
        <v>4.2</v>
      </c>
      <c r="G66" s="11">
        <v>45238.0</v>
      </c>
      <c r="K66" s="23">
        <v>129.0</v>
      </c>
    </row>
    <row r="67">
      <c r="A67" s="7" t="s">
        <v>89</v>
      </c>
      <c r="B67" s="7" t="s">
        <v>31</v>
      </c>
      <c r="C67" s="8">
        <v>309.0</v>
      </c>
      <c r="D67" s="8">
        <v>1400.0</v>
      </c>
      <c r="E67" s="19">
        <v>0.78</v>
      </c>
      <c r="F67" s="10">
        <v>4.4</v>
      </c>
      <c r="G67" s="7" t="s">
        <v>32</v>
      </c>
      <c r="K67" s="23">
        <v>129.0</v>
      </c>
    </row>
    <row r="68">
      <c r="A68" s="7" t="s">
        <v>90</v>
      </c>
      <c r="B68" s="7" t="s">
        <v>15</v>
      </c>
      <c r="C68" s="8">
        <v>263.0</v>
      </c>
      <c r="D68" s="8">
        <v>699.0</v>
      </c>
      <c r="E68" s="19">
        <v>0.62</v>
      </c>
      <c r="F68" s="10">
        <v>4.1</v>
      </c>
      <c r="G68" s="10">
        <v>450.0</v>
      </c>
      <c r="K68" s="23">
        <v>129.0</v>
      </c>
    </row>
    <row r="69">
      <c r="A69" s="7" t="s">
        <v>91</v>
      </c>
      <c r="B69" s="7" t="s">
        <v>77</v>
      </c>
      <c r="C69" s="8">
        <v>7999.0</v>
      </c>
      <c r="D69" s="8">
        <v>14990.0</v>
      </c>
      <c r="E69" s="19">
        <v>0.47</v>
      </c>
      <c r="F69" s="10">
        <v>4.3</v>
      </c>
      <c r="G69" s="10">
        <v>457.0</v>
      </c>
      <c r="K69" s="23">
        <v>130.0</v>
      </c>
    </row>
    <row r="70">
      <c r="A70" s="7" t="s">
        <v>92</v>
      </c>
      <c r="B70" s="7" t="s">
        <v>93</v>
      </c>
      <c r="C70" s="8">
        <v>1599.0</v>
      </c>
      <c r="D70" s="8">
        <v>2999.0</v>
      </c>
      <c r="E70" s="19">
        <v>0.47</v>
      </c>
      <c r="F70" s="10">
        <v>4.2</v>
      </c>
      <c r="G70" s="11">
        <v>2727.0</v>
      </c>
      <c r="K70" s="23">
        <v>134.0</v>
      </c>
    </row>
    <row r="71">
      <c r="A71" s="7" t="s">
        <v>94</v>
      </c>
      <c r="B71" s="7" t="s">
        <v>15</v>
      </c>
      <c r="C71" s="8">
        <v>219.0</v>
      </c>
      <c r="D71" s="8">
        <v>700.0</v>
      </c>
      <c r="E71" s="19">
        <v>0.69</v>
      </c>
      <c r="F71" s="10">
        <v>4.3</v>
      </c>
      <c r="G71" s="11">
        <v>20053.0</v>
      </c>
      <c r="K71" s="23">
        <v>137.0</v>
      </c>
    </row>
    <row r="72">
      <c r="A72" s="7" t="s">
        <v>95</v>
      </c>
      <c r="B72" s="7" t="s">
        <v>15</v>
      </c>
      <c r="C72" s="8">
        <v>349.0</v>
      </c>
      <c r="D72" s="8">
        <v>899.0</v>
      </c>
      <c r="E72" s="19">
        <v>0.61</v>
      </c>
      <c r="F72" s="10">
        <v>4.5</v>
      </c>
      <c r="G72" s="10">
        <v>149.0</v>
      </c>
      <c r="K72" s="23">
        <v>139.0</v>
      </c>
    </row>
    <row r="73">
      <c r="A73" s="7" t="s">
        <v>96</v>
      </c>
      <c r="B73" s="7" t="s">
        <v>15</v>
      </c>
      <c r="C73" s="8">
        <v>349.0</v>
      </c>
      <c r="D73" s="8">
        <v>599.0</v>
      </c>
      <c r="E73" s="19">
        <v>0.42</v>
      </c>
      <c r="F73" s="10">
        <v>4.1</v>
      </c>
      <c r="G73" s="10">
        <v>210.0</v>
      </c>
      <c r="K73" s="23">
        <v>139.0</v>
      </c>
    </row>
    <row r="74">
      <c r="A74" s="7" t="s">
        <v>97</v>
      </c>
      <c r="B74" s="7" t="s">
        <v>37</v>
      </c>
      <c r="C74" s="8">
        <v>26999.0</v>
      </c>
      <c r="D74" s="8">
        <v>42999.0</v>
      </c>
      <c r="E74" s="19">
        <v>0.37</v>
      </c>
      <c r="F74" s="10">
        <v>4.2</v>
      </c>
      <c r="G74" s="11">
        <v>45238.0</v>
      </c>
      <c r="K74" s="23">
        <v>139.0</v>
      </c>
    </row>
    <row r="75">
      <c r="A75" s="7" t="s">
        <v>98</v>
      </c>
      <c r="B75" s="7" t="s">
        <v>15</v>
      </c>
      <c r="C75" s="8">
        <v>115.0</v>
      </c>
      <c r="D75" s="8">
        <v>499.0</v>
      </c>
      <c r="E75" s="19">
        <v>0.77</v>
      </c>
      <c r="F75" s="10">
        <v>4.0</v>
      </c>
      <c r="G75" s="11">
        <v>7732.0</v>
      </c>
      <c r="K75" s="23">
        <v>139.0</v>
      </c>
    </row>
    <row r="76">
      <c r="A76" s="7" t="s">
        <v>99</v>
      </c>
      <c r="B76" s="7" t="s">
        <v>15</v>
      </c>
      <c r="C76" s="8">
        <v>399.0</v>
      </c>
      <c r="D76" s="8">
        <v>999.0</v>
      </c>
      <c r="E76" s="19">
        <v>0.6</v>
      </c>
      <c r="F76" s="10">
        <v>4.1</v>
      </c>
      <c r="G76" s="11">
        <v>1780.0</v>
      </c>
      <c r="K76" s="23">
        <v>139.0</v>
      </c>
    </row>
    <row r="77">
      <c r="A77" s="7" t="s">
        <v>100</v>
      </c>
      <c r="B77" s="7" t="s">
        <v>15</v>
      </c>
      <c r="C77" s="8">
        <v>199.0</v>
      </c>
      <c r="D77" s="8">
        <v>499.0</v>
      </c>
      <c r="E77" s="19">
        <v>0.6</v>
      </c>
      <c r="F77" s="10">
        <v>4.1</v>
      </c>
      <c r="G77" s="10">
        <v>602.0</v>
      </c>
      <c r="K77" s="23">
        <v>139.0</v>
      </c>
    </row>
    <row r="78">
      <c r="A78" s="7" t="s">
        <v>101</v>
      </c>
      <c r="B78" s="7" t="s">
        <v>15</v>
      </c>
      <c r="C78" s="8">
        <v>179.0</v>
      </c>
      <c r="D78" s="8">
        <v>399.0</v>
      </c>
      <c r="E78" s="19">
        <v>0.55</v>
      </c>
      <c r="F78" s="10">
        <v>4.0</v>
      </c>
      <c r="G78" s="11">
        <v>1423.0</v>
      </c>
      <c r="K78" s="23">
        <v>139.0</v>
      </c>
    </row>
    <row r="79">
      <c r="A79" s="7" t="s">
        <v>102</v>
      </c>
      <c r="B79" s="7" t="s">
        <v>37</v>
      </c>
      <c r="C79" s="8">
        <v>10901.0</v>
      </c>
      <c r="D79" s="8">
        <v>30990.0</v>
      </c>
      <c r="E79" s="19">
        <v>0.65</v>
      </c>
      <c r="F79" s="10">
        <v>4.1</v>
      </c>
      <c r="G79" s="10">
        <v>398.0</v>
      </c>
      <c r="K79" s="23">
        <v>139.0</v>
      </c>
    </row>
    <row r="80">
      <c r="A80" s="7" t="s">
        <v>103</v>
      </c>
      <c r="B80" s="7" t="s">
        <v>15</v>
      </c>
      <c r="C80" s="8">
        <v>209.0</v>
      </c>
      <c r="D80" s="8">
        <v>499.0</v>
      </c>
      <c r="E80" s="19">
        <v>0.58</v>
      </c>
      <c r="F80" s="10">
        <v>3.9</v>
      </c>
      <c r="G80" s="10">
        <v>536.0</v>
      </c>
      <c r="K80" s="23">
        <v>149.0</v>
      </c>
    </row>
    <row r="81">
      <c r="A81" s="7" t="s">
        <v>104</v>
      </c>
      <c r="B81" s="7" t="s">
        <v>71</v>
      </c>
      <c r="C81" s="8">
        <v>1434.0</v>
      </c>
      <c r="D81" s="8">
        <v>3999.0</v>
      </c>
      <c r="E81" s="19">
        <v>0.64</v>
      </c>
      <c r="F81" s="10">
        <v>4.0</v>
      </c>
      <c r="G81" s="10">
        <v>32.0</v>
      </c>
      <c r="K81" s="23">
        <v>149.0</v>
      </c>
    </row>
    <row r="82">
      <c r="A82" s="7" t="s">
        <v>105</v>
      </c>
      <c r="B82" s="7" t="s">
        <v>15</v>
      </c>
      <c r="C82" s="8">
        <v>399.0</v>
      </c>
      <c r="D82" s="8">
        <v>1099.0</v>
      </c>
      <c r="E82" s="19">
        <v>0.64</v>
      </c>
      <c r="F82" s="10">
        <v>4.2</v>
      </c>
      <c r="G82" s="11">
        <v>24269.0</v>
      </c>
      <c r="K82" s="23">
        <v>149.0</v>
      </c>
    </row>
    <row r="83">
      <c r="A83" s="7" t="s">
        <v>106</v>
      </c>
      <c r="B83" s="7" t="s">
        <v>15</v>
      </c>
      <c r="C83" s="8">
        <v>139.0</v>
      </c>
      <c r="D83" s="8">
        <v>249.0</v>
      </c>
      <c r="E83" s="19">
        <v>0.44</v>
      </c>
      <c r="F83" s="10">
        <v>4.0</v>
      </c>
      <c r="G83" s="11">
        <v>9378.0</v>
      </c>
      <c r="K83" s="23">
        <v>149.0</v>
      </c>
    </row>
    <row r="84">
      <c r="A84" s="7" t="s">
        <v>107</v>
      </c>
      <c r="B84" s="7" t="s">
        <v>37</v>
      </c>
      <c r="C84" s="8">
        <v>7299.0</v>
      </c>
      <c r="D84" s="8">
        <v>19125.0</v>
      </c>
      <c r="E84" s="19">
        <v>0.62</v>
      </c>
      <c r="F84" s="10">
        <v>3.4</v>
      </c>
      <c r="G84" s="10">
        <v>902.0</v>
      </c>
      <c r="K84" s="23">
        <v>149.0</v>
      </c>
    </row>
    <row r="85">
      <c r="A85" s="7" t="s">
        <v>108</v>
      </c>
      <c r="B85" s="7" t="s">
        <v>15</v>
      </c>
      <c r="C85" s="8">
        <v>299.0</v>
      </c>
      <c r="D85" s="8">
        <v>799.0</v>
      </c>
      <c r="E85" s="19">
        <v>0.63</v>
      </c>
      <c r="F85" s="10">
        <v>4.4</v>
      </c>
      <c r="G85" s="11">
        <v>28791.0</v>
      </c>
      <c r="K85" s="23">
        <v>149.0</v>
      </c>
    </row>
    <row r="86">
      <c r="A86" s="7" t="s">
        <v>109</v>
      </c>
      <c r="B86" s="7" t="s">
        <v>15</v>
      </c>
      <c r="C86" s="8">
        <v>325.0</v>
      </c>
      <c r="D86" s="8">
        <v>1299.0</v>
      </c>
      <c r="E86" s="19">
        <v>0.75</v>
      </c>
      <c r="F86" s="10">
        <v>4.2</v>
      </c>
      <c r="G86" s="11">
        <v>10576.0</v>
      </c>
      <c r="K86" s="23">
        <v>149.0</v>
      </c>
    </row>
    <row r="87">
      <c r="A87" s="7" t="s">
        <v>110</v>
      </c>
      <c r="B87" s="7" t="s">
        <v>37</v>
      </c>
      <c r="C87" s="8">
        <v>29999.0</v>
      </c>
      <c r="D87" s="8">
        <v>39999.0</v>
      </c>
      <c r="E87" s="19">
        <v>0.25</v>
      </c>
      <c r="F87" s="10">
        <v>4.2</v>
      </c>
      <c r="G87" s="11">
        <v>7298.0</v>
      </c>
      <c r="K87" s="23">
        <v>149.0</v>
      </c>
    </row>
    <row r="88">
      <c r="A88" s="7" t="s">
        <v>111</v>
      </c>
      <c r="B88" s="7" t="s">
        <v>37</v>
      </c>
      <c r="C88" s="8">
        <v>27999.0</v>
      </c>
      <c r="D88" s="8">
        <v>40990.0</v>
      </c>
      <c r="E88" s="19">
        <v>0.32</v>
      </c>
      <c r="F88" s="10">
        <v>4.3</v>
      </c>
      <c r="G88" s="11">
        <v>4703.0</v>
      </c>
      <c r="K88" s="23">
        <v>149.0</v>
      </c>
    </row>
    <row r="89">
      <c r="A89" s="7" t="s">
        <v>112</v>
      </c>
      <c r="B89" s="7" t="s">
        <v>37</v>
      </c>
      <c r="C89" s="8">
        <v>30990.0</v>
      </c>
      <c r="D89" s="8">
        <v>52900.0</v>
      </c>
      <c r="E89" s="19">
        <v>0.41</v>
      </c>
      <c r="F89" s="10">
        <v>4.3</v>
      </c>
      <c r="G89" s="11">
        <v>7109.0</v>
      </c>
      <c r="K89" s="23">
        <v>149.0</v>
      </c>
    </row>
    <row r="90">
      <c r="A90" s="7" t="s">
        <v>113</v>
      </c>
      <c r="B90" s="7" t="s">
        <v>15</v>
      </c>
      <c r="C90" s="8">
        <v>199.0</v>
      </c>
      <c r="D90" s="8">
        <v>999.0</v>
      </c>
      <c r="E90" s="19">
        <v>0.8</v>
      </c>
      <c r="F90" s="10">
        <v>4.5</v>
      </c>
      <c r="G90" s="10">
        <v>127.0</v>
      </c>
      <c r="K90" s="23">
        <v>149.0</v>
      </c>
    </row>
    <row r="91">
      <c r="A91" s="7" t="s">
        <v>114</v>
      </c>
      <c r="B91" s="7" t="s">
        <v>15</v>
      </c>
      <c r="C91" s="8">
        <v>649.0</v>
      </c>
      <c r="D91" s="8">
        <v>1999.0</v>
      </c>
      <c r="E91" s="19">
        <v>0.68</v>
      </c>
      <c r="F91" s="10">
        <v>4.2</v>
      </c>
      <c r="G91" s="11">
        <v>24269.0</v>
      </c>
      <c r="K91" s="23">
        <v>149.0</v>
      </c>
    </row>
    <row r="92">
      <c r="A92" s="7" t="s">
        <v>115</v>
      </c>
      <c r="B92" s="7" t="s">
        <v>25</v>
      </c>
      <c r="C92" s="8">
        <v>269.0</v>
      </c>
      <c r="D92" s="8">
        <v>800.0</v>
      </c>
      <c r="E92" s="19">
        <v>0.66</v>
      </c>
      <c r="F92" s="10">
        <v>3.6</v>
      </c>
      <c r="G92" s="11">
        <v>10134.0</v>
      </c>
      <c r="K92" s="23">
        <v>149.0</v>
      </c>
    </row>
    <row r="93">
      <c r="A93" s="7" t="s">
        <v>116</v>
      </c>
      <c r="B93" s="7" t="s">
        <v>37</v>
      </c>
      <c r="C93" s="8">
        <v>24999.0</v>
      </c>
      <c r="D93" s="8">
        <v>31999.0</v>
      </c>
      <c r="E93" s="19">
        <v>0.22</v>
      </c>
      <c r="F93" s="10">
        <v>4.2</v>
      </c>
      <c r="G93" s="11">
        <v>34899.0</v>
      </c>
      <c r="K93" s="23">
        <v>149.0</v>
      </c>
    </row>
    <row r="94">
      <c r="A94" s="7" t="s">
        <v>117</v>
      </c>
      <c r="B94" s="7" t="s">
        <v>15</v>
      </c>
      <c r="C94" s="8">
        <v>299.0</v>
      </c>
      <c r="D94" s="8">
        <v>699.0</v>
      </c>
      <c r="E94" s="19">
        <v>0.57</v>
      </c>
      <c r="F94" s="10">
        <v>4.2</v>
      </c>
      <c r="G94" s="11">
        <v>94363.0</v>
      </c>
      <c r="K94" s="23">
        <v>149.0</v>
      </c>
    </row>
    <row r="95">
      <c r="A95" s="7" t="s">
        <v>118</v>
      </c>
      <c r="B95" s="7" t="s">
        <v>15</v>
      </c>
      <c r="C95" s="8">
        <v>199.0</v>
      </c>
      <c r="D95" s="8">
        <v>999.0</v>
      </c>
      <c r="E95" s="19">
        <v>0.8</v>
      </c>
      <c r="F95" s="10">
        <v>4.1</v>
      </c>
      <c r="G95" s="10">
        <v>425.0</v>
      </c>
      <c r="K95" s="23">
        <v>149.0</v>
      </c>
    </row>
    <row r="96">
      <c r="A96" s="7" t="s">
        <v>119</v>
      </c>
      <c r="B96" s="7" t="s">
        <v>37</v>
      </c>
      <c r="C96" s="8">
        <v>18990.0</v>
      </c>
      <c r="D96" s="8">
        <v>40990.0</v>
      </c>
      <c r="E96" s="19">
        <v>0.54</v>
      </c>
      <c r="F96" s="10">
        <v>4.2</v>
      </c>
      <c r="G96" s="11">
        <v>6659.0</v>
      </c>
      <c r="K96" s="23">
        <v>150.0</v>
      </c>
    </row>
    <row r="97">
      <c r="A97" s="7" t="s">
        <v>120</v>
      </c>
      <c r="B97" s="7" t="s">
        <v>25</v>
      </c>
      <c r="C97" s="8">
        <v>290.0</v>
      </c>
      <c r="D97" s="8">
        <v>349.0</v>
      </c>
      <c r="E97" s="19">
        <v>0.17</v>
      </c>
      <c r="F97" s="10">
        <v>3.7</v>
      </c>
      <c r="G97" s="11">
        <v>1977.0</v>
      </c>
      <c r="K97" s="23">
        <v>150.0</v>
      </c>
    </row>
    <row r="98">
      <c r="A98" s="7" t="s">
        <v>121</v>
      </c>
      <c r="B98" s="7" t="s">
        <v>71</v>
      </c>
      <c r="C98" s="8">
        <v>249.0</v>
      </c>
      <c r="D98" s="8">
        <v>799.0</v>
      </c>
      <c r="E98" s="19">
        <v>0.69</v>
      </c>
      <c r="F98" s="10">
        <v>3.8</v>
      </c>
      <c r="G98" s="11">
        <v>1079.0</v>
      </c>
      <c r="K98" s="23">
        <v>154.0</v>
      </c>
    </row>
    <row r="99">
      <c r="A99" s="7" t="s">
        <v>122</v>
      </c>
      <c r="B99" s="7" t="s">
        <v>15</v>
      </c>
      <c r="C99" s="8">
        <v>345.0</v>
      </c>
      <c r="D99" s="8">
        <v>999.0</v>
      </c>
      <c r="E99" s="19">
        <v>0.65</v>
      </c>
      <c r="F99" s="10">
        <v>3.7</v>
      </c>
      <c r="G99" s="11">
        <v>1097.0</v>
      </c>
      <c r="K99" s="23">
        <v>154.0</v>
      </c>
    </row>
    <row r="100">
      <c r="A100" s="7" t="s">
        <v>123</v>
      </c>
      <c r="B100" s="7" t="s">
        <v>25</v>
      </c>
      <c r="C100" s="8">
        <v>1099.0</v>
      </c>
      <c r="D100" s="8">
        <v>1899.0</v>
      </c>
      <c r="E100" s="19">
        <v>0.42</v>
      </c>
      <c r="F100" s="10">
        <v>4.5</v>
      </c>
      <c r="G100" s="11">
        <v>22420.0</v>
      </c>
      <c r="K100" s="23">
        <v>154.0</v>
      </c>
    </row>
    <row r="101">
      <c r="A101" s="7" t="s">
        <v>124</v>
      </c>
      <c r="B101" s="7" t="s">
        <v>15</v>
      </c>
      <c r="C101" s="8">
        <v>719.0</v>
      </c>
      <c r="D101" s="8">
        <v>1499.0</v>
      </c>
      <c r="E101" s="19">
        <v>0.52</v>
      </c>
      <c r="F101" s="10">
        <v>4.1</v>
      </c>
      <c r="G101" s="11">
        <v>1045.0</v>
      </c>
      <c r="K101" s="23">
        <v>154.0</v>
      </c>
    </row>
    <row r="102">
      <c r="A102" s="7" t="s">
        <v>125</v>
      </c>
      <c r="B102" s="7" t="s">
        <v>71</v>
      </c>
      <c r="C102" s="8">
        <v>349.0</v>
      </c>
      <c r="D102" s="8">
        <v>1499.0</v>
      </c>
      <c r="E102" s="19">
        <v>0.77</v>
      </c>
      <c r="F102" s="10">
        <v>4.3</v>
      </c>
      <c r="G102" s="11">
        <v>4145.0</v>
      </c>
      <c r="K102" s="23">
        <v>154.0</v>
      </c>
    </row>
    <row r="103">
      <c r="A103" s="7" t="s">
        <v>126</v>
      </c>
      <c r="B103" s="7" t="s">
        <v>15</v>
      </c>
      <c r="C103" s="8">
        <v>849.0</v>
      </c>
      <c r="D103" s="8">
        <v>1809.0</v>
      </c>
      <c r="E103" s="19">
        <v>0.53</v>
      </c>
      <c r="F103" s="10">
        <v>4.3</v>
      </c>
      <c r="G103" s="11">
        <v>6547.0</v>
      </c>
      <c r="K103" s="23">
        <v>154.0</v>
      </c>
    </row>
    <row r="104">
      <c r="A104" s="7" t="s">
        <v>127</v>
      </c>
      <c r="B104" s="7" t="s">
        <v>71</v>
      </c>
      <c r="C104" s="8">
        <v>299.0</v>
      </c>
      <c r="D104" s="8">
        <v>899.0</v>
      </c>
      <c r="E104" s="19">
        <v>0.67</v>
      </c>
      <c r="F104" s="10">
        <v>4.0</v>
      </c>
      <c r="G104" s="11">
        <v>1588.0</v>
      </c>
      <c r="K104" s="23">
        <v>154.0</v>
      </c>
    </row>
    <row r="105">
      <c r="A105" s="7" t="s">
        <v>128</v>
      </c>
      <c r="B105" s="7" t="s">
        <v>37</v>
      </c>
      <c r="C105" s="8">
        <v>21999.0</v>
      </c>
      <c r="D105" s="8">
        <v>29999.0</v>
      </c>
      <c r="E105" s="19">
        <v>0.27</v>
      </c>
      <c r="F105" s="10">
        <v>4.2</v>
      </c>
      <c r="G105" s="11">
        <v>32840.0</v>
      </c>
      <c r="K105" s="23">
        <v>154.0</v>
      </c>
    </row>
    <row r="106">
      <c r="A106" s="7" t="s">
        <v>129</v>
      </c>
      <c r="B106" s="7" t="s">
        <v>15</v>
      </c>
      <c r="C106" s="8">
        <v>349.0</v>
      </c>
      <c r="D106" s="8">
        <v>999.0</v>
      </c>
      <c r="E106" s="19">
        <v>0.65</v>
      </c>
      <c r="F106" s="10">
        <v>4.2</v>
      </c>
      <c r="G106" s="11">
        <v>13120.0</v>
      </c>
      <c r="K106" s="23">
        <v>157.0</v>
      </c>
    </row>
    <row r="107">
      <c r="A107" s="7" t="s">
        <v>130</v>
      </c>
      <c r="B107" s="7" t="s">
        <v>15</v>
      </c>
      <c r="C107" s="8">
        <v>399.0</v>
      </c>
      <c r="D107" s="8">
        <v>999.0</v>
      </c>
      <c r="E107" s="19">
        <v>0.6</v>
      </c>
      <c r="F107" s="10">
        <v>4.3</v>
      </c>
      <c r="G107" s="11">
        <v>2806.0</v>
      </c>
      <c r="K107" s="23">
        <v>157.0</v>
      </c>
    </row>
    <row r="108">
      <c r="A108" s="7" t="s">
        <v>131</v>
      </c>
      <c r="B108" s="7" t="s">
        <v>15</v>
      </c>
      <c r="C108" s="8">
        <v>449.0</v>
      </c>
      <c r="D108" s="8">
        <v>1299.0</v>
      </c>
      <c r="E108" s="19">
        <v>0.65</v>
      </c>
      <c r="F108" s="10">
        <v>4.2</v>
      </c>
      <c r="G108" s="11">
        <v>24269.0</v>
      </c>
      <c r="K108" s="23">
        <v>159.0</v>
      </c>
    </row>
    <row r="109">
      <c r="A109" s="7" t="s">
        <v>132</v>
      </c>
      <c r="B109" s="7" t="s">
        <v>15</v>
      </c>
      <c r="C109" s="8">
        <v>299.0</v>
      </c>
      <c r="D109" s="8">
        <v>999.0</v>
      </c>
      <c r="E109" s="19">
        <v>0.7</v>
      </c>
      <c r="F109" s="10">
        <v>4.3</v>
      </c>
      <c r="G109" s="10">
        <v>766.0</v>
      </c>
      <c r="K109" s="23">
        <v>159.0</v>
      </c>
    </row>
    <row r="110">
      <c r="A110" s="7" t="s">
        <v>133</v>
      </c>
      <c r="B110" s="7" t="s">
        <v>37</v>
      </c>
      <c r="C110" s="8">
        <v>37999.0</v>
      </c>
      <c r="D110" s="8">
        <v>65000.0</v>
      </c>
      <c r="E110" s="19">
        <v>0.42</v>
      </c>
      <c r="F110" s="10">
        <v>4.3</v>
      </c>
      <c r="G110" s="11">
        <v>3587.0</v>
      </c>
      <c r="K110" s="23">
        <v>159.0</v>
      </c>
    </row>
    <row r="111">
      <c r="A111" s="7" t="s">
        <v>134</v>
      </c>
      <c r="B111" s="7" t="s">
        <v>15</v>
      </c>
      <c r="C111" s="8">
        <v>99.0</v>
      </c>
      <c r="D111" s="8">
        <v>800.0</v>
      </c>
      <c r="E111" s="19">
        <v>0.88</v>
      </c>
      <c r="F111" s="10">
        <v>3.9</v>
      </c>
      <c r="G111" s="11">
        <v>24871.0</v>
      </c>
      <c r="K111" s="23">
        <v>159.0</v>
      </c>
    </row>
    <row r="112">
      <c r="A112" s="7" t="s">
        <v>135</v>
      </c>
      <c r="B112" s="7" t="s">
        <v>77</v>
      </c>
      <c r="C112" s="8">
        <v>7390.0</v>
      </c>
      <c r="D112" s="8">
        <v>20000.0</v>
      </c>
      <c r="E112" s="19">
        <v>0.63</v>
      </c>
      <c r="F112" s="10">
        <v>4.1</v>
      </c>
      <c r="G112" s="11">
        <v>2581.0</v>
      </c>
      <c r="K112" s="23">
        <v>159.0</v>
      </c>
    </row>
    <row r="113">
      <c r="A113" s="7" t="s">
        <v>136</v>
      </c>
      <c r="B113" s="7" t="s">
        <v>15</v>
      </c>
      <c r="C113" s="8">
        <v>273.1</v>
      </c>
      <c r="D113" s="8">
        <v>999.0</v>
      </c>
      <c r="E113" s="19">
        <v>0.73</v>
      </c>
      <c r="F113" s="10">
        <v>4.3</v>
      </c>
      <c r="G113" s="11">
        <v>20850.0</v>
      </c>
      <c r="K113" s="23">
        <v>160.0</v>
      </c>
    </row>
    <row r="114">
      <c r="A114" s="7" t="s">
        <v>137</v>
      </c>
      <c r="B114" s="7" t="s">
        <v>37</v>
      </c>
      <c r="C114" s="8">
        <v>15990.0</v>
      </c>
      <c r="D114" s="8">
        <v>23990.0</v>
      </c>
      <c r="E114" s="19">
        <v>0.33</v>
      </c>
      <c r="F114" s="10">
        <v>4.3</v>
      </c>
      <c r="G114" s="11">
        <v>1035.0</v>
      </c>
      <c r="K114" s="23">
        <v>161.0</v>
      </c>
    </row>
    <row r="115">
      <c r="A115" s="7" t="s">
        <v>138</v>
      </c>
      <c r="B115" s="7" t="s">
        <v>15</v>
      </c>
      <c r="C115" s="8">
        <v>399.0</v>
      </c>
      <c r="D115" s="8">
        <v>999.0</v>
      </c>
      <c r="E115" s="19">
        <v>0.6</v>
      </c>
      <c r="F115" s="10">
        <v>4.1</v>
      </c>
      <c r="G115" s="11">
        <v>1780.0</v>
      </c>
      <c r="K115" s="23">
        <v>165.0</v>
      </c>
    </row>
    <row r="116">
      <c r="A116" s="7" t="s">
        <v>139</v>
      </c>
      <c r="B116" s="7" t="s">
        <v>71</v>
      </c>
      <c r="C116" s="8">
        <v>399.0</v>
      </c>
      <c r="D116" s="8">
        <v>1999.0</v>
      </c>
      <c r="E116" s="19">
        <v>0.8</v>
      </c>
      <c r="F116" s="10">
        <v>4.5</v>
      </c>
      <c r="G116" s="10">
        <v>505.0</v>
      </c>
      <c r="K116" s="23">
        <v>169.0</v>
      </c>
    </row>
    <row r="117">
      <c r="A117" s="7" t="s">
        <v>140</v>
      </c>
      <c r="B117" s="7" t="s">
        <v>15</v>
      </c>
      <c r="C117" s="8">
        <v>210.0</v>
      </c>
      <c r="D117" s="8">
        <v>399.0</v>
      </c>
      <c r="E117" s="19">
        <v>0.47</v>
      </c>
      <c r="F117" s="10">
        <v>4.1</v>
      </c>
      <c r="G117" s="11">
        <v>1717.0</v>
      </c>
      <c r="K117" s="23">
        <v>173.0</v>
      </c>
    </row>
    <row r="118">
      <c r="A118" s="7" t="s">
        <v>141</v>
      </c>
      <c r="B118" s="7" t="s">
        <v>71</v>
      </c>
      <c r="C118" s="8">
        <v>1299.0</v>
      </c>
      <c r="D118" s="8">
        <v>1999.0</v>
      </c>
      <c r="E118" s="19">
        <v>0.35</v>
      </c>
      <c r="F118" s="10">
        <v>3.6</v>
      </c>
      <c r="G118" s="10">
        <v>590.0</v>
      </c>
      <c r="K118" s="23">
        <v>175.0</v>
      </c>
    </row>
    <row r="119">
      <c r="A119" s="7" t="s">
        <v>142</v>
      </c>
      <c r="B119" s="7" t="s">
        <v>15</v>
      </c>
      <c r="C119" s="8">
        <v>347.0</v>
      </c>
      <c r="D119" s="8">
        <v>999.0</v>
      </c>
      <c r="E119" s="19">
        <v>0.65</v>
      </c>
      <c r="F119" s="10">
        <v>3.5</v>
      </c>
      <c r="G119" s="11">
        <v>1121.0</v>
      </c>
      <c r="K119" s="23">
        <v>176.63</v>
      </c>
    </row>
    <row r="120">
      <c r="A120" s="7" t="s">
        <v>143</v>
      </c>
      <c r="B120" s="7" t="s">
        <v>15</v>
      </c>
      <c r="C120" s="8">
        <v>149.0</v>
      </c>
      <c r="D120" s="8">
        <v>999.0</v>
      </c>
      <c r="E120" s="19">
        <v>0.85</v>
      </c>
      <c r="F120" s="10">
        <v>4.0</v>
      </c>
      <c r="G120" s="11">
        <v>1313.0</v>
      </c>
      <c r="K120" s="23">
        <v>176.63</v>
      </c>
    </row>
    <row r="121">
      <c r="A121" s="7" t="s">
        <v>144</v>
      </c>
      <c r="B121" s="7" t="s">
        <v>15</v>
      </c>
      <c r="C121" s="8">
        <v>228.0</v>
      </c>
      <c r="D121" s="8">
        <v>899.0</v>
      </c>
      <c r="E121" s="19">
        <v>0.75</v>
      </c>
      <c r="F121" s="10">
        <v>3.8</v>
      </c>
      <c r="G121" s="10">
        <v>132.0</v>
      </c>
      <c r="K121" s="23">
        <v>176.63</v>
      </c>
    </row>
    <row r="122">
      <c r="A122" s="7" t="s">
        <v>145</v>
      </c>
      <c r="B122" s="7" t="s">
        <v>15</v>
      </c>
      <c r="C122" s="8">
        <v>1599.0</v>
      </c>
      <c r="D122" s="8">
        <v>1999.0</v>
      </c>
      <c r="E122" s="19">
        <v>0.2</v>
      </c>
      <c r="F122" s="10">
        <v>4.4</v>
      </c>
      <c r="G122" s="11">
        <v>1951.0</v>
      </c>
      <c r="K122" s="23">
        <v>177.0</v>
      </c>
    </row>
    <row r="123">
      <c r="A123" s="7" t="s">
        <v>146</v>
      </c>
      <c r="B123" s="7" t="s">
        <v>71</v>
      </c>
      <c r="C123" s="8">
        <v>1499.0</v>
      </c>
      <c r="D123" s="8">
        <v>3999.0</v>
      </c>
      <c r="E123" s="19">
        <v>0.63</v>
      </c>
      <c r="F123" s="10">
        <v>3.7</v>
      </c>
      <c r="G123" s="10">
        <v>37.0</v>
      </c>
      <c r="K123" s="23">
        <v>178.0</v>
      </c>
    </row>
    <row r="124">
      <c r="A124" s="7" t="s">
        <v>147</v>
      </c>
      <c r="B124" s="7" t="s">
        <v>37</v>
      </c>
      <c r="C124" s="8">
        <v>8499.0</v>
      </c>
      <c r="D124" s="8">
        <v>15999.0</v>
      </c>
      <c r="E124" s="19">
        <v>0.47</v>
      </c>
      <c r="F124" s="10">
        <v>4.3</v>
      </c>
      <c r="G124" s="10">
        <v>592.0</v>
      </c>
      <c r="K124" s="23">
        <v>179.0</v>
      </c>
    </row>
    <row r="125">
      <c r="A125" s="7" t="s">
        <v>148</v>
      </c>
      <c r="B125" s="7" t="s">
        <v>37</v>
      </c>
      <c r="C125" s="8">
        <v>20990.0</v>
      </c>
      <c r="D125" s="8">
        <v>44990.0</v>
      </c>
      <c r="E125" s="19">
        <v>0.53</v>
      </c>
      <c r="F125" s="10">
        <v>4.1</v>
      </c>
      <c r="G125" s="11">
        <v>1259.0</v>
      </c>
      <c r="K125" s="23">
        <v>179.0</v>
      </c>
    </row>
    <row r="126">
      <c r="A126" s="7" t="s">
        <v>149</v>
      </c>
      <c r="B126" s="7" t="s">
        <v>37</v>
      </c>
      <c r="C126" s="8">
        <v>32999.0</v>
      </c>
      <c r="D126" s="8">
        <v>44999.0</v>
      </c>
      <c r="E126" s="19">
        <v>0.27</v>
      </c>
      <c r="F126" s="10">
        <v>4.2</v>
      </c>
      <c r="G126" s="11">
        <v>45238.0</v>
      </c>
      <c r="K126" s="23">
        <v>179.0</v>
      </c>
    </row>
    <row r="127">
      <c r="A127" s="7" t="s">
        <v>150</v>
      </c>
      <c r="B127" s="7" t="s">
        <v>31</v>
      </c>
      <c r="C127" s="8">
        <v>799.0</v>
      </c>
      <c r="D127" s="8">
        <v>1700.0</v>
      </c>
      <c r="E127" s="19">
        <v>0.53</v>
      </c>
      <c r="F127" s="10">
        <v>4.1</v>
      </c>
      <c r="G127" s="11">
        <v>28638.0</v>
      </c>
      <c r="K127" s="23">
        <v>179.0</v>
      </c>
    </row>
    <row r="128">
      <c r="A128" s="7" t="s">
        <v>151</v>
      </c>
      <c r="B128" s="7" t="s">
        <v>31</v>
      </c>
      <c r="C128" s="8">
        <v>229.0</v>
      </c>
      <c r="D128" s="8">
        <v>595.0</v>
      </c>
      <c r="E128" s="19">
        <v>0.62</v>
      </c>
      <c r="F128" s="10">
        <v>4.3</v>
      </c>
      <c r="G128" s="11">
        <v>12835.0</v>
      </c>
      <c r="K128" s="23">
        <v>179.0</v>
      </c>
    </row>
    <row r="129">
      <c r="A129" s="7" t="s">
        <v>152</v>
      </c>
      <c r="B129" s="7" t="s">
        <v>37</v>
      </c>
      <c r="C129" s="8">
        <v>9999.0</v>
      </c>
      <c r="D129" s="8">
        <v>27990.0</v>
      </c>
      <c r="E129" s="19">
        <v>0.64</v>
      </c>
      <c r="F129" s="10">
        <v>4.2</v>
      </c>
      <c r="G129" s="11">
        <v>1269.0</v>
      </c>
      <c r="K129" s="23">
        <v>179.0</v>
      </c>
    </row>
    <row r="130">
      <c r="A130" s="7" t="s">
        <v>153</v>
      </c>
      <c r="B130" s="7" t="s">
        <v>71</v>
      </c>
      <c r="C130" s="8">
        <v>349.0</v>
      </c>
      <c r="D130" s="8">
        <v>599.0</v>
      </c>
      <c r="E130" s="19">
        <v>0.42</v>
      </c>
      <c r="F130" s="10">
        <v>4.2</v>
      </c>
      <c r="G130" s="10">
        <v>284.0</v>
      </c>
      <c r="K130" s="23">
        <v>179.0</v>
      </c>
    </row>
    <row r="131">
      <c r="A131" s="7" t="s">
        <v>154</v>
      </c>
      <c r="B131" s="7" t="s">
        <v>155</v>
      </c>
      <c r="C131" s="8">
        <v>489.0</v>
      </c>
      <c r="D131" s="8">
        <v>1200.0</v>
      </c>
      <c r="E131" s="19">
        <v>0.59</v>
      </c>
      <c r="F131" s="10">
        <v>4.4</v>
      </c>
      <c r="G131" s="11">
        <v>69538.0</v>
      </c>
      <c r="K131" s="23">
        <v>179.0</v>
      </c>
    </row>
    <row r="132">
      <c r="A132" s="7" t="s">
        <v>156</v>
      </c>
      <c r="B132" s="7" t="s">
        <v>37</v>
      </c>
      <c r="C132" s="8">
        <v>23999.0</v>
      </c>
      <c r="D132" s="8">
        <v>34990.0</v>
      </c>
      <c r="E132" s="19">
        <v>0.31</v>
      </c>
      <c r="F132" s="10">
        <v>4.3</v>
      </c>
      <c r="G132" s="11">
        <v>4703.0</v>
      </c>
      <c r="K132" s="23">
        <v>179.0</v>
      </c>
    </row>
    <row r="133">
      <c r="A133" s="7" t="s">
        <v>157</v>
      </c>
      <c r="B133" s="7" t="s">
        <v>15</v>
      </c>
      <c r="C133" s="8">
        <v>399.0</v>
      </c>
      <c r="D133" s="8">
        <v>999.0</v>
      </c>
      <c r="E133" s="19">
        <v>0.6</v>
      </c>
      <c r="F133" s="10">
        <v>4.3</v>
      </c>
      <c r="G133" s="11">
        <v>2806.0</v>
      </c>
      <c r="K133" s="23">
        <v>179.0</v>
      </c>
    </row>
    <row r="134">
      <c r="A134" s="7" t="s">
        <v>158</v>
      </c>
      <c r="B134" s="7" t="s">
        <v>159</v>
      </c>
      <c r="C134" s="8">
        <v>349.0</v>
      </c>
      <c r="D134" s="8">
        <v>1299.0</v>
      </c>
      <c r="E134" s="19">
        <v>0.73</v>
      </c>
      <c r="F134" s="10">
        <v>4.0</v>
      </c>
      <c r="G134" s="11">
        <v>3295.0</v>
      </c>
      <c r="K134" s="23">
        <v>179.0</v>
      </c>
    </row>
    <row r="135">
      <c r="A135" s="7" t="s">
        <v>160</v>
      </c>
      <c r="B135" s="7" t="s">
        <v>15</v>
      </c>
      <c r="C135" s="8">
        <v>179.0</v>
      </c>
      <c r="D135" s="8">
        <v>299.0</v>
      </c>
      <c r="E135" s="19">
        <v>0.4</v>
      </c>
      <c r="F135" s="10">
        <v>3.9</v>
      </c>
      <c r="G135" s="10">
        <v>81.0</v>
      </c>
      <c r="K135" s="23">
        <v>179.0</v>
      </c>
    </row>
    <row r="136">
      <c r="A136" s="7" t="s">
        <v>161</v>
      </c>
      <c r="B136" s="7" t="s">
        <v>15</v>
      </c>
      <c r="C136" s="8">
        <v>689.0</v>
      </c>
      <c r="D136" s="8">
        <v>1500.0</v>
      </c>
      <c r="E136" s="19">
        <v>0.54</v>
      </c>
      <c r="F136" s="10">
        <v>4.2</v>
      </c>
      <c r="G136" s="11">
        <v>42301.0</v>
      </c>
      <c r="K136" s="23">
        <v>179.0</v>
      </c>
    </row>
    <row r="137">
      <c r="A137" s="7" t="s">
        <v>162</v>
      </c>
      <c r="B137" s="7" t="s">
        <v>37</v>
      </c>
      <c r="C137" s="8">
        <v>30990.0</v>
      </c>
      <c r="D137" s="8">
        <v>49990.0</v>
      </c>
      <c r="E137" s="19">
        <v>0.38</v>
      </c>
      <c r="F137" s="10">
        <v>4.3</v>
      </c>
      <c r="G137" s="11">
        <v>1376.0</v>
      </c>
      <c r="K137" s="23">
        <v>182.0</v>
      </c>
    </row>
    <row r="138">
      <c r="A138" s="7" t="s">
        <v>163</v>
      </c>
      <c r="B138" s="7" t="s">
        <v>15</v>
      </c>
      <c r="C138" s="8">
        <v>249.0</v>
      </c>
      <c r="D138" s="8">
        <v>931.0</v>
      </c>
      <c r="E138" s="19">
        <v>0.73</v>
      </c>
      <c r="F138" s="10">
        <v>3.9</v>
      </c>
      <c r="G138" s="11">
        <v>1075.0</v>
      </c>
      <c r="K138" s="23">
        <v>184.0</v>
      </c>
    </row>
    <row r="139">
      <c r="A139" s="7" t="s">
        <v>164</v>
      </c>
      <c r="B139" s="7" t="s">
        <v>31</v>
      </c>
      <c r="C139" s="8">
        <v>999.0</v>
      </c>
      <c r="D139" s="8">
        <v>2399.0</v>
      </c>
      <c r="E139" s="19">
        <v>0.58</v>
      </c>
      <c r="F139" s="10">
        <v>4.6</v>
      </c>
      <c r="G139" s="11">
        <v>3664.0</v>
      </c>
      <c r="K139" s="23">
        <v>185.0</v>
      </c>
    </row>
    <row r="140">
      <c r="A140" s="7" t="s">
        <v>165</v>
      </c>
      <c r="B140" s="7" t="s">
        <v>71</v>
      </c>
      <c r="C140" s="8">
        <v>399.0</v>
      </c>
      <c r="D140" s="8">
        <v>399.0</v>
      </c>
      <c r="E140" s="19">
        <v>0.0</v>
      </c>
      <c r="F140" s="10">
        <v>3.9</v>
      </c>
      <c r="G140" s="11">
        <v>1951.0</v>
      </c>
      <c r="K140" s="23">
        <v>185.0</v>
      </c>
    </row>
    <row r="141">
      <c r="A141" s="7" t="s">
        <v>166</v>
      </c>
      <c r="B141" s="7" t="s">
        <v>15</v>
      </c>
      <c r="C141" s="8">
        <v>349.0</v>
      </c>
      <c r="D141" s="8">
        <v>699.0</v>
      </c>
      <c r="E141" s="19">
        <v>0.5</v>
      </c>
      <c r="F141" s="10">
        <v>4.3</v>
      </c>
      <c r="G141" s="11">
        <v>20850.0</v>
      </c>
      <c r="K141" s="23">
        <v>189.0</v>
      </c>
    </row>
    <row r="142">
      <c r="A142" s="7" t="s">
        <v>167</v>
      </c>
      <c r="B142" s="7" t="s">
        <v>15</v>
      </c>
      <c r="C142" s="8">
        <v>399.0</v>
      </c>
      <c r="D142" s="8">
        <v>1099.0</v>
      </c>
      <c r="E142" s="19">
        <v>0.64</v>
      </c>
      <c r="F142" s="10">
        <v>4.1</v>
      </c>
      <c r="G142" s="11">
        <v>2685.0</v>
      </c>
      <c r="K142" s="23">
        <v>190.0</v>
      </c>
    </row>
    <row r="143">
      <c r="A143" s="7" t="s">
        <v>168</v>
      </c>
      <c r="B143" s="7" t="s">
        <v>25</v>
      </c>
      <c r="C143" s="8">
        <v>1699.0</v>
      </c>
      <c r="D143" s="8">
        <v>2999.0</v>
      </c>
      <c r="E143" s="19">
        <v>0.43</v>
      </c>
      <c r="F143" s="10">
        <v>4.4</v>
      </c>
      <c r="G143" s="11">
        <v>24780.0</v>
      </c>
      <c r="K143" s="23">
        <v>191.0</v>
      </c>
    </row>
    <row r="144">
      <c r="A144" s="7" t="s">
        <v>169</v>
      </c>
      <c r="B144" s="7" t="s">
        <v>71</v>
      </c>
      <c r="C144" s="8">
        <v>655.0</v>
      </c>
      <c r="D144" s="8">
        <v>1099.0</v>
      </c>
      <c r="E144" s="19">
        <v>0.4</v>
      </c>
      <c r="F144" s="10">
        <v>3.2</v>
      </c>
      <c r="G144" s="10">
        <v>285.0</v>
      </c>
      <c r="K144" s="23">
        <v>193.0</v>
      </c>
    </row>
    <row r="145">
      <c r="A145" s="7" t="s">
        <v>170</v>
      </c>
      <c r="B145" s="7" t="s">
        <v>25</v>
      </c>
      <c r="C145" s="8">
        <v>749.0</v>
      </c>
      <c r="D145" s="8">
        <v>1339.0</v>
      </c>
      <c r="E145" s="19">
        <v>0.44</v>
      </c>
      <c r="F145" s="10">
        <v>4.2</v>
      </c>
      <c r="G145" s="7" t="s">
        <v>171</v>
      </c>
      <c r="K145" s="23">
        <v>195.0</v>
      </c>
    </row>
    <row r="146">
      <c r="A146" s="7" t="s">
        <v>172</v>
      </c>
      <c r="B146" s="7" t="s">
        <v>37</v>
      </c>
      <c r="C146" s="8">
        <v>9999.0</v>
      </c>
      <c r="D146" s="8">
        <v>12999.0</v>
      </c>
      <c r="E146" s="19">
        <v>0.23</v>
      </c>
      <c r="F146" s="10">
        <v>4.2</v>
      </c>
      <c r="G146" s="11">
        <v>6088.0</v>
      </c>
      <c r="K146" s="23">
        <v>197.0</v>
      </c>
    </row>
    <row r="147">
      <c r="A147" s="7" t="s">
        <v>173</v>
      </c>
      <c r="B147" s="7" t="s">
        <v>71</v>
      </c>
      <c r="C147" s="8">
        <v>195.0</v>
      </c>
      <c r="D147" s="8">
        <v>499.0</v>
      </c>
      <c r="E147" s="19">
        <v>0.61</v>
      </c>
      <c r="F147" s="10">
        <v>3.7</v>
      </c>
      <c r="G147" s="11">
        <v>1383.0</v>
      </c>
      <c r="K147" s="23">
        <v>198.0</v>
      </c>
    </row>
    <row r="148">
      <c r="A148" s="7" t="s">
        <v>174</v>
      </c>
      <c r="B148" s="7" t="s">
        <v>15</v>
      </c>
      <c r="C148" s="8">
        <v>999.0</v>
      </c>
      <c r="D148" s="8">
        <v>2100.0</v>
      </c>
      <c r="E148" s="19">
        <v>0.52</v>
      </c>
      <c r="F148" s="10">
        <v>4.5</v>
      </c>
      <c r="G148" s="11">
        <v>5492.0</v>
      </c>
      <c r="K148" s="23">
        <v>199.0</v>
      </c>
    </row>
    <row r="149">
      <c r="A149" s="7" t="s">
        <v>175</v>
      </c>
      <c r="B149" s="7" t="s">
        <v>15</v>
      </c>
      <c r="C149" s="8">
        <v>499.0</v>
      </c>
      <c r="D149" s="8">
        <v>899.0</v>
      </c>
      <c r="E149" s="19">
        <v>0.44</v>
      </c>
      <c r="F149" s="10">
        <v>4.2</v>
      </c>
      <c r="G149" s="10">
        <v>919.0</v>
      </c>
      <c r="K149" s="23">
        <v>199.0</v>
      </c>
    </row>
    <row r="150">
      <c r="A150" s="7" t="s">
        <v>176</v>
      </c>
      <c r="B150" s="7" t="s">
        <v>177</v>
      </c>
      <c r="C150" s="8">
        <v>416.0</v>
      </c>
      <c r="D150" s="8">
        <v>599.0</v>
      </c>
      <c r="E150" s="19">
        <v>0.31</v>
      </c>
      <c r="F150" s="10">
        <v>4.2</v>
      </c>
      <c r="G150" s="11">
        <v>30023.0</v>
      </c>
      <c r="K150" s="23">
        <v>199.0</v>
      </c>
    </row>
    <row r="151">
      <c r="A151" s="7" t="s">
        <v>178</v>
      </c>
      <c r="B151" s="7" t="s">
        <v>15</v>
      </c>
      <c r="C151" s="8">
        <v>368.0</v>
      </c>
      <c r="D151" s="8">
        <v>699.0</v>
      </c>
      <c r="E151" s="19">
        <v>0.47</v>
      </c>
      <c r="F151" s="10">
        <v>4.2</v>
      </c>
      <c r="G151" s="10">
        <v>387.0</v>
      </c>
      <c r="K151" s="23">
        <v>199.0</v>
      </c>
    </row>
    <row r="152">
      <c r="A152" s="7" t="s">
        <v>179</v>
      </c>
      <c r="B152" s="7" t="s">
        <v>37</v>
      </c>
      <c r="C152" s="8">
        <v>29990.0</v>
      </c>
      <c r="D152" s="8">
        <v>65000.0</v>
      </c>
      <c r="E152" s="19">
        <v>0.54</v>
      </c>
      <c r="F152" s="10">
        <v>4.1</v>
      </c>
      <c r="G152" s="10">
        <v>211.0</v>
      </c>
      <c r="K152" s="23">
        <v>199.0</v>
      </c>
    </row>
    <row r="153">
      <c r="A153" s="7" t="s">
        <v>180</v>
      </c>
      <c r="B153" s="7" t="s">
        <v>15</v>
      </c>
      <c r="C153" s="8">
        <v>339.0</v>
      </c>
      <c r="D153" s="8">
        <v>1099.0</v>
      </c>
      <c r="E153" s="19">
        <v>0.69</v>
      </c>
      <c r="F153" s="10">
        <v>4.3</v>
      </c>
      <c r="G153" s="10">
        <v>974.0</v>
      </c>
      <c r="K153" s="23">
        <v>199.0</v>
      </c>
    </row>
    <row r="154">
      <c r="A154" s="7" t="s">
        <v>181</v>
      </c>
      <c r="B154" s="7" t="s">
        <v>37</v>
      </c>
      <c r="C154" s="8">
        <v>15490.0</v>
      </c>
      <c r="D154" s="8">
        <v>20900.0</v>
      </c>
      <c r="E154" s="19">
        <v>0.26</v>
      </c>
      <c r="F154" s="10">
        <v>4.3</v>
      </c>
      <c r="G154" s="11">
        <v>16299.0</v>
      </c>
      <c r="K154" s="23">
        <v>199.0</v>
      </c>
    </row>
    <row r="155">
      <c r="A155" s="7" t="s">
        <v>182</v>
      </c>
      <c r="B155" s="7" t="s">
        <v>15</v>
      </c>
      <c r="C155" s="8">
        <v>499.0</v>
      </c>
      <c r="D155" s="8">
        <v>1299.0</v>
      </c>
      <c r="E155" s="19">
        <v>0.62</v>
      </c>
      <c r="F155" s="10">
        <v>4.3</v>
      </c>
      <c r="G155" s="11">
        <v>30411.0</v>
      </c>
      <c r="K155" s="23">
        <v>199.0</v>
      </c>
    </row>
    <row r="156">
      <c r="A156" s="7" t="s">
        <v>183</v>
      </c>
      <c r="B156" s="7" t="s">
        <v>25</v>
      </c>
      <c r="C156" s="8">
        <v>249.0</v>
      </c>
      <c r="D156" s="8">
        <v>399.0</v>
      </c>
      <c r="E156" s="19">
        <v>0.38</v>
      </c>
      <c r="F156" s="10">
        <v>3.4</v>
      </c>
      <c r="G156" s="11">
        <v>4642.0</v>
      </c>
      <c r="K156" s="23">
        <v>199.0</v>
      </c>
    </row>
    <row r="157">
      <c r="A157" s="7" t="s">
        <v>184</v>
      </c>
      <c r="B157" s="7" t="s">
        <v>71</v>
      </c>
      <c r="C157" s="8">
        <v>399.0</v>
      </c>
      <c r="D157" s="8">
        <v>799.0</v>
      </c>
      <c r="E157" s="19">
        <v>0.5</v>
      </c>
      <c r="F157" s="10">
        <v>4.3</v>
      </c>
      <c r="G157" s="10">
        <v>12.0</v>
      </c>
      <c r="K157" s="23">
        <v>199.0</v>
      </c>
    </row>
    <row r="158">
      <c r="A158" s="7" t="s">
        <v>185</v>
      </c>
      <c r="B158" s="7" t="s">
        <v>15</v>
      </c>
      <c r="C158" s="8">
        <v>1499.0</v>
      </c>
      <c r="D158" s="8">
        <v>1999.0</v>
      </c>
      <c r="E158" s="19">
        <v>0.25</v>
      </c>
      <c r="F158" s="10">
        <v>4.4</v>
      </c>
      <c r="G158" s="11">
        <v>1951.0</v>
      </c>
      <c r="K158" s="23">
        <v>199.0</v>
      </c>
    </row>
    <row r="159">
      <c r="A159" s="7" t="s">
        <v>186</v>
      </c>
      <c r="B159" s="7" t="s">
        <v>187</v>
      </c>
      <c r="C159" s="8">
        <v>9490.0</v>
      </c>
      <c r="D159" s="8">
        <v>15990.0</v>
      </c>
      <c r="E159" s="19">
        <v>0.41</v>
      </c>
      <c r="F159" s="10">
        <v>3.9</v>
      </c>
      <c r="G159" s="11">
        <v>10480.0</v>
      </c>
      <c r="K159" s="23">
        <v>199.0</v>
      </c>
    </row>
    <row r="160">
      <c r="A160" s="7" t="s">
        <v>188</v>
      </c>
      <c r="B160" s="7" t="s">
        <v>31</v>
      </c>
      <c r="C160" s="8">
        <v>637.0</v>
      </c>
      <c r="D160" s="8">
        <v>1499.0</v>
      </c>
      <c r="E160" s="19">
        <v>0.58</v>
      </c>
      <c r="F160" s="10">
        <v>4.1</v>
      </c>
      <c r="G160" s="10">
        <v>24.0</v>
      </c>
      <c r="K160" s="23">
        <v>199.0</v>
      </c>
    </row>
    <row r="161">
      <c r="A161" s="7" t="s">
        <v>189</v>
      </c>
      <c r="B161" s="7" t="s">
        <v>71</v>
      </c>
      <c r="C161" s="8">
        <v>399.0</v>
      </c>
      <c r="D161" s="8">
        <v>899.0</v>
      </c>
      <c r="E161" s="19">
        <v>0.56</v>
      </c>
      <c r="F161" s="10">
        <v>3.9</v>
      </c>
      <c r="G161" s="10">
        <v>254.0</v>
      </c>
      <c r="K161" s="23">
        <v>199.0</v>
      </c>
    </row>
    <row r="162">
      <c r="A162" s="7" t="s">
        <v>190</v>
      </c>
      <c r="B162" s="7" t="s">
        <v>177</v>
      </c>
      <c r="C162" s="8">
        <v>1089.0</v>
      </c>
      <c r="D162" s="8">
        <v>1600.0</v>
      </c>
      <c r="E162" s="19">
        <v>0.32</v>
      </c>
      <c r="F162" s="10">
        <v>4.0</v>
      </c>
      <c r="G162" s="11">
        <v>3565.0</v>
      </c>
      <c r="K162" s="23">
        <v>199.0</v>
      </c>
    </row>
    <row r="163">
      <c r="A163" s="7" t="s">
        <v>191</v>
      </c>
      <c r="B163" s="7" t="s">
        <v>15</v>
      </c>
      <c r="C163" s="8">
        <v>339.0</v>
      </c>
      <c r="D163" s="8">
        <v>999.0</v>
      </c>
      <c r="E163" s="19">
        <v>0.66</v>
      </c>
      <c r="F163" s="10">
        <v>4.3</v>
      </c>
      <c r="G163" s="11">
        <v>6255.0</v>
      </c>
      <c r="K163" s="23">
        <v>199.0</v>
      </c>
    </row>
    <row r="164">
      <c r="A164" s="7" t="s">
        <v>192</v>
      </c>
      <c r="B164" s="7" t="s">
        <v>15</v>
      </c>
      <c r="C164" s="8">
        <v>149.0</v>
      </c>
      <c r="D164" s="8">
        <v>499.0</v>
      </c>
      <c r="E164" s="19">
        <v>0.7</v>
      </c>
      <c r="F164" s="10">
        <v>4.0</v>
      </c>
      <c r="G164" s="11">
        <v>7732.0</v>
      </c>
      <c r="K164" s="23">
        <v>199.0</v>
      </c>
    </row>
    <row r="165">
      <c r="A165" s="7" t="s">
        <v>193</v>
      </c>
      <c r="B165" s="7" t="s">
        <v>15</v>
      </c>
      <c r="C165" s="8">
        <v>149.0</v>
      </c>
      <c r="D165" s="8">
        <v>399.0</v>
      </c>
      <c r="E165" s="19">
        <v>0.63</v>
      </c>
      <c r="F165" s="10">
        <v>3.9</v>
      </c>
      <c r="G165" s="10">
        <v>57.0</v>
      </c>
      <c r="K165" s="23">
        <v>199.0</v>
      </c>
    </row>
    <row r="166">
      <c r="A166" s="7" t="s">
        <v>194</v>
      </c>
      <c r="B166" s="7" t="s">
        <v>15</v>
      </c>
      <c r="C166" s="8">
        <v>599.0</v>
      </c>
      <c r="D166" s="8">
        <v>849.0</v>
      </c>
      <c r="E166" s="19">
        <v>0.29</v>
      </c>
      <c r="F166" s="10">
        <v>4.5</v>
      </c>
      <c r="G166" s="10">
        <v>577.0</v>
      </c>
      <c r="K166" s="23">
        <v>199.0</v>
      </c>
    </row>
    <row r="167">
      <c r="A167" s="7" t="s">
        <v>195</v>
      </c>
      <c r="B167" s="7" t="s">
        <v>71</v>
      </c>
      <c r="C167" s="8">
        <v>299.0</v>
      </c>
      <c r="D167" s="8">
        <v>1199.0</v>
      </c>
      <c r="E167" s="19">
        <v>0.75</v>
      </c>
      <c r="F167" s="10">
        <v>3.9</v>
      </c>
      <c r="G167" s="11">
        <v>1193.0</v>
      </c>
      <c r="K167" s="23">
        <v>199.0</v>
      </c>
    </row>
    <row r="168">
      <c r="A168" s="7" t="s">
        <v>196</v>
      </c>
      <c r="B168" s="7" t="s">
        <v>15</v>
      </c>
      <c r="C168" s="8">
        <v>399.0</v>
      </c>
      <c r="D168" s="8">
        <v>1299.0</v>
      </c>
      <c r="E168" s="19">
        <v>0.69</v>
      </c>
      <c r="F168" s="10">
        <v>4.2</v>
      </c>
      <c r="G168" s="11">
        <v>13120.0</v>
      </c>
      <c r="K168" s="23">
        <v>199.0</v>
      </c>
    </row>
    <row r="169">
      <c r="A169" s="7" t="s">
        <v>197</v>
      </c>
      <c r="B169" s="7" t="s">
        <v>71</v>
      </c>
      <c r="C169" s="8">
        <v>339.0</v>
      </c>
      <c r="D169" s="8">
        <v>1999.0</v>
      </c>
      <c r="E169" s="19">
        <v>0.83</v>
      </c>
      <c r="F169" s="10">
        <v>4.0</v>
      </c>
      <c r="G169" s="10">
        <v>343.0</v>
      </c>
      <c r="K169" s="23">
        <v>199.0</v>
      </c>
    </row>
    <row r="170">
      <c r="A170" s="7" t="s">
        <v>198</v>
      </c>
      <c r="B170" s="7" t="s">
        <v>37</v>
      </c>
      <c r="C170" s="8">
        <v>12499.0</v>
      </c>
      <c r="D170" s="8">
        <v>22990.0</v>
      </c>
      <c r="E170" s="19">
        <v>0.46</v>
      </c>
      <c r="F170" s="10">
        <v>4.3</v>
      </c>
      <c r="G170" s="11">
        <v>1611.0</v>
      </c>
      <c r="K170" s="23">
        <v>199.0</v>
      </c>
    </row>
    <row r="171">
      <c r="A171" s="7" t="s">
        <v>199</v>
      </c>
      <c r="B171" s="7" t="s">
        <v>15</v>
      </c>
      <c r="C171" s="8">
        <v>249.0</v>
      </c>
      <c r="D171" s="8">
        <v>399.0</v>
      </c>
      <c r="E171" s="19">
        <v>0.38</v>
      </c>
      <c r="F171" s="10">
        <v>4.0</v>
      </c>
      <c r="G171" s="11">
        <v>6558.0</v>
      </c>
      <c r="K171" s="23">
        <v>199.0</v>
      </c>
    </row>
    <row r="172">
      <c r="A172" s="7" t="s">
        <v>200</v>
      </c>
      <c r="B172" s="7" t="s">
        <v>25</v>
      </c>
      <c r="C172" s="8">
        <v>1399.0</v>
      </c>
      <c r="D172" s="8">
        <v>2499.0</v>
      </c>
      <c r="E172" s="19">
        <v>0.44</v>
      </c>
      <c r="F172" s="10">
        <v>4.4</v>
      </c>
      <c r="G172" s="11">
        <v>23169.0</v>
      </c>
      <c r="K172" s="23">
        <v>199.0</v>
      </c>
    </row>
    <row r="173">
      <c r="A173" s="7" t="s">
        <v>201</v>
      </c>
      <c r="B173" s="7" t="s">
        <v>37</v>
      </c>
      <c r="C173" s="8">
        <v>32999.0</v>
      </c>
      <c r="D173" s="8">
        <v>47990.0</v>
      </c>
      <c r="E173" s="19">
        <v>0.31</v>
      </c>
      <c r="F173" s="10">
        <v>4.3</v>
      </c>
      <c r="G173" s="11">
        <v>4703.0</v>
      </c>
      <c r="K173" s="23">
        <v>199.0</v>
      </c>
    </row>
    <row r="174">
      <c r="A174" s="7" t="s">
        <v>202</v>
      </c>
      <c r="B174" s="7" t="s">
        <v>15</v>
      </c>
      <c r="C174" s="8">
        <v>149.0</v>
      </c>
      <c r="D174" s="8">
        <v>399.0</v>
      </c>
      <c r="E174" s="19">
        <v>0.63</v>
      </c>
      <c r="F174" s="10">
        <v>4.0</v>
      </c>
      <c r="G174" s="11">
        <v>1423.0</v>
      </c>
      <c r="K174" s="23">
        <v>199.0</v>
      </c>
    </row>
    <row r="175">
      <c r="A175" s="7" t="s">
        <v>203</v>
      </c>
      <c r="B175" s="7" t="s">
        <v>15</v>
      </c>
      <c r="C175" s="8">
        <v>325.0</v>
      </c>
      <c r="D175" s="8">
        <v>999.0</v>
      </c>
      <c r="E175" s="19">
        <v>0.67</v>
      </c>
      <c r="F175" s="10">
        <v>4.3</v>
      </c>
      <c r="G175" s="11">
        <v>2651.0</v>
      </c>
      <c r="K175" s="23">
        <v>199.0</v>
      </c>
    </row>
    <row r="176">
      <c r="A176" s="7" t="s">
        <v>204</v>
      </c>
      <c r="B176" s="7" t="s">
        <v>15</v>
      </c>
      <c r="C176" s="8">
        <v>399.0</v>
      </c>
      <c r="D176" s="8">
        <v>1999.0</v>
      </c>
      <c r="E176" s="19">
        <v>0.8</v>
      </c>
      <c r="F176" s="10">
        <v>5.0</v>
      </c>
      <c r="G176" s="10">
        <v>5.0</v>
      </c>
      <c r="K176" s="23">
        <v>199.0</v>
      </c>
    </row>
    <row r="177">
      <c r="A177" s="7" t="s">
        <v>205</v>
      </c>
      <c r="B177" s="7" t="s">
        <v>25</v>
      </c>
      <c r="C177" s="8">
        <v>199.0</v>
      </c>
      <c r="D177" s="8">
        <v>499.0</v>
      </c>
      <c r="E177" s="19">
        <v>0.6</v>
      </c>
      <c r="F177" s="10">
        <v>3.7</v>
      </c>
      <c r="G177" s="10">
        <v>612.0</v>
      </c>
      <c r="K177" s="23">
        <v>199.0</v>
      </c>
    </row>
    <row r="178">
      <c r="A178" s="7" t="s">
        <v>206</v>
      </c>
      <c r="B178" s="7" t="s">
        <v>15</v>
      </c>
      <c r="C178" s="8">
        <v>88.0</v>
      </c>
      <c r="D178" s="8">
        <v>299.0</v>
      </c>
      <c r="E178" s="19">
        <v>0.71</v>
      </c>
      <c r="F178" s="10">
        <v>4.0</v>
      </c>
      <c r="G178" s="11">
        <v>9378.0</v>
      </c>
      <c r="K178" s="23">
        <v>199.0</v>
      </c>
    </row>
    <row r="179">
      <c r="A179" s="7" t="s">
        <v>207</v>
      </c>
      <c r="B179" s="7" t="s">
        <v>15</v>
      </c>
      <c r="C179" s="8">
        <v>399.0</v>
      </c>
      <c r="D179" s="8">
        <v>1099.0</v>
      </c>
      <c r="E179" s="19">
        <v>0.64</v>
      </c>
      <c r="F179" s="10">
        <v>4.1</v>
      </c>
      <c r="G179" s="11">
        <v>2685.0</v>
      </c>
      <c r="K179" s="23">
        <v>199.0</v>
      </c>
    </row>
    <row r="180">
      <c r="A180" s="7" t="s">
        <v>208</v>
      </c>
      <c r="B180" s="7" t="s">
        <v>15</v>
      </c>
      <c r="C180" s="8">
        <v>57.89</v>
      </c>
      <c r="D180" s="8">
        <v>199.0</v>
      </c>
      <c r="E180" s="19">
        <v>0.71</v>
      </c>
      <c r="F180" s="10">
        <v>4.0</v>
      </c>
      <c r="G180" s="11">
        <v>9378.0</v>
      </c>
      <c r="K180" s="23">
        <v>199.0</v>
      </c>
    </row>
    <row r="181">
      <c r="A181" s="7" t="s">
        <v>209</v>
      </c>
      <c r="B181" s="7" t="s">
        <v>71</v>
      </c>
      <c r="C181" s="8">
        <v>799.0</v>
      </c>
      <c r="D181" s="8">
        <v>1999.0</v>
      </c>
      <c r="E181" s="19">
        <v>0.6</v>
      </c>
      <c r="F181" s="10">
        <v>3.3</v>
      </c>
      <c r="G181" s="10">
        <v>576.0</v>
      </c>
      <c r="K181" s="23">
        <v>199.0</v>
      </c>
    </row>
    <row r="182">
      <c r="A182" s="7" t="s">
        <v>210</v>
      </c>
      <c r="B182" s="7" t="s">
        <v>71</v>
      </c>
      <c r="C182" s="8">
        <v>205.0</v>
      </c>
      <c r="D182" s="8">
        <v>499.0</v>
      </c>
      <c r="E182" s="19">
        <v>0.59</v>
      </c>
      <c r="F182" s="10">
        <v>3.8</v>
      </c>
      <c r="G182" s="10">
        <v>313.0</v>
      </c>
      <c r="K182" s="23">
        <v>199.0</v>
      </c>
    </row>
    <row r="183">
      <c r="A183" s="7" t="s">
        <v>211</v>
      </c>
      <c r="B183" s="7" t="s">
        <v>15</v>
      </c>
      <c r="C183" s="8">
        <v>299.0</v>
      </c>
      <c r="D183" s="8">
        <v>699.0</v>
      </c>
      <c r="E183" s="19">
        <v>0.57</v>
      </c>
      <c r="F183" s="10">
        <v>4.1</v>
      </c>
      <c r="G183" s="11">
        <v>2957.0</v>
      </c>
      <c r="K183" s="23">
        <v>199.0</v>
      </c>
    </row>
    <row r="184">
      <c r="A184" s="7" t="s">
        <v>212</v>
      </c>
      <c r="B184" s="7" t="s">
        <v>15</v>
      </c>
      <c r="C184" s="8">
        <v>849.0</v>
      </c>
      <c r="D184" s="8">
        <v>999.0</v>
      </c>
      <c r="E184" s="19">
        <v>0.15</v>
      </c>
      <c r="F184" s="10">
        <v>4.1</v>
      </c>
      <c r="G184" s="11">
        <v>6736.0</v>
      </c>
      <c r="K184" s="23">
        <v>199.0</v>
      </c>
    </row>
    <row r="185">
      <c r="A185" s="7" t="s">
        <v>213</v>
      </c>
      <c r="B185" s="7" t="s">
        <v>15</v>
      </c>
      <c r="C185" s="8">
        <v>949.0</v>
      </c>
      <c r="D185" s="8">
        <v>1999.0</v>
      </c>
      <c r="E185" s="19">
        <v>0.53</v>
      </c>
      <c r="F185" s="10">
        <v>4.4</v>
      </c>
      <c r="G185" s="11">
        <v>13552.0</v>
      </c>
      <c r="K185" s="23">
        <v>199.0</v>
      </c>
    </row>
    <row r="186">
      <c r="A186" s="7" t="s">
        <v>214</v>
      </c>
      <c r="B186" s="7" t="s">
        <v>15</v>
      </c>
      <c r="C186" s="8">
        <v>499.0</v>
      </c>
      <c r="D186" s="8">
        <v>1200.0</v>
      </c>
      <c r="E186" s="19">
        <v>0.58</v>
      </c>
      <c r="F186" s="10">
        <v>4.3</v>
      </c>
      <c r="G186" s="11">
        <v>5451.0</v>
      </c>
      <c r="K186" s="23">
        <v>199.0</v>
      </c>
    </row>
    <row r="187">
      <c r="A187" s="7" t="s">
        <v>215</v>
      </c>
      <c r="B187" s="7" t="s">
        <v>15</v>
      </c>
      <c r="C187" s="8">
        <v>299.0</v>
      </c>
      <c r="D187" s="8">
        <v>485.0</v>
      </c>
      <c r="E187" s="19">
        <v>0.38</v>
      </c>
      <c r="F187" s="10">
        <v>4.3</v>
      </c>
      <c r="G187" s="11">
        <v>10911.0</v>
      </c>
      <c r="K187" s="23">
        <v>199.0</v>
      </c>
    </row>
    <row r="188">
      <c r="A188" s="7" t="s">
        <v>216</v>
      </c>
      <c r="B188" s="7" t="s">
        <v>15</v>
      </c>
      <c r="C188" s="8">
        <v>949.0</v>
      </c>
      <c r="D188" s="8">
        <v>1999.0</v>
      </c>
      <c r="E188" s="19">
        <v>0.53</v>
      </c>
      <c r="F188" s="10">
        <v>4.4</v>
      </c>
      <c r="G188" s="11">
        <v>13552.0</v>
      </c>
      <c r="K188" s="23">
        <v>199.0</v>
      </c>
    </row>
    <row r="189">
      <c r="A189" s="7" t="s">
        <v>217</v>
      </c>
      <c r="B189" s="7" t="s">
        <v>15</v>
      </c>
      <c r="C189" s="8">
        <v>379.0</v>
      </c>
      <c r="D189" s="8">
        <v>1099.0</v>
      </c>
      <c r="E189" s="19">
        <v>0.66</v>
      </c>
      <c r="F189" s="10">
        <v>4.3</v>
      </c>
      <c r="G189" s="11">
        <v>2806.0</v>
      </c>
      <c r="K189" s="23">
        <v>199.0</v>
      </c>
    </row>
    <row r="190">
      <c r="A190" s="7" t="s">
        <v>218</v>
      </c>
      <c r="B190" s="7" t="s">
        <v>37</v>
      </c>
      <c r="C190" s="8">
        <v>8990.0</v>
      </c>
      <c r="D190" s="8">
        <v>18990.0</v>
      </c>
      <c r="E190" s="19">
        <v>0.53</v>
      </c>
      <c r="F190" s="10">
        <v>3.9</v>
      </c>
      <c r="G190" s="10">
        <v>350.0</v>
      </c>
      <c r="K190" s="23">
        <v>199.0</v>
      </c>
    </row>
    <row r="191">
      <c r="A191" s="7" t="s">
        <v>219</v>
      </c>
      <c r="B191" s="7" t="s">
        <v>177</v>
      </c>
      <c r="C191" s="8">
        <v>486.0</v>
      </c>
      <c r="D191" s="8">
        <v>1999.0</v>
      </c>
      <c r="E191" s="19">
        <v>0.76</v>
      </c>
      <c r="F191" s="10">
        <v>4.2</v>
      </c>
      <c r="G191" s="11">
        <v>30023.0</v>
      </c>
      <c r="K191" s="23">
        <v>199.0</v>
      </c>
    </row>
    <row r="192">
      <c r="A192" s="7" t="s">
        <v>220</v>
      </c>
      <c r="B192" s="7" t="s">
        <v>77</v>
      </c>
      <c r="C192" s="8">
        <v>5699.0</v>
      </c>
      <c r="D192" s="8">
        <v>11000.0</v>
      </c>
      <c r="E192" s="19">
        <v>0.48</v>
      </c>
      <c r="F192" s="10">
        <v>4.2</v>
      </c>
      <c r="G192" s="11">
        <v>4003.0</v>
      </c>
      <c r="K192" s="23">
        <v>199.0</v>
      </c>
    </row>
    <row r="193">
      <c r="A193" s="7" t="s">
        <v>221</v>
      </c>
      <c r="B193" s="7" t="s">
        <v>15</v>
      </c>
      <c r="C193" s="8">
        <v>709.0</v>
      </c>
      <c r="D193" s="8">
        <v>1999.0</v>
      </c>
      <c r="E193" s="19">
        <v>0.65</v>
      </c>
      <c r="F193" s="10">
        <v>4.1</v>
      </c>
      <c r="G193" s="7" t="s">
        <v>222</v>
      </c>
      <c r="K193" s="23">
        <v>199.0</v>
      </c>
    </row>
    <row r="194">
      <c r="A194" s="7" t="s">
        <v>223</v>
      </c>
      <c r="B194" s="7" t="s">
        <v>37</v>
      </c>
      <c r="C194" s="8">
        <v>47990.0</v>
      </c>
      <c r="D194" s="8">
        <v>70900.0</v>
      </c>
      <c r="E194" s="19">
        <v>0.32</v>
      </c>
      <c r="F194" s="10">
        <v>4.3</v>
      </c>
      <c r="G194" s="11">
        <v>7109.0</v>
      </c>
      <c r="K194" s="23">
        <v>199.0</v>
      </c>
    </row>
    <row r="195">
      <c r="A195" s="7" t="s">
        <v>224</v>
      </c>
      <c r="B195" s="7" t="s">
        <v>71</v>
      </c>
      <c r="C195" s="8">
        <v>299.0</v>
      </c>
      <c r="D195" s="8">
        <v>1199.0</v>
      </c>
      <c r="E195" s="19">
        <v>0.75</v>
      </c>
      <c r="F195" s="10">
        <v>3.7</v>
      </c>
      <c r="G195" s="10">
        <v>490.0</v>
      </c>
      <c r="K195" s="23">
        <v>199.0</v>
      </c>
    </row>
    <row r="196">
      <c r="A196" s="7" t="s">
        <v>225</v>
      </c>
      <c r="B196" s="7" t="s">
        <v>15</v>
      </c>
      <c r="C196" s="8">
        <v>320.0</v>
      </c>
      <c r="D196" s="8">
        <v>599.0</v>
      </c>
      <c r="E196" s="19">
        <v>0.47</v>
      </c>
      <c r="F196" s="10">
        <v>4.1</v>
      </c>
      <c r="G196" s="10">
        <v>491.0</v>
      </c>
      <c r="K196" s="23">
        <v>199.0</v>
      </c>
    </row>
    <row r="197">
      <c r="A197" s="7" t="s">
        <v>226</v>
      </c>
      <c r="B197" s="7" t="s">
        <v>15</v>
      </c>
      <c r="C197" s="8">
        <v>139.0</v>
      </c>
      <c r="D197" s="8">
        <v>549.0</v>
      </c>
      <c r="E197" s="19">
        <v>0.75</v>
      </c>
      <c r="F197" s="10">
        <v>3.9</v>
      </c>
      <c r="G197" s="10">
        <v>61.0</v>
      </c>
      <c r="K197" s="23">
        <v>199.0</v>
      </c>
    </row>
    <row r="198">
      <c r="A198" s="7" t="s">
        <v>227</v>
      </c>
      <c r="B198" s="7" t="s">
        <v>15</v>
      </c>
      <c r="C198" s="8">
        <v>129.0</v>
      </c>
      <c r="D198" s="8">
        <v>249.0</v>
      </c>
      <c r="E198" s="19">
        <v>0.48</v>
      </c>
      <c r="F198" s="10">
        <v>4.0</v>
      </c>
      <c r="G198" s="11">
        <v>9378.0</v>
      </c>
      <c r="K198" s="23">
        <v>199.0</v>
      </c>
    </row>
    <row r="199">
      <c r="A199" s="7" t="s">
        <v>228</v>
      </c>
      <c r="B199" s="7" t="s">
        <v>37</v>
      </c>
      <c r="C199" s="8">
        <v>24999.0</v>
      </c>
      <c r="D199" s="8">
        <v>35999.0</v>
      </c>
      <c r="E199" s="19">
        <v>0.31</v>
      </c>
      <c r="F199" s="10">
        <v>4.2</v>
      </c>
      <c r="G199" s="11">
        <v>32840.0</v>
      </c>
      <c r="K199" s="23">
        <v>199.0</v>
      </c>
    </row>
    <row r="200">
      <c r="A200" s="7" t="s">
        <v>229</v>
      </c>
      <c r="B200" s="7" t="s">
        <v>15</v>
      </c>
      <c r="C200" s="8">
        <v>999.0</v>
      </c>
      <c r="D200" s="8">
        <v>1699.0</v>
      </c>
      <c r="E200" s="19">
        <v>0.41</v>
      </c>
      <c r="F200" s="10">
        <v>4.4</v>
      </c>
      <c r="G200" s="11">
        <v>7318.0</v>
      </c>
      <c r="K200" s="23">
        <v>199.0</v>
      </c>
    </row>
    <row r="201">
      <c r="A201" s="7" t="s">
        <v>230</v>
      </c>
      <c r="B201" s="7" t="s">
        <v>15</v>
      </c>
      <c r="C201" s="8">
        <v>225.0</v>
      </c>
      <c r="D201" s="8">
        <v>499.0</v>
      </c>
      <c r="E201" s="19">
        <v>0.55</v>
      </c>
      <c r="F201" s="10">
        <v>4.1</v>
      </c>
      <c r="G201" s="10">
        <v>789.0</v>
      </c>
      <c r="K201" s="23">
        <v>200.0</v>
      </c>
    </row>
    <row r="202">
      <c r="A202" s="7" t="s">
        <v>231</v>
      </c>
      <c r="B202" s="7" t="s">
        <v>71</v>
      </c>
      <c r="C202" s="8">
        <v>547.0</v>
      </c>
      <c r="D202" s="8">
        <v>2999.0</v>
      </c>
      <c r="E202" s="19">
        <v>0.82</v>
      </c>
      <c r="F202" s="10">
        <v>4.3</v>
      </c>
      <c r="G202" s="10">
        <v>407.0</v>
      </c>
      <c r="K202" s="23">
        <v>204.0</v>
      </c>
    </row>
    <row r="203">
      <c r="A203" s="7" t="s">
        <v>232</v>
      </c>
      <c r="B203" s="7" t="s">
        <v>15</v>
      </c>
      <c r="C203" s="8">
        <v>259.0</v>
      </c>
      <c r="D203" s="8">
        <v>699.0</v>
      </c>
      <c r="E203" s="19">
        <v>0.63</v>
      </c>
      <c r="F203" s="10">
        <v>3.8</v>
      </c>
      <c r="G203" s="11">
        <v>2399.0</v>
      </c>
      <c r="K203" s="23">
        <v>205.0</v>
      </c>
    </row>
    <row r="204">
      <c r="A204" s="7" t="s">
        <v>233</v>
      </c>
      <c r="B204" s="7" t="s">
        <v>71</v>
      </c>
      <c r="C204" s="8">
        <v>239.0</v>
      </c>
      <c r="D204" s="8">
        <v>699.0</v>
      </c>
      <c r="E204" s="19">
        <v>0.66</v>
      </c>
      <c r="F204" s="10">
        <v>4.4</v>
      </c>
      <c r="G204" s="11">
        <v>2640.0</v>
      </c>
      <c r="K204" s="23">
        <v>209.0</v>
      </c>
    </row>
    <row r="205">
      <c r="A205" s="7" t="s">
        <v>234</v>
      </c>
      <c r="B205" s="7" t="s">
        <v>71</v>
      </c>
      <c r="C205" s="8">
        <v>349.0</v>
      </c>
      <c r="D205" s="8">
        <v>999.0</v>
      </c>
      <c r="E205" s="19">
        <v>0.65</v>
      </c>
      <c r="F205" s="10">
        <v>4.0</v>
      </c>
      <c r="G205" s="10">
        <v>839.0</v>
      </c>
      <c r="K205" s="23">
        <v>209.0</v>
      </c>
    </row>
    <row r="206">
      <c r="A206" s="7" t="s">
        <v>235</v>
      </c>
      <c r="B206" s="7" t="s">
        <v>31</v>
      </c>
      <c r="C206" s="8">
        <v>467.0</v>
      </c>
      <c r="D206" s="8">
        <v>599.0</v>
      </c>
      <c r="E206" s="19">
        <v>0.22</v>
      </c>
      <c r="F206" s="10">
        <v>4.4</v>
      </c>
      <c r="G206" s="11">
        <v>44054.0</v>
      </c>
      <c r="K206" s="23">
        <v>209.0</v>
      </c>
    </row>
    <row r="207">
      <c r="A207" s="7" t="s">
        <v>236</v>
      </c>
      <c r="B207" s="7" t="s">
        <v>15</v>
      </c>
      <c r="C207" s="8">
        <v>449.0</v>
      </c>
      <c r="D207" s="8">
        <v>599.0</v>
      </c>
      <c r="E207" s="19">
        <v>0.25</v>
      </c>
      <c r="F207" s="10">
        <v>4.0</v>
      </c>
      <c r="G207" s="11">
        <v>3231.0</v>
      </c>
      <c r="K207" s="23">
        <v>209.0</v>
      </c>
    </row>
    <row r="208">
      <c r="A208" s="7" t="s">
        <v>237</v>
      </c>
      <c r="B208" s="7" t="s">
        <v>37</v>
      </c>
      <c r="C208" s="8">
        <v>11990.0</v>
      </c>
      <c r="D208" s="8">
        <v>31990.0</v>
      </c>
      <c r="E208" s="19">
        <v>0.63</v>
      </c>
      <c r="F208" s="10">
        <v>4.2</v>
      </c>
      <c r="G208" s="10">
        <v>64.0</v>
      </c>
      <c r="K208" s="23">
        <v>209.0</v>
      </c>
    </row>
    <row r="209">
      <c r="A209" s="7" t="s">
        <v>238</v>
      </c>
      <c r="B209" s="7" t="s">
        <v>15</v>
      </c>
      <c r="C209" s="8">
        <v>350.0</v>
      </c>
      <c r="D209" s="8">
        <v>599.0</v>
      </c>
      <c r="E209" s="19">
        <v>0.42</v>
      </c>
      <c r="F209" s="10">
        <v>3.9</v>
      </c>
      <c r="G209" s="11">
        <v>8314.0</v>
      </c>
      <c r="K209" s="23">
        <v>209.0</v>
      </c>
    </row>
    <row r="210">
      <c r="A210" s="7" t="s">
        <v>239</v>
      </c>
      <c r="B210" s="7" t="s">
        <v>15</v>
      </c>
      <c r="C210" s="8">
        <v>252.0</v>
      </c>
      <c r="D210" s="8">
        <v>999.0</v>
      </c>
      <c r="E210" s="19">
        <v>0.75</v>
      </c>
      <c r="F210" s="10">
        <v>3.7</v>
      </c>
      <c r="G210" s="11">
        <v>2249.0</v>
      </c>
      <c r="K210" s="23">
        <v>209.0</v>
      </c>
    </row>
    <row r="211">
      <c r="A211" s="7" t="s">
        <v>240</v>
      </c>
      <c r="B211" s="7" t="s">
        <v>71</v>
      </c>
      <c r="C211" s="8">
        <v>204.0</v>
      </c>
      <c r="D211" s="8">
        <v>599.0</v>
      </c>
      <c r="E211" s="19">
        <v>0.66</v>
      </c>
      <c r="F211" s="10">
        <v>3.6</v>
      </c>
      <c r="G211" s="10">
        <v>339.0</v>
      </c>
      <c r="K211" s="23">
        <v>210.0</v>
      </c>
    </row>
    <row r="212">
      <c r="A212" s="7" t="s">
        <v>241</v>
      </c>
      <c r="B212" s="7" t="s">
        <v>187</v>
      </c>
      <c r="C212" s="8">
        <v>6490.0</v>
      </c>
      <c r="D212" s="8">
        <v>9990.0</v>
      </c>
      <c r="E212" s="19">
        <v>0.35</v>
      </c>
      <c r="F212" s="10">
        <v>4.0</v>
      </c>
      <c r="G212" s="10">
        <v>27.0</v>
      </c>
      <c r="K212" s="23">
        <v>210.0</v>
      </c>
    </row>
    <row r="213">
      <c r="A213" s="7" t="s">
        <v>242</v>
      </c>
      <c r="B213" s="7" t="s">
        <v>71</v>
      </c>
      <c r="C213" s="8">
        <v>235.0</v>
      </c>
      <c r="D213" s="8">
        <v>599.0</v>
      </c>
      <c r="E213" s="19">
        <v>0.61</v>
      </c>
      <c r="F213" s="10">
        <v>3.5</v>
      </c>
      <c r="G213" s="10">
        <v>197.0</v>
      </c>
      <c r="K213" s="23">
        <v>213.0</v>
      </c>
    </row>
    <row r="214">
      <c r="A214" s="7" t="s">
        <v>243</v>
      </c>
      <c r="B214" s="7" t="s">
        <v>15</v>
      </c>
      <c r="C214" s="8">
        <v>299.0</v>
      </c>
      <c r="D214" s="8">
        <v>800.0</v>
      </c>
      <c r="E214" s="19">
        <v>0.63</v>
      </c>
      <c r="F214" s="10">
        <v>4.5</v>
      </c>
      <c r="G214" s="11">
        <v>74977.0</v>
      </c>
      <c r="K214" s="23">
        <v>215.0</v>
      </c>
    </row>
    <row r="215">
      <c r="A215" s="7" t="s">
        <v>244</v>
      </c>
      <c r="B215" s="7" t="s">
        <v>15</v>
      </c>
      <c r="C215" s="8">
        <v>799.0</v>
      </c>
      <c r="D215" s="8">
        <v>1999.0</v>
      </c>
      <c r="E215" s="19">
        <v>0.6</v>
      </c>
      <c r="F215" s="10">
        <v>4.2</v>
      </c>
      <c r="G215" s="11">
        <v>8583.0</v>
      </c>
      <c r="K215" s="23">
        <v>215.0</v>
      </c>
    </row>
    <row r="216">
      <c r="A216" s="7" t="s">
        <v>245</v>
      </c>
      <c r="B216" s="7" t="s">
        <v>71</v>
      </c>
      <c r="C216" s="8">
        <v>299.0</v>
      </c>
      <c r="D216" s="8">
        <v>999.0</v>
      </c>
      <c r="E216" s="19">
        <v>0.7</v>
      </c>
      <c r="F216" s="10">
        <v>3.8</v>
      </c>
      <c r="G216" s="10">
        <v>928.0</v>
      </c>
      <c r="K216" s="23">
        <v>217.0</v>
      </c>
    </row>
    <row r="217">
      <c r="A217" s="7" t="s">
        <v>246</v>
      </c>
      <c r="B217" s="7" t="s">
        <v>77</v>
      </c>
      <c r="C217" s="8">
        <v>6999.0</v>
      </c>
      <c r="D217" s="8">
        <v>16990.0</v>
      </c>
      <c r="E217" s="19">
        <v>0.59</v>
      </c>
      <c r="F217" s="10">
        <v>3.8</v>
      </c>
      <c r="G217" s="10">
        <v>110.0</v>
      </c>
      <c r="K217" s="23">
        <v>218.0</v>
      </c>
    </row>
    <row r="218">
      <c r="A218" s="7" t="s">
        <v>247</v>
      </c>
      <c r="B218" s="7" t="s">
        <v>37</v>
      </c>
      <c r="C218" s="8">
        <v>42999.0</v>
      </c>
      <c r="D218" s="8">
        <v>59999.0</v>
      </c>
      <c r="E218" s="19">
        <v>0.28</v>
      </c>
      <c r="F218" s="10">
        <v>4.1</v>
      </c>
      <c r="G218" s="11">
        <v>6753.0</v>
      </c>
      <c r="K218" s="23">
        <v>219.0</v>
      </c>
    </row>
    <row r="219">
      <c r="A219" s="7" t="s">
        <v>248</v>
      </c>
      <c r="B219" s="7" t="s">
        <v>31</v>
      </c>
      <c r="C219" s="8">
        <v>173.0</v>
      </c>
      <c r="D219" s="8">
        <v>999.0</v>
      </c>
      <c r="E219" s="19">
        <v>0.83</v>
      </c>
      <c r="F219" s="10">
        <v>4.3</v>
      </c>
      <c r="G219" s="11">
        <v>1237.0</v>
      </c>
      <c r="K219" s="23">
        <v>219.0</v>
      </c>
    </row>
    <row r="220">
      <c r="A220" s="7" t="s">
        <v>249</v>
      </c>
      <c r="B220" s="7" t="s">
        <v>250</v>
      </c>
      <c r="C220" s="8">
        <v>209.0</v>
      </c>
      <c r="D220" s="8">
        <v>600.0</v>
      </c>
      <c r="E220" s="19">
        <v>0.65</v>
      </c>
      <c r="F220" s="10">
        <v>4.4</v>
      </c>
      <c r="G220" s="11">
        <v>18872.0</v>
      </c>
      <c r="K220" s="23">
        <v>219.0</v>
      </c>
    </row>
    <row r="221">
      <c r="A221" s="7" t="s">
        <v>251</v>
      </c>
      <c r="B221" s="7" t="s">
        <v>15</v>
      </c>
      <c r="C221" s="8">
        <v>848.99</v>
      </c>
      <c r="D221" s="8">
        <v>1490.0</v>
      </c>
      <c r="E221" s="19">
        <v>0.43</v>
      </c>
      <c r="F221" s="10">
        <v>3.9</v>
      </c>
      <c r="G221" s="10">
        <v>356.0</v>
      </c>
      <c r="K221" s="23">
        <v>219.0</v>
      </c>
    </row>
    <row r="222">
      <c r="A222" s="7" t="s">
        <v>252</v>
      </c>
      <c r="B222" s="7" t="s">
        <v>15</v>
      </c>
      <c r="C222" s="8">
        <v>649.0</v>
      </c>
      <c r="D222" s="8">
        <v>1999.0</v>
      </c>
      <c r="E222" s="19">
        <v>0.68</v>
      </c>
      <c r="F222" s="10">
        <v>4.2</v>
      </c>
      <c r="G222" s="11">
        <v>24269.0</v>
      </c>
      <c r="K222" s="23">
        <v>219.0</v>
      </c>
    </row>
    <row r="223">
      <c r="A223" s="7" t="s">
        <v>253</v>
      </c>
      <c r="B223" s="7" t="s">
        <v>71</v>
      </c>
      <c r="C223" s="8">
        <v>299.0</v>
      </c>
      <c r="D223" s="8">
        <v>899.0</v>
      </c>
      <c r="E223" s="19">
        <v>0.67</v>
      </c>
      <c r="F223" s="10">
        <v>3.8</v>
      </c>
      <c r="G223" s="10">
        <v>425.0</v>
      </c>
      <c r="K223" s="23">
        <v>219.0</v>
      </c>
    </row>
    <row r="224">
      <c r="A224" s="7" t="s">
        <v>254</v>
      </c>
      <c r="B224" s="7" t="s">
        <v>93</v>
      </c>
      <c r="C224" s="8">
        <v>399.0</v>
      </c>
      <c r="D224" s="8">
        <v>799.0</v>
      </c>
      <c r="E224" s="19">
        <v>0.5</v>
      </c>
      <c r="F224" s="10">
        <v>4.1</v>
      </c>
      <c r="G224" s="11">
        <v>1161.0</v>
      </c>
      <c r="K224" s="23">
        <v>219.0</v>
      </c>
    </row>
    <row r="225">
      <c r="A225" s="7" t="s">
        <v>255</v>
      </c>
      <c r="B225" s="7" t="s">
        <v>15</v>
      </c>
      <c r="C225" s="8">
        <v>249.0</v>
      </c>
      <c r="D225" s="8">
        <v>499.0</v>
      </c>
      <c r="E225" s="19">
        <v>0.5</v>
      </c>
      <c r="F225" s="10">
        <v>4.1</v>
      </c>
      <c r="G225" s="11">
        <v>1508.0</v>
      </c>
      <c r="K225" s="23">
        <v>225.0</v>
      </c>
    </row>
    <row r="226">
      <c r="A226" s="7" t="s">
        <v>256</v>
      </c>
      <c r="B226" s="7" t="s">
        <v>257</v>
      </c>
      <c r="C226" s="8">
        <v>1249.0</v>
      </c>
      <c r="D226" s="8">
        <v>2299.0</v>
      </c>
      <c r="E226" s="19">
        <v>0.46</v>
      </c>
      <c r="F226" s="10">
        <v>4.3</v>
      </c>
      <c r="G226" s="11">
        <v>7636.0</v>
      </c>
      <c r="K226" s="23">
        <v>225.0</v>
      </c>
    </row>
    <row r="227">
      <c r="A227" s="7" t="s">
        <v>258</v>
      </c>
      <c r="B227" s="7" t="s">
        <v>71</v>
      </c>
      <c r="C227" s="8">
        <v>213.0</v>
      </c>
      <c r="D227" s="8">
        <v>499.0</v>
      </c>
      <c r="E227" s="19">
        <v>0.57</v>
      </c>
      <c r="F227" s="10">
        <v>3.7</v>
      </c>
      <c r="G227" s="10">
        <v>246.0</v>
      </c>
      <c r="K227" s="23">
        <v>225.0</v>
      </c>
    </row>
    <row r="228">
      <c r="A228" s="7" t="s">
        <v>259</v>
      </c>
      <c r="B228" s="7" t="s">
        <v>71</v>
      </c>
      <c r="C228" s="8">
        <v>209.0</v>
      </c>
      <c r="D228" s="8">
        <v>499.0</v>
      </c>
      <c r="E228" s="19">
        <v>0.58</v>
      </c>
      <c r="F228" s="10">
        <v>4.0</v>
      </c>
      <c r="G228" s="10">
        <v>479.0</v>
      </c>
      <c r="K228" s="23">
        <v>228.0</v>
      </c>
    </row>
    <row r="229">
      <c r="A229" s="7" t="s">
        <v>260</v>
      </c>
      <c r="B229" s="7" t="s">
        <v>31</v>
      </c>
      <c r="C229" s="8">
        <v>598.0</v>
      </c>
      <c r="D229" s="8">
        <v>4999.0</v>
      </c>
      <c r="E229" s="19">
        <v>0.88</v>
      </c>
      <c r="F229" s="10">
        <v>4.2</v>
      </c>
      <c r="G229" s="10">
        <v>910.0</v>
      </c>
      <c r="K229" s="23">
        <v>229.0</v>
      </c>
    </row>
    <row r="230">
      <c r="A230" s="7" t="s">
        <v>261</v>
      </c>
      <c r="B230" s="7" t="s">
        <v>15</v>
      </c>
      <c r="C230" s="8">
        <v>799.0</v>
      </c>
      <c r="D230" s="8">
        <v>1749.0</v>
      </c>
      <c r="E230" s="19">
        <v>0.54</v>
      </c>
      <c r="F230" s="10">
        <v>4.1</v>
      </c>
      <c r="G230" s="11">
        <v>5626.0</v>
      </c>
      <c r="K230" s="23">
        <v>229.0</v>
      </c>
    </row>
    <row r="231">
      <c r="A231" s="7" t="s">
        <v>262</v>
      </c>
      <c r="B231" s="7" t="s">
        <v>15</v>
      </c>
      <c r="C231" s="8">
        <v>159.0</v>
      </c>
      <c r="D231" s="8">
        <v>595.0</v>
      </c>
      <c r="E231" s="19">
        <v>0.73</v>
      </c>
      <c r="F231" s="10">
        <v>4.3</v>
      </c>
      <c r="G231" s="11">
        <v>14184.0</v>
      </c>
      <c r="K231" s="23">
        <v>229.0</v>
      </c>
    </row>
    <row r="232">
      <c r="A232" s="7" t="s">
        <v>263</v>
      </c>
      <c r="B232" s="7" t="s">
        <v>264</v>
      </c>
      <c r="C232" s="8">
        <v>499.0</v>
      </c>
      <c r="D232" s="8">
        <v>1100.0</v>
      </c>
      <c r="E232" s="19">
        <v>0.55</v>
      </c>
      <c r="F232" s="10">
        <v>4.4</v>
      </c>
      <c r="G232" s="11">
        <v>25177.0</v>
      </c>
      <c r="K232" s="23">
        <v>229.0</v>
      </c>
    </row>
    <row r="233">
      <c r="A233" s="7" t="s">
        <v>265</v>
      </c>
      <c r="B233" s="7" t="s">
        <v>37</v>
      </c>
      <c r="C233" s="8">
        <v>31999.0</v>
      </c>
      <c r="D233" s="8">
        <v>49999.0</v>
      </c>
      <c r="E233" s="19">
        <v>0.36</v>
      </c>
      <c r="F233" s="10">
        <v>4.3</v>
      </c>
      <c r="G233" s="11">
        <v>21252.0</v>
      </c>
      <c r="K233" s="23">
        <v>229.0</v>
      </c>
    </row>
    <row r="234">
      <c r="A234" s="7" t="s">
        <v>266</v>
      </c>
      <c r="B234" s="7" t="s">
        <v>37</v>
      </c>
      <c r="C234" s="8">
        <v>32990.0</v>
      </c>
      <c r="D234" s="8">
        <v>56790.0</v>
      </c>
      <c r="E234" s="19">
        <v>0.42</v>
      </c>
      <c r="F234" s="10">
        <v>4.3</v>
      </c>
      <c r="G234" s="10">
        <v>567.0</v>
      </c>
      <c r="K234" s="23">
        <v>229.0</v>
      </c>
    </row>
    <row r="235">
      <c r="A235" s="7" t="s">
        <v>267</v>
      </c>
      <c r="B235" s="7" t="s">
        <v>71</v>
      </c>
      <c r="C235" s="8">
        <v>299.0</v>
      </c>
      <c r="D235" s="8">
        <v>1199.0</v>
      </c>
      <c r="E235" s="19">
        <v>0.75</v>
      </c>
      <c r="F235" s="10">
        <v>3.5</v>
      </c>
      <c r="G235" s="10">
        <v>466.0</v>
      </c>
      <c r="K235" s="23">
        <v>230.0</v>
      </c>
    </row>
    <row r="236">
      <c r="A236" s="7" t="s">
        <v>268</v>
      </c>
      <c r="B236" s="7" t="s">
        <v>15</v>
      </c>
      <c r="C236" s="8">
        <v>128.31</v>
      </c>
      <c r="D236" s="8">
        <v>549.0</v>
      </c>
      <c r="E236" s="19">
        <v>0.77</v>
      </c>
      <c r="F236" s="10">
        <v>3.9</v>
      </c>
      <c r="G236" s="10">
        <v>61.0</v>
      </c>
      <c r="K236" s="23">
        <v>230.0</v>
      </c>
    </row>
    <row r="237">
      <c r="A237" s="7" t="s">
        <v>269</v>
      </c>
      <c r="B237" s="7" t="s">
        <v>15</v>
      </c>
      <c r="C237" s="8">
        <v>599.0</v>
      </c>
      <c r="D237" s="8">
        <v>849.0</v>
      </c>
      <c r="E237" s="19">
        <v>0.29</v>
      </c>
      <c r="F237" s="10">
        <v>4.5</v>
      </c>
      <c r="G237" s="10">
        <v>474.0</v>
      </c>
      <c r="K237" s="23">
        <v>230.0</v>
      </c>
    </row>
    <row r="238">
      <c r="A238" s="7" t="s">
        <v>270</v>
      </c>
      <c r="B238" s="7" t="s">
        <v>71</v>
      </c>
      <c r="C238" s="8">
        <v>399.0</v>
      </c>
      <c r="D238" s="8">
        <v>899.0</v>
      </c>
      <c r="E238" s="19">
        <v>0.56</v>
      </c>
      <c r="F238" s="10">
        <v>3.4</v>
      </c>
      <c r="G238" s="10">
        <v>431.0</v>
      </c>
      <c r="K238" s="23">
        <v>231.0</v>
      </c>
    </row>
    <row r="239">
      <c r="A239" s="7" t="s">
        <v>271</v>
      </c>
      <c r="B239" s="7" t="s">
        <v>15</v>
      </c>
      <c r="C239" s="8">
        <v>449.0</v>
      </c>
      <c r="D239" s="8">
        <v>1099.0</v>
      </c>
      <c r="E239" s="19">
        <v>0.59</v>
      </c>
      <c r="F239" s="10">
        <v>4.0</v>
      </c>
      <c r="G239" s="10">
        <v>242.0</v>
      </c>
      <c r="K239" s="23">
        <v>235.0</v>
      </c>
    </row>
    <row r="240">
      <c r="A240" s="7" t="s">
        <v>272</v>
      </c>
      <c r="B240" s="7" t="s">
        <v>15</v>
      </c>
      <c r="C240" s="8">
        <v>254.0</v>
      </c>
      <c r="D240" s="8">
        <v>799.0</v>
      </c>
      <c r="E240" s="19">
        <v>0.68</v>
      </c>
      <c r="F240" s="10">
        <v>4.0</v>
      </c>
      <c r="G240" s="11">
        <v>2905.0</v>
      </c>
      <c r="K240" s="23">
        <v>235.0</v>
      </c>
    </row>
    <row r="241">
      <c r="A241" s="7" t="s">
        <v>273</v>
      </c>
      <c r="B241" s="7" t="s">
        <v>274</v>
      </c>
      <c r="C241" s="8">
        <v>399.0</v>
      </c>
      <c r="D241" s="8">
        <v>795.0</v>
      </c>
      <c r="E241" s="19">
        <v>0.5</v>
      </c>
      <c r="F241" s="10">
        <v>4.4</v>
      </c>
      <c r="G241" s="11">
        <v>12091.0</v>
      </c>
      <c r="K241" s="23">
        <v>238.0</v>
      </c>
    </row>
    <row r="242">
      <c r="A242" s="7" t="s">
        <v>275</v>
      </c>
      <c r="B242" s="7" t="s">
        <v>15</v>
      </c>
      <c r="C242" s="8">
        <v>179.0</v>
      </c>
      <c r="D242" s="8">
        <v>399.0</v>
      </c>
      <c r="E242" s="19">
        <v>0.55</v>
      </c>
      <c r="F242" s="10">
        <v>4.0</v>
      </c>
      <c r="G242" s="11">
        <v>1423.0</v>
      </c>
      <c r="K242" s="23">
        <v>239.0</v>
      </c>
    </row>
    <row r="243">
      <c r="A243" s="7" t="s">
        <v>276</v>
      </c>
      <c r="B243" s="7" t="s">
        <v>15</v>
      </c>
      <c r="C243" s="8">
        <v>339.0</v>
      </c>
      <c r="D243" s="8">
        <v>999.0</v>
      </c>
      <c r="E243" s="19">
        <v>0.66</v>
      </c>
      <c r="F243" s="10">
        <v>4.3</v>
      </c>
      <c r="G243" s="11">
        <v>6255.0</v>
      </c>
      <c r="K243" s="23">
        <v>239.0</v>
      </c>
    </row>
    <row r="244">
      <c r="A244" s="7" t="s">
        <v>277</v>
      </c>
      <c r="B244" s="7" t="s">
        <v>93</v>
      </c>
      <c r="C244" s="8">
        <v>399.0</v>
      </c>
      <c r="D244" s="8">
        <v>999.0</v>
      </c>
      <c r="E244" s="19">
        <v>0.6</v>
      </c>
      <c r="F244" s="10">
        <v>4.0</v>
      </c>
      <c r="G244" s="11">
        <v>1236.0</v>
      </c>
      <c r="K244" s="23">
        <v>239.0</v>
      </c>
    </row>
    <row r="245">
      <c r="A245" s="7" t="s">
        <v>278</v>
      </c>
      <c r="B245" s="7" t="s">
        <v>71</v>
      </c>
      <c r="C245" s="8">
        <v>199.0</v>
      </c>
      <c r="D245" s="8">
        <v>399.0</v>
      </c>
      <c r="E245" s="19">
        <v>0.5</v>
      </c>
      <c r="F245" s="10">
        <v>4.2</v>
      </c>
      <c r="G245" s="11">
        <v>1335.0</v>
      </c>
      <c r="K245" s="23">
        <v>244.0</v>
      </c>
    </row>
    <row r="246">
      <c r="A246" s="7" t="s">
        <v>279</v>
      </c>
      <c r="B246" s="7" t="s">
        <v>71</v>
      </c>
      <c r="C246" s="8">
        <v>349.0</v>
      </c>
      <c r="D246" s="8">
        <v>1999.0</v>
      </c>
      <c r="E246" s="19">
        <v>0.83</v>
      </c>
      <c r="F246" s="10">
        <v>3.8</v>
      </c>
      <c r="G246" s="10">
        <v>197.0</v>
      </c>
      <c r="K246" s="23">
        <v>245.0</v>
      </c>
    </row>
    <row r="247">
      <c r="A247" s="7" t="s">
        <v>280</v>
      </c>
      <c r="B247" s="7" t="s">
        <v>15</v>
      </c>
      <c r="C247" s="8">
        <v>299.0</v>
      </c>
      <c r="D247" s="8">
        <v>798.0</v>
      </c>
      <c r="E247" s="19">
        <v>0.63</v>
      </c>
      <c r="F247" s="10">
        <v>4.4</v>
      </c>
      <c r="G247" s="11">
        <v>28791.0</v>
      </c>
      <c r="K247" s="23">
        <v>246.0</v>
      </c>
    </row>
    <row r="248">
      <c r="A248" s="7" t="s">
        <v>281</v>
      </c>
      <c r="B248" s="7" t="s">
        <v>15</v>
      </c>
      <c r="C248" s="8">
        <v>89.0</v>
      </c>
      <c r="D248" s="8">
        <v>800.0</v>
      </c>
      <c r="E248" s="19">
        <v>0.89</v>
      </c>
      <c r="F248" s="10">
        <v>3.9</v>
      </c>
      <c r="G248" s="11">
        <v>1075.0</v>
      </c>
      <c r="K248" s="23">
        <v>247.0</v>
      </c>
    </row>
    <row r="249">
      <c r="A249" s="7" t="s">
        <v>282</v>
      </c>
      <c r="B249" s="7" t="s">
        <v>15</v>
      </c>
      <c r="C249" s="8">
        <v>549.0</v>
      </c>
      <c r="D249" s="8">
        <v>995.0</v>
      </c>
      <c r="E249" s="19">
        <v>0.45</v>
      </c>
      <c r="F249" s="10">
        <v>4.2</v>
      </c>
      <c r="G249" s="11">
        <v>29746.0</v>
      </c>
      <c r="K249" s="23">
        <v>249.0</v>
      </c>
    </row>
    <row r="250">
      <c r="A250" s="7" t="s">
        <v>283</v>
      </c>
      <c r="B250" s="7" t="s">
        <v>15</v>
      </c>
      <c r="C250" s="8">
        <v>129.0</v>
      </c>
      <c r="D250" s="8">
        <v>1000.0</v>
      </c>
      <c r="E250" s="19">
        <v>0.87</v>
      </c>
      <c r="F250" s="10">
        <v>3.9</v>
      </c>
      <c r="G250" s="10">
        <v>295.0</v>
      </c>
      <c r="K250" s="23">
        <v>249.0</v>
      </c>
    </row>
    <row r="251">
      <c r="A251" s="7" t="s">
        <v>284</v>
      </c>
      <c r="B251" s="7" t="s">
        <v>37</v>
      </c>
      <c r="C251" s="8">
        <v>77990.0</v>
      </c>
      <c r="D251" s="8" t="s">
        <v>285</v>
      </c>
      <c r="E251" s="19">
        <v>0.44</v>
      </c>
      <c r="F251" s="10">
        <v>4.7</v>
      </c>
      <c r="G251" s="11">
        <v>5935.0</v>
      </c>
      <c r="K251" s="23">
        <v>249.0</v>
      </c>
    </row>
    <row r="252">
      <c r="A252" s="7" t="s">
        <v>286</v>
      </c>
      <c r="B252" s="7" t="s">
        <v>71</v>
      </c>
      <c r="C252" s="8">
        <v>349.0</v>
      </c>
      <c r="D252" s="8">
        <v>799.0</v>
      </c>
      <c r="E252" s="19">
        <v>0.56</v>
      </c>
      <c r="F252" s="10">
        <v>3.6</v>
      </c>
      <c r="G252" s="10">
        <v>323.0</v>
      </c>
      <c r="K252" s="23">
        <v>249.0</v>
      </c>
    </row>
    <row r="253">
      <c r="A253" s="7" t="s">
        <v>287</v>
      </c>
      <c r="B253" s="7" t="s">
        <v>71</v>
      </c>
      <c r="C253" s="8">
        <v>499.0</v>
      </c>
      <c r="D253" s="8">
        <v>899.0</v>
      </c>
      <c r="E253" s="19">
        <v>0.44</v>
      </c>
      <c r="F253" s="10">
        <v>3.7</v>
      </c>
      <c r="G253" s="10">
        <v>185.0</v>
      </c>
      <c r="K253" s="23">
        <v>249.0</v>
      </c>
    </row>
    <row r="254">
      <c r="A254" s="7" t="s">
        <v>288</v>
      </c>
      <c r="B254" s="7" t="s">
        <v>15</v>
      </c>
      <c r="C254" s="8">
        <v>299.0</v>
      </c>
      <c r="D254" s="8">
        <v>799.0</v>
      </c>
      <c r="E254" s="19">
        <v>0.63</v>
      </c>
      <c r="F254" s="10">
        <v>4.2</v>
      </c>
      <c r="G254" s="11">
        <v>2117.0</v>
      </c>
      <c r="K254" s="23">
        <v>249.0</v>
      </c>
    </row>
    <row r="255">
      <c r="A255" s="7" t="s">
        <v>289</v>
      </c>
      <c r="B255" s="7" t="s">
        <v>15</v>
      </c>
      <c r="C255" s="8">
        <v>182.0</v>
      </c>
      <c r="D255" s="8">
        <v>599.0</v>
      </c>
      <c r="E255" s="19">
        <v>0.7</v>
      </c>
      <c r="F255" s="10">
        <v>4.0</v>
      </c>
      <c r="G255" s="11">
        <v>9378.0</v>
      </c>
      <c r="K255" s="23">
        <v>249.0</v>
      </c>
    </row>
    <row r="256">
      <c r="A256" s="7" t="s">
        <v>290</v>
      </c>
      <c r="B256" s="7" t="s">
        <v>93</v>
      </c>
      <c r="C256" s="8">
        <v>96.0</v>
      </c>
      <c r="D256" s="8">
        <v>399.0</v>
      </c>
      <c r="E256" s="19">
        <v>0.76</v>
      </c>
      <c r="F256" s="10">
        <v>3.6</v>
      </c>
      <c r="G256" s="11">
        <v>1796.0</v>
      </c>
      <c r="K256" s="23">
        <v>249.0</v>
      </c>
    </row>
    <row r="257">
      <c r="A257" s="7" t="s">
        <v>291</v>
      </c>
      <c r="B257" s="7" t="s">
        <v>37</v>
      </c>
      <c r="C257" s="8">
        <v>54990.0</v>
      </c>
      <c r="D257" s="8">
        <v>85000.0</v>
      </c>
      <c r="E257" s="19">
        <v>0.35</v>
      </c>
      <c r="F257" s="10">
        <v>4.3</v>
      </c>
      <c r="G257" s="11">
        <v>3587.0</v>
      </c>
      <c r="K257" s="23">
        <v>249.0</v>
      </c>
    </row>
    <row r="258">
      <c r="A258" s="7" t="s">
        <v>292</v>
      </c>
      <c r="B258" s="7" t="s">
        <v>155</v>
      </c>
      <c r="C258" s="8">
        <v>439.0</v>
      </c>
      <c r="D258" s="8">
        <v>758.0</v>
      </c>
      <c r="E258" s="19">
        <v>0.42</v>
      </c>
      <c r="F258" s="10">
        <v>4.2</v>
      </c>
      <c r="G258" s="11">
        <v>4296.0</v>
      </c>
      <c r="K258" s="23">
        <v>249.0</v>
      </c>
    </row>
    <row r="259">
      <c r="A259" s="7" t="s">
        <v>293</v>
      </c>
      <c r="B259" s="7" t="s">
        <v>15</v>
      </c>
      <c r="C259" s="8">
        <v>299.0</v>
      </c>
      <c r="D259" s="8">
        <v>999.0</v>
      </c>
      <c r="E259" s="19">
        <v>0.7</v>
      </c>
      <c r="F259" s="10">
        <v>4.3</v>
      </c>
      <c r="G259" s="11">
        <v>2651.0</v>
      </c>
      <c r="K259" s="23">
        <v>249.0</v>
      </c>
    </row>
    <row r="260">
      <c r="A260" s="7" t="s">
        <v>294</v>
      </c>
      <c r="B260" s="7" t="s">
        <v>15</v>
      </c>
      <c r="C260" s="8">
        <v>299.0</v>
      </c>
      <c r="D260" s="8">
        <v>799.0</v>
      </c>
      <c r="E260" s="19">
        <v>0.63</v>
      </c>
      <c r="F260" s="10">
        <v>4.2</v>
      </c>
      <c r="G260" s="11">
        <v>94363.0</v>
      </c>
      <c r="K260" s="23">
        <v>249.0</v>
      </c>
    </row>
    <row r="261">
      <c r="A261" s="7" t="s">
        <v>295</v>
      </c>
      <c r="B261" s="7" t="s">
        <v>15</v>
      </c>
      <c r="C261" s="8">
        <v>789.0</v>
      </c>
      <c r="D261" s="8">
        <v>1999.0</v>
      </c>
      <c r="E261" s="19">
        <v>0.61</v>
      </c>
      <c r="F261" s="10">
        <v>4.2</v>
      </c>
      <c r="G261" s="11">
        <v>34540.0</v>
      </c>
      <c r="K261" s="23">
        <v>249.0</v>
      </c>
    </row>
    <row r="262">
      <c r="A262" s="7" t="s">
        <v>296</v>
      </c>
      <c r="B262" s="7" t="s">
        <v>31</v>
      </c>
      <c r="C262" s="8">
        <v>299.0</v>
      </c>
      <c r="D262" s="8">
        <v>700.0</v>
      </c>
      <c r="E262" s="19">
        <v>0.57</v>
      </c>
      <c r="F262" s="10">
        <v>4.4</v>
      </c>
      <c r="G262" s="11">
        <v>8714.0</v>
      </c>
      <c r="K262" s="23">
        <v>249.0</v>
      </c>
    </row>
    <row r="263">
      <c r="A263" s="7" t="s">
        <v>297</v>
      </c>
      <c r="B263" s="7" t="s">
        <v>15</v>
      </c>
      <c r="C263" s="8">
        <v>325.0</v>
      </c>
      <c r="D263" s="8">
        <v>1099.0</v>
      </c>
      <c r="E263" s="19">
        <v>0.7</v>
      </c>
      <c r="F263" s="10">
        <v>4.2</v>
      </c>
      <c r="G263" s="11">
        <v>10576.0</v>
      </c>
      <c r="K263" s="23">
        <v>249.0</v>
      </c>
    </row>
    <row r="264">
      <c r="A264" s="7" t="s">
        <v>298</v>
      </c>
      <c r="B264" s="7" t="s">
        <v>15</v>
      </c>
      <c r="C264" s="8">
        <v>1299.0</v>
      </c>
      <c r="D264" s="8">
        <v>1999.0</v>
      </c>
      <c r="E264" s="19">
        <v>0.35</v>
      </c>
      <c r="F264" s="10">
        <v>4.4</v>
      </c>
      <c r="G264" s="11">
        <v>7318.0</v>
      </c>
      <c r="K264" s="23">
        <v>249.0</v>
      </c>
    </row>
    <row r="265">
      <c r="A265" s="7" t="s">
        <v>299</v>
      </c>
      <c r="B265" s="7" t="s">
        <v>71</v>
      </c>
      <c r="C265" s="8">
        <v>790.0</v>
      </c>
      <c r="D265" s="8">
        <v>1999.0</v>
      </c>
      <c r="E265" s="19">
        <v>0.6</v>
      </c>
      <c r="F265" s="10">
        <v>3.0</v>
      </c>
      <c r="G265" s="10">
        <v>103.0</v>
      </c>
      <c r="K265" s="23">
        <v>249.0</v>
      </c>
    </row>
    <row r="266">
      <c r="A266" s="7" t="s">
        <v>300</v>
      </c>
      <c r="B266" s="7" t="s">
        <v>301</v>
      </c>
      <c r="C266" s="8">
        <v>4699.0</v>
      </c>
      <c r="D266" s="8">
        <v>4699.0</v>
      </c>
      <c r="E266" s="19">
        <v>0.0</v>
      </c>
      <c r="F266" s="10">
        <v>4.5</v>
      </c>
      <c r="G266" s="10">
        <v>224.0</v>
      </c>
      <c r="K266" s="23">
        <v>250.0</v>
      </c>
    </row>
    <row r="267">
      <c r="A267" s="7" t="s">
        <v>302</v>
      </c>
      <c r="B267" s="7" t="s">
        <v>37</v>
      </c>
      <c r="C267" s="8">
        <v>18999.0</v>
      </c>
      <c r="D267" s="8">
        <v>24990.0</v>
      </c>
      <c r="E267" s="19">
        <v>0.24</v>
      </c>
      <c r="F267" s="10">
        <v>4.3</v>
      </c>
      <c r="G267" s="11">
        <v>4702.0</v>
      </c>
      <c r="K267" s="23">
        <v>250.0</v>
      </c>
    </row>
    <row r="268">
      <c r="A268" s="7" t="s">
        <v>303</v>
      </c>
      <c r="B268" s="7" t="s">
        <v>15</v>
      </c>
      <c r="C268" s="8">
        <v>199.0</v>
      </c>
      <c r="D268" s="8">
        <v>999.0</v>
      </c>
      <c r="E268" s="19">
        <v>0.8</v>
      </c>
      <c r="F268" s="10">
        <v>4.2</v>
      </c>
      <c r="G268" s="10">
        <v>85.0</v>
      </c>
      <c r="K268" s="23">
        <v>251.0</v>
      </c>
    </row>
    <row r="269">
      <c r="A269" s="7" t="s">
        <v>304</v>
      </c>
      <c r="B269" s="7" t="s">
        <v>31</v>
      </c>
      <c r="C269" s="8">
        <v>269.0</v>
      </c>
      <c r="D269" s="8">
        <v>650.0</v>
      </c>
      <c r="E269" s="19">
        <v>0.59</v>
      </c>
      <c r="F269" s="10">
        <v>4.4</v>
      </c>
      <c r="G269" s="11">
        <v>35877.0</v>
      </c>
      <c r="K269" s="23">
        <v>252.0</v>
      </c>
    </row>
    <row r="270">
      <c r="A270" s="7" t="s">
        <v>305</v>
      </c>
      <c r="B270" s="7" t="s">
        <v>306</v>
      </c>
      <c r="C270" s="8">
        <v>1990.0</v>
      </c>
      <c r="D270" s="8">
        <v>3100.0</v>
      </c>
      <c r="E270" s="19">
        <v>0.36</v>
      </c>
      <c r="F270" s="10">
        <v>4.0</v>
      </c>
      <c r="G270" s="10">
        <v>897.0</v>
      </c>
      <c r="K270" s="23">
        <v>252.0</v>
      </c>
    </row>
    <row r="271">
      <c r="A271" s="7" t="s">
        <v>307</v>
      </c>
      <c r="B271" s="7" t="s">
        <v>308</v>
      </c>
      <c r="C271" s="8">
        <v>2299.0</v>
      </c>
      <c r="D271" s="8">
        <v>3999.0</v>
      </c>
      <c r="E271" s="19">
        <v>0.43</v>
      </c>
      <c r="F271" s="10">
        <v>3.8</v>
      </c>
      <c r="G271" s="10">
        <v>282.0</v>
      </c>
      <c r="K271" s="23">
        <v>253.0</v>
      </c>
    </row>
    <row r="272">
      <c r="A272" s="7" t="s">
        <v>309</v>
      </c>
      <c r="B272" s="7" t="s">
        <v>37</v>
      </c>
      <c r="C272" s="8">
        <v>35999.0</v>
      </c>
      <c r="D272" s="8">
        <v>49990.0</v>
      </c>
      <c r="E272" s="19">
        <v>0.28</v>
      </c>
      <c r="F272" s="10">
        <v>4.3</v>
      </c>
      <c r="G272" s="11">
        <v>1611.0</v>
      </c>
      <c r="K272" s="23">
        <v>254.0</v>
      </c>
    </row>
    <row r="273">
      <c r="A273" s="7" t="s">
        <v>310</v>
      </c>
      <c r="B273" s="7" t="s">
        <v>71</v>
      </c>
      <c r="C273" s="8">
        <v>349.0</v>
      </c>
      <c r="D273" s="8">
        <v>999.0</v>
      </c>
      <c r="E273" s="19">
        <v>0.65</v>
      </c>
      <c r="F273" s="10">
        <v>4.2</v>
      </c>
      <c r="G273" s="10">
        <v>513.0</v>
      </c>
      <c r="K273" s="23">
        <v>259.0</v>
      </c>
    </row>
    <row r="274">
      <c r="A274" s="7" t="s">
        <v>311</v>
      </c>
      <c r="B274" s="7" t="s">
        <v>15</v>
      </c>
      <c r="C274" s="8">
        <v>719.0</v>
      </c>
      <c r="D274" s="8">
        <v>1499.0</v>
      </c>
      <c r="E274" s="19">
        <v>0.52</v>
      </c>
      <c r="F274" s="10">
        <v>4.1</v>
      </c>
      <c r="G274" s="11">
        <v>1045.0</v>
      </c>
      <c r="K274" s="23">
        <v>259.0</v>
      </c>
    </row>
    <row r="275">
      <c r="A275" s="7" t="s">
        <v>312</v>
      </c>
      <c r="B275" s="7" t="s">
        <v>37</v>
      </c>
      <c r="C275" s="8">
        <v>8999.0</v>
      </c>
      <c r="D275" s="8">
        <v>18999.0</v>
      </c>
      <c r="E275" s="19">
        <v>0.53</v>
      </c>
      <c r="F275" s="10">
        <v>4.0</v>
      </c>
      <c r="G275" s="11">
        <v>6347.0</v>
      </c>
      <c r="K275" s="23">
        <v>260.0</v>
      </c>
    </row>
    <row r="276">
      <c r="A276" s="7" t="s">
        <v>313</v>
      </c>
      <c r="B276" s="7" t="s">
        <v>257</v>
      </c>
      <c r="C276" s="8">
        <v>917.0</v>
      </c>
      <c r="D276" s="8">
        <v>2299.0</v>
      </c>
      <c r="E276" s="19">
        <v>0.6</v>
      </c>
      <c r="F276" s="10">
        <v>4.2</v>
      </c>
      <c r="G276" s="11">
        <v>3300.0</v>
      </c>
      <c r="K276" s="23">
        <v>263.0</v>
      </c>
    </row>
    <row r="277">
      <c r="A277" s="7" t="s">
        <v>314</v>
      </c>
      <c r="B277" s="7" t="s">
        <v>71</v>
      </c>
      <c r="C277" s="8">
        <v>399.0</v>
      </c>
      <c r="D277" s="8">
        <v>999.0</v>
      </c>
      <c r="E277" s="19">
        <v>0.6</v>
      </c>
      <c r="F277" s="10">
        <v>3.3</v>
      </c>
      <c r="G277" s="10">
        <v>23.0</v>
      </c>
      <c r="K277" s="23">
        <v>263.0</v>
      </c>
    </row>
    <row r="278">
      <c r="A278" s="7" t="s">
        <v>315</v>
      </c>
      <c r="B278" s="7" t="s">
        <v>37</v>
      </c>
      <c r="C278" s="8">
        <v>45999.0</v>
      </c>
      <c r="D278" s="8">
        <v>69900.0</v>
      </c>
      <c r="E278" s="19">
        <v>0.34</v>
      </c>
      <c r="F278" s="10">
        <v>4.3</v>
      </c>
      <c r="G278" s="11">
        <v>7109.0</v>
      </c>
      <c r="K278" s="23">
        <v>263.0</v>
      </c>
    </row>
    <row r="279">
      <c r="A279" s="7" t="s">
        <v>316</v>
      </c>
      <c r="B279" s="7" t="s">
        <v>15</v>
      </c>
      <c r="C279" s="8">
        <v>119.0</v>
      </c>
      <c r="D279" s="8">
        <v>299.0</v>
      </c>
      <c r="E279" s="19">
        <v>0.6</v>
      </c>
      <c r="F279" s="10">
        <v>3.8</v>
      </c>
      <c r="G279" s="10">
        <v>51.0</v>
      </c>
      <c r="K279" s="23">
        <v>265.0</v>
      </c>
    </row>
    <row r="280">
      <c r="A280" s="7" t="s">
        <v>317</v>
      </c>
      <c r="B280" s="7" t="s">
        <v>37</v>
      </c>
      <c r="C280" s="8">
        <v>21999.0</v>
      </c>
      <c r="D280" s="8">
        <v>29999.0</v>
      </c>
      <c r="E280" s="19">
        <v>0.27</v>
      </c>
      <c r="F280" s="10">
        <v>4.2</v>
      </c>
      <c r="G280" s="11">
        <v>32840.0</v>
      </c>
      <c r="K280" s="23">
        <v>266.0</v>
      </c>
    </row>
    <row r="281">
      <c r="A281" s="7" t="s">
        <v>318</v>
      </c>
      <c r="B281" s="7" t="s">
        <v>71</v>
      </c>
      <c r="C281" s="8">
        <v>299.0</v>
      </c>
      <c r="D281" s="8">
        <v>599.0</v>
      </c>
      <c r="E281" s="19">
        <v>0.5</v>
      </c>
      <c r="F281" s="10">
        <v>3.7</v>
      </c>
      <c r="G281" s="10">
        <v>708.0</v>
      </c>
      <c r="K281" s="23">
        <v>269.0</v>
      </c>
    </row>
    <row r="282">
      <c r="A282" s="7" t="s">
        <v>319</v>
      </c>
      <c r="B282" s="7" t="s">
        <v>37</v>
      </c>
      <c r="C282" s="8">
        <v>21990.0</v>
      </c>
      <c r="D282" s="8">
        <v>34990.0</v>
      </c>
      <c r="E282" s="19">
        <v>0.37</v>
      </c>
      <c r="F282" s="10">
        <v>4.3</v>
      </c>
      <c r="G282" s="11">
        <v>1657.0</v>
      </c>
      <c r="K282" s="23">
        <v>269.0</v>
      </c>
    </row>
    <row r="283">
      <c r="A283" s="7" t="s">
        <v>320</v>
      </c>
      <c r="B283" s="7" t="s">
        <v>15</v>
      </c>
      <c r="C283" s="8">
        <v>417.44</v>
      </c>
      <c r="D283" s="8">
        <v>670.0</v>
      </c>
      <c r="E283" s="19">
        <v>0.38</v>
      </c>
      <c r="F283" s="10">
        <v>3.9</v>
      </c>
      <c r="G283" s="10">
        <v>523.0</v>
      </c>
      <c r="K283" s="23">
        <v>269.0</v>
      </c>
    </row>
    <row r="284">
      <c r="A284" s="7" t="s">
        <v>321</v>
      </c>
      <c r="B284" s="7" t="s">
        <v>15</v>
      </c>
      <c r="C284" s="8">
        <v>199.0</v>
      </c>
      <c r="D284" s="8">
        <v>999.0</v>
      </c>
      <c r="E284" s="19">
        <v>0.8</v>
      </c>
      <c r="F284" s="10">
        <v>3.0</v>
      </c>
      <c r="G284" s="7"/>
      <c r="K284" s="23">
        <v>269.0</v>
      </c>
    </row>
    <row r="285">
      <c r="A285" s="7" t="s">
        <v>322</v>
      </c>
      <c r="B285" s="7" t="s">
        <v>37</v>
      </c>
      <c r="C285" s="8">
        <v>47990.0</v>
      </c>
      <c r="D285" s="8">
        <v>79990.0</v>
      </c>
      <c r="E285" s="19">
        <v>0.4</v>
      </c>
      <c r="F285" s="10">
        <v>4.3</v>
      </c>
      <c r="G285" s="11">
        <v>1376.0</v>
      </c>
      <c r="K285" s="23">
        <v>269.0</v>
      </c>
    </row>
    <row r="286">
      <c r="A286" s="7" t="s">
        <v>323</v>
      </c>
      <c r="B286" s="7" t="s">
        <v>71</v>
      </c>
      <c r="C286" s="8">
        <v>215.0</v>
      </c>
      <c r="D286" s="8">
        <v>499.0</v>
      </c>
      <c r="E286" s="19">
        <v>0.57</v>
      </c>
      <c r="F286" s="10">
        <v>3.5</v>
      </c>
      <c r="G286" s="10">
        <v>121.0</v>
      </c>
      <c r="K286" s="23">
        <v>269.0</v>
      </c>
    </row>
    <row r="287">
      <c r="A287" s="7" t="s">
        <v>324</v>
      </c>
      <c r="B287" s="7" t="s">
        <v>15</v>
      </c>
      <c r="C287" s="8">
        <v>99.0</v>
      </c>
      <c r="D287" s="8">
        <v>800.0</v>
      </c>
      <c r="E287" s="19">
        <v>0.88</v>
      </c>
      <c r="F287" s="10">
        <v>3.9</v>
      </c>
      <c r="G287" s="11">
        <v>1075.0</v>
      </c>
      <c r="K287" s="23">
        <v>269.0</v>
      </c>
    </row>
    <row r="288">
      <c r="A288" s="7" t="s">
        <v>325</v>
      </c>
      <c r="B288" s="7" t="s">
        <v>37</v>
      </c>
      <c r="C288" s="8">
        <v>18999.0</v>
      </c>
      <c r="D288" s="8">
        <v>35000.0</v>
      </c>
      <c r="E288" s="19">
        <v>0.46</v>
      </c>
      <c r="F288" s="10">
        <v>4.0</v>
      </c>
      <c r="G288" s="11">
        <v>1001.0</v>
      </c>
      <c r="K288" s="23">
        <v>269.0</v>
      </c>
    </row>
    <row r="289">
      <c r="A289" s="7" t="s">
        <v>326</v>
      </c>
      <c r="B289" s="7" t="s">
        <v>15</v>
      </c>
      <c r="C289" s="8">
        <v>249.0</v>
      </c>
      <c r="D289" s="8">
        <v>999.0</v>
      </c>
      <c r="E289" s="19">
        <v>0.75</v>
      </c>
      <c r="F289" s="10">
        <v>4.3</v>
      </c>
      <c r="G289" s="10">
        <v>112.0</v>
      </c>
      <c r="K289" s="23">
        <v>272.0</v>
      </c>
    </row>
    <row r="290">
      <c r="A290" s="7" t="s">
        <v>327</v>
      </c>
      <c r="B290" s="7" t="s">
        <v>77</v>
      </c>
      <c r="C290" s="8">
        <v>7999.0</v>
      </c>
      <c r="D290" s="8">
        <v>15999.0</v>
      </c>
      <c r="E290" s="19">
        <v>0.5</v>
      </c>
      <c r="F290" s="10">
        <v>3.8</v>
      </c>
      <c r="G290" s="11">
        <v>3022.0</v>
      </c>
      <c r="K290" s="23">
        <v>273.1</v>
      </c>
    </row>
    <row r="291">
      <c r="A291" s="7" t="s">
        <v>328</v>
      </c>
      <c r="B291" s="7" t="s">
        <v>15</v>
      </c>
      <c r="C291" s="8">
        <v>649.0</v>
      </c>
      <c r="D291" s="8">
        <v>1600.0</v>
      </c>
      <c r="E291" s="19">
        <v>0.59</v>
      </c>
      <c r="F291" s="10">
        <v>4.3</v>
      </c>
      <c r="G291" s="11">
        <v>5451.0</v>
      </c>
      <c r="K291" s="23">
        <v>279.0</v>
      </c>
    </row>
    <row r="292">
      <c r="A292" s="7" t="s">
        <v>104</v>
      </c>
      <c r="B292" s="7" t="s">
        <v>71</v>
      </c>
      <c r="C292" s="8">
        <v>1289.0</v>
      </c>
      <c r="D292" s="8">
        <v>2499.0</v>
      </c>
      <c r="E292" s="19">
        <v>0.48</v>
      </c>
      <c r="F292" s="10">
        <v>3.3</v>
      </c>
      <c r="G292" s="10">
        <v>73.0</v>
      </c>
      <c r="K292" s="23">
        <v>279.0</v>
      </c>
    </row>
    <row r="293">
      <c r="A293" s="7" t="s">
        <v>329</v>
      </c>
      <c r="B293" s="7" t="s">
        <v>31</v>
      </c>
      <c r="C293" s="8">
        <v>609.0</v>
      </c>
      <c r="D293" s="8">
        <v>1500.0</v>
      </c>
      <c r="E293" s="19">
        <v>0.59</v>
      </c>
      <c r="F293" s="10">
        <v>4.5</v>
      </c>
      <c r="G293" s="11">
        <v>1029.0</v>
      </c>
      <c r="K293" s="23">
        <v>279.0</v>
      </c>
    </row>
    <row r="294">
      <c r="A294" s="7" t="s">
        <v>330</v>
      </c>
      <c r="B294" s="7" t="s">
        <v>37</v>
      </c>
      <c r="C294" s="8">
        <v>32990.0</v>
      </c>
      <c r="D294" s="8">
        <v>54990.0</v>
      </c>
      <c r="E294" s="19">
        <v>0.4</v>
      </c>
      <c r="F294" s="10">
        <v>4.1</v>
      </c>
      <c r="G294" s="11">
        <v>1555.0</v>
      </c>
      <c r="K294" s="23">
        <v>279.0</v>
      </c>
    </row>
    <row r="295">
      <c r="A295" s="7" t="s">
        <v>331</v>
      </c>
      <c r="B295" s="7" t="s">
        <v>31</v>
      </c>
      <c r="C295" s="8">
        <v>599.0</v>
      </c>
      <c r="D295" s="8">
        <v>1999.0</v>
      </c>
      <c r="E295" s="19">
        <v>0.7</v>
      </c>
      <c r="F295" s="10">
        <v>4.2</v>
      </c>
      <c r="G295" s="10">
        <v>47.0</v>
      </c>
      <c r="K295" s="23">
        <v>279.0</v>
      </c>
    </row>
    <row r="296">
      <c r="A296" s="7" t="s">
        <v>332</v>
      </c>
      <c r="B296" s="7" t="s">
        <v>15</v>
      </c>
      <c r="C296" s="8">
        <v>349.0</v>
      </c>
      <c r="D296" s="8">
        <v>899.0</v>
      </c>
      <c r="E296" s="19">
        <v>0.61</v>
      </c>
      <c r="F296" s="10">
        <v>4.1</v>
      </c>
      <c r="G296" s="11">
        <v>14896.0</v>
      </c>
      <c r="K296" s="23">
        <v>279.0</v>
      </c>
    </row>
    <row r="297">
      <c r="A297" s="7" t="s">
        <v>333</v>
      </c>
      <c r="B297" s="7" t="s">
        <v>37</v>
      </c>
      <c r="C297" s="8">
        <v>29999.0</v>
      </c>
      <c r="D297" s="8">
        <v>50999.0</v>
      </c>
      <c r="E297" s="19">
        <v>0.41</v>
      </c>
      <c r="F297" s="10">
        <v>4.4</v>
      </c>
      <c r="G297" s="11">
        <v>1712.0</v>
      </c>
      <c r="K297" s="23">
        <v>279.0</v>
      </c>
    </row>
    <row r="298">
      <c r="A298" s="7" t="s">
        <v>278</v>
      </c>
      <c r="B298" s="7" t="s">
        <v>71</v>
      </c>
      <c r="C298" s="8">
        <v>199.0</v>
      </c>
      <c r="D298" s="8">
        <v>399.0</v>
      </c>
      <c r="E298" s="19">
        <v>0.5</v>
      </c>
      <c r="F298" s="10">
        <v>4.2</v>
      </c>
      <c r="G298" s="11">
        <v>1335.0</v>
      </c>
      <c r="K298" s="23">
        <v>279.0</v>
      </c>
    </row>
    <row r="299">
      <c r="A299" s="7" t="s">
        <v>334</v>
      </c>
      <c r="B299" s="7" t="s">
        <v>71</v>
      </c>
      <c r="C299" s="8">
        <v>349.0</v>
      </c>
      <c r="D299" s="8">
        <v>699.0</v>
      </c>
      <c r="E299" s="19">
        <v>0.5</v>
      </c>
      <c r="F299" s="10">
        <v>3.9</v>
      </c>
      <c r="G299" s="10">
        <v>214.0</v>
      </c>
      <c r="K299" s="23">
        <v>281.0</v>
      </c>
    </row>
    <row r="300">
      <c r="A300" s="7" t="s">
        <v>335</v>
      </c>
      <c r="B300" s="7" t="s">
        <v>93</v>
      </c>
      <c r="C300" s="8">
        <v>1850.0</v>
      </c>
      <c r="D300" s="8">
        <v>4500.0</v>
      </c>
      <c r="E300" s="19">
        <v>0.59</v>
      </c>
      <c r="F300" s="10">
        <v>4.0</v>
      </c>
      <c r="G300" s="10">
        <v>184.0</v>
      </c>
      <c r="K300" s="23">
        <v>287.0</v>
      </c>
    </row>
    <row r="301">
      <c r="A301" s="7" t="s">
        <v>336</v>
      </c>
      <c r="B301" s="7" t="s">
        <v>187</v>
      </c>
      <c r="C301" s="8">
        <v>13990.0</v>
      </c>
      <c r="D301" s="8">
        <v>28900.0</v>
      </c>
      <c r="E301" s="19">
        <v>0.52</v>
      </c>
      <c r="F301" s="10">
        <v>4.5</v>
      </c>
      <c r="G301" s="10">
        <v>7.0</v>
      </c>
      <c r="K301" s="23">
        <v>289.0</v>
      </c>
    </row>
    <row r="302">
      <c r="A302" s="7" t="s">
        <v>337</v>
      </c>
      <c r="B302" s="7" t="s">
        <v>15</v>
      </c>
      <c r="C302" s="8">
        <v>129.0</v>
      </c>
      <c r="D302" s="8">
        <v>449.0</v>
      </c>
      <c r="E302" s="19">
        <v>0.71</v>
      </c>
      <c r="F302" s="10">
        <v>3.7</v>
      </c>
      <c r="G302" s="10">
        <v>41.0</v>
      </c>
      <c r="K302" s="23">
        <v>289.0</v>
      </c>
    </row>
    <row r="303">
      <c r="A303" s="7" t="s">
        <v>338</v>
      </c>
      <c r="B303" s="7" t="s">
        <v>31</v>
      </c>
      <c r="C303" s="8">
        <v>379.0</v>
      </c>
      <c r="D303" s="8">
        <v>999.0</v>
      </c>
      <c r="E303" s="19">
        <v>0.62</v>
      </c>
      <c r="F303" s="10">
        <v>4.2</v>
      </c>
      <c r="G303" s="11">
        <v>12153.0</v>
      </c>
      <c r="K303" s="23">
        <v>289.0</v>
      </c>
    </row>
    <row r="304">
      <c r="A304" s="7" t="s">
        <v>339</v>
      </c>
      <c r="B304" s="7" t="s">
        <v>31</v>
      </c>
      <c r="C304" s="8">
        <v>185.0</v>
      </c>
      <c r="D304" s="8">
        <v>499.0</v>
      </c>
      <c r="E304" s="19">
        <v>0.63</v>
      </c>
      <c r="F304" s="10">
        <v>4.2</v>
      </c>
      <c r="G304" s="10">
        <v>25.0</v>
      </c>
      <c r="K304" s="23">
        <v>290.0</v>
      </c>
    </row>
    <row r="305">
      <c r="A305" s="7" t="s">
        <v>340</v>
      </c>
      <c r="B305" s="7" t="s">
        <v>25</v>
      </c>
      <c r="C305" s="8">
        <v>218.0</v>
      </c>
      <c r="D305" s="8">
        <v>999.0</v>
      </c>
      <c r="E305" s="19">
        <v>0.78</v>
      </c>
      <c r="F305" s="10">
        <v>4.2</v>
      </c>
      <c r="G305" s="10">
        <v>163.0</v>
      </c>
      <c r="K305" s="23">
        <v>292.0</v>
      </c>
    </row>
    <row r="306">
      <c r="A306" s="7" t="s">
        <v>341</v>
      </c>
      <c r="B306" s="7" t="s">
        <v>15</v>
      </c>
      <c r="C306" s="8">
        <v>199.0</v>
      </c>
      <c r="D306" s="8">
        <v>999.0</v>
      </c>
      <c r="E306" s="19">
        <v>0.8</v>
      </c>
      <c r="F306" s="10">
        <v>4.3</v>
      </c>
      <c r="G306" s="10">
        <v>87.0</v>
      </c>
      <c r="K306" s="23">
        <v>293.0</v>
      </c>
    </row>
    <row r="307">
      <c r="A307" s="7" t="s">
        <v>342</v>
      </c>
      <c r="B307" s="7" t="s">
        <v>31</v>
      </c>
      <c r="C307" s="8">
        <v>499.0</v>
      </c>
      <c r="D307" s="8">
        <v>900.0</v>
      </c>
      <c r="E307" s="19">
        <v>0.45</v>
      </c>
      <c r="F307" s="10">
        <v>4.4</v>
      </c>
      <c r="G307" s="11">
        <v>2165.0</v>
      </c>
      <c r="K307" s="23">
        <v>293.0</v>
      </c>
    </row>
    <row r="308">
      <c r="A308" s="7" t="s">
        <v>343</v>
      </c>
      <c r="B308" s="7" t="s">
        <v>37</v>
      </c>
      <c r="C308" s="8">
        <v>26999.0</v>
      </c>
      <c r="D308" s="8">
        <v>42999.0</v>
      </c>
      <c r="E308" s="19">
        <v>0.37</v>
      </c>
      <c r="F308" s="10">
        <v>4.2</v>
      </c>
      <c r="G308" s="11">
        <v>1510.0</v>
      </c>
      <c r="K308" s="23">
        <v>294.0</v>
      </c>
    </row>
    <row r="309">
      <c r="A309" s="7" t="s">
        <v>344</v>
      </c>
      <c r="B309" s="7" t="s">
        <v>93</v>
      </c>
      <c r="C309" s="8">
        <v>893.0</v>
      </c>
      <c r="D309" s="8">
        <v>1052.0</v>
      </c>
      <c r="E309" s="19">
        <v>0.15</v>
      </c>
      <c r="F309" s="10">
        <v>4.3</v>
      </c>
      <c r="G309" s="10">
        <v>106.0</v>
      </c>
      <c r="K309" s="23">
        <v>295.0</v>
      </c>
    </row>
    <row r="310">
      <c r="A310" s="7" t="s">
        <v>345</v>
      </c>
      <c r="B310" s="7" t="s">
        <v>37</v>
      </c>
      <c r="C310" s="8">
        <v>10990.0</v>
      </c>
      <c r="D310" s="8">
        <v>19990.0</v>
      </c>
      <c r="E310" s="19">
        <v>0.45</v>
      </c>
      <c r="F310" s="10">
        <v>3.7</v>
      </c>
      <c r="G310" s="10">
        <v>129.0</v>
      </c>
      <c r="K310" s="23">
        <v>298.0</v>
      </c>
    </row>
    <row r="311">
      <c r="A311" s="7" t="s">
        <v>346</v>
      </c>
      <c r="B311" s="7" t="s">
        <v>15</v>
      </c>
      <c r="C311" s="8">
        <v>379.0</v>
      </c>
      <c r="D311" s="8">
        <v>1099.0</v>
      </c>
      <c r="E311" s="19">
        <v>0.66</v>
      </c>
      <c r="F311" s="10">
        <v>4.3</v>
      </c>
      <c r="G311" s="11">
        <v>3049.0</v>
      </c>
      <c r="K311" s="23">
        <v>298.0</v>
      </c>
    </row>
    <row r="312">
      <c r="A312" s="7" t="s">
        <v>347</v>
      </c>
      <c r="B312" s="7" t="s">
        <v>37</v>
      </c>
      <c r="C312" s="8">
        <v>16999.0</v>
      </c>
      <c r="D312" s="8">
        <v>25999.0</v>
      </c>
      <c r="E312" s="19">
        <v>0.35</v>
      </c>
      <c r="F312" s="10">
        <v>4.2</v>
      </c>
      <c r="G312" s="11">
        <v>32840.0</v>
      </c>
      <c r="K312" s="23">
        <v>299.0</v>
      </c>
    </row>
    <row r="313">
      <c r="A313" s="7" t="s">
        <v>348</v>
      </c>
      <c r="B313" s="7" t="s">
        <v>31</v>
      </c>
      <c r="C313" s="8">
        <v>699.0</v>
      </c>
      <c r="D313" s="8">
        <v>1899.0</v>
      </c>
      <c r="E313" s="19">
        <v>0.63</v>
      </c>
      <c r="F313" s="10">
        <v>4.4</v>
      </c>
      <c r="G313" s="10">
        <v>390.0</v>
      </c>
      <c r="K313" s="23">
        <v>299.0</v>
      </c>
    </row>
    <row r="314">
      <c r="A314" s="7" t="s">
        <v>349</v>
      </c>
      <c r="B314" s="7" t="s">
        <v>350</v>
      </c>
      <c r="C314" s="8">
        <v>2699.0</v>
      </c>
      <c r="D314" s="8">
        <v>3500.0</v>
      </c>
      <c r="E314" s="19">
        <v>0.23</v>
      </c>
      <c r="F314" s="10">
        <v>3.5</v>
      </c>
      <c r="G314" s="10">
        <v>621.0</v>
      </c>
      <c r="K314" s="23">
        <v>299.0</v>
      </c>
    </row>
    <row r="315">
      <c r="A315" s="7" t="s">
        <v>351</v>
      </c>
      <c r="B315" s="7" t="s">
        <v>15</v>
      </c>
      <c r="C315" s="8">
        <v>129.0</v>
      </c>
      <c r="D315" s="8">
        <v>599.0</v>
      </c>
      <c r="E315" s="19">
        <v>0.78</v>
      </c>
      <c r="F315" s="10">
        <v>4.1</v>
      </c>
      <c r="G315" s="10">
        <v>265.0</v>
      </c>
      <c r="K315" s="23">
        <v>299.0</v>
      </c>
    </row>
    <row r="316">
      <c r="A316" s="7" t="s">
        <v>352</v>
      </c>
      <c r="B316" s="7" t="s">
        <v>15</v>
      </c>
      <c r="C316" s="8">
        <v>389.0</v>
      </c>
      <c r="D316" s="8">
        <v>999.0</v>
      </c>
      <c r="E316" s="19">
        <v>0.61</v>
      </c>
      <c r="F316" s="10">
        <v>4.3</v>
      </c>
      <c r="G316" s="10">
        <v>838.0</v>
      </c>
      <c r="K316" s="23">
        <v>299.0</v>
      </c>
    </row>
    <row r="317">
      <c r="A317" s="7" t="s">
        <v>353</v>
      </c>
      <c r="B317" s="7" t="s">
        <v>71</v>
      </c>
      <c r="C317" s="8">
        <v>246.0</v>
      </c>
      <c r="D317" s="8">
        <v>600.0</v>
      </c>
      <c r="E317" s="19">
        <v>0.59</v>
      </c>
      <c r="F317" s="10">
        <v>4.2</v>
      </c>
      <c r="G317" s="10">
        <v>143.0</v>
      </c>
      <c r="K317" s="23">
        <v>299.0</v>
      </c>
    </row>
    <row r="318">
      <c r="A318" s="7" t="s">
        <v>354</v>
      </c>
      <c r="B318" s="7" t="s">
        <v>15</v>
      </c>
      <c r="C318" s="8">
        <v>299.0</v>
      </c>
      <c r="D318" s="8">
        <v>799.0</v>
      </c>
      <c r="E318" s="19">
        <v>0.63</v>
      </c>
      <c r="F318" s="10">
        <v>4.0</v>
      </c>
      <c r="G318" s="10">
        <v>151.0</v>
      </c>
      <c r="K318" s="23">
        <v>299.0</v>
      </c>
    </row>
    <row r="319">
      <c r="A319" s="7" t="s">
        <v>355</v>
      </c>
      <c r="B319" s="7" t="s">
        <v>71</v>
      </c>
      <c r="C319" s="8">
        <v>247.0</v>
      </c>
      <c r="D319" s="8">
        <v>399.0</v>
      </c>
      <c r="E319" s="19">
        <v>0.38</v>
      </c>
      <c r="F319" s="10">
        <v>3.9</v>
      </c>
      <c r="G319" s="10">
        <v>200.0</v>
      </c>
      <c r="K319" s="23">
        <v>299.0</v>
      </c>
    </row>
    <row r="320">
      <c r="A320" s="7" t="s">
        <v>356</v>
      </c>
      <c r="B320" s="7" t="s">
        <v>71</v>
      </c>
      <c r="C320" s="8">
        <v>1369.0</v>
      </c>
      <c r="D320" s="8">
        <v>2999.0</v>
      </c>
      <c r="E320" s="19">
        <v>0.54</v>
      </c>
      <c r="F320" s="10">
        <v>3.3</v>
      </c>
      <c r="G320" s="10">
        <v>227.0</v>
      </c>
      <c r="K320" s="23">
        <v>299.0</v>
      </c>
    </row>
    <row r="321">
      <c r="A321" s="7" t="s">
        <v>357</v>
      </c>
      <c r="B321" s="7" t="s">
        <v>71</v>
      </c>
      <c r="C321" s="8">
        <v>199.0</v>
      </c>
      <c r="D321" s="8">
        <v>499.0</v>
      </c>
      <c r="E321" s="19">
        <v>0.6</v>
      </c>
      <c r="F321" s="10">
        <v>3.8</v>
      </c>
      <c r="G321" s="10">
        <v>538.0</v>
      </c>
      <c r="K321" s="23">
        <v>299.0</v>
      </c>
    </row>
    <row r="322">
      <c r="A322" s="7" t="s">
        <v>358</v>
      </c>
      <c r="B322" s="7" t="s">
        <v>31</v>
      </c>
      <c r="C322" s="8">
        <v>299.0</v>
      </c>
      <c r="D322" s="8">
        <v>599.0</v>
      </c>
      <c r="E322" s="19">
        <v>0.5</v>
      </c>
      <c r="F322" s="10">
        <v>4.0</v>
      </c>
      <c r="G322" s="10">
        <v>171.0</v>
      </c>
      <c r="K322" s="23">
        <v>299.0</v>
      </c>
    </row>
    <row r="323">
      <c r="A323" s="7" t="s">
        <v>359</v>
      </c>
      <c r="B323" s="7" t="s">
        <v>37</v>
      </c>
      <c r="C323" s="8">
        <v>14999.0</v>
      </c>
      <c r="D323" s="8">
        <v>14999.0</v>
      </c>
      <c r="E323" s="19">
        <v>0.0</v>
      </c>
      <c r="F323" s="10">
        <v>4.3</v>
      </c>
      <c r="G323" s="11">
        <v>27508.0</v>
      </c>
      <c r="K323" s="23">
        <v>299.0</v>
      </c>
    </row>
    <row r="324">
      <c r="A324" s="7" t="s">
        <v>360</v>
      </c>
      <c r="B324" s="7" t="s">
        <v>15</v>
      </c>
      <c r="C324" s="8">
        <v>299.0</v>
      </c>
      <c r="D324" s="8">
        <v>699.0</v>
      </c>
      <c r="E324" s="19">
        <v>0.57</v>
      </c>
      <c r="F324" s="10">
        <v>3.9</v>
      </c>
      <c r="G324" s="11">
        <v>1454.0</v>
      </c>
      <c r="K324" s="23">
        <v>299.0</v>
      </c>
    </row>
    <row r="325">
      <c r="A325" s="7" t="s">
        <v>361</v>
      </c>
      <c r="B325" s="7" t="s">
        <v>37</v>
      </c>
      <c r="C325" s="8">
        <v>24990.0</v>
      </c>
      <c r="D325" s="8">
        <v>51990.0</v>
      </c>
      <c r="E325" s="19">
        <v>0.52</v>
      </c>
      <c r="F325" s="10">
        <v>4.2</v>
      </c>
      <c r="G325" s="11">
        <v>2951.0</v>
      </c>
      <c r="K325" s="23">
        <v>299.0</v>
      </c>
    </row>
    <row r="326">
      <c r="A326" s="7" t="s">
        <v>362</v>
      </c>
      <c r="B326" s="7" t="s">
        <v>15</v>
      </c>
      <c r="C326" s="8">
        <v>249.0</v>
      </c>
      <c r="D326" s="8">
        <v>999.0</v>
      </c>
      <c r="E326" s="19">
        <v>0.75</v>
      </c>
      <c r="F326" s="10">
        <v>5.0</v>
      </c>
      <c r="G326" s="7"/>
      <c r="K326" s="23">
        <v>299.0</v>
      </c>
    </row>
    <row r="327">
      <c r="A327" s="7" t="s">
        <v>363</v>
      </c>
      <c r="B327" s="7" t="s">
        <v>37</v>
      </c>
      <c r="C327" s="8">
        <v>61999.0</v>
      </c>
      <c r="D327" s="8">
        <v>69999.0</v>
      </c>
      <c r="E327" s="19">
        <v>0.11</v>
      </c>
      <c r="F327" s="10">
        <v>4.1</v>
      </c>
      <c r="G327" s="11">
        <v>6753.0</v>
      </c>
      <c r="K327" s="23">
        <v>299.0</v>
      </c>
    </row>
    <row r="328">
      <c r="A328" s="7" t="s">
        <v>364</v>
      </c>
      <c r="B328" s="7" t="s">
        <v>37</v>
      </c>
      <c r="C328" s="8">
        <v>24499.0</v>
      </c>
      <c r="D328" s="8">
        <v>50000.0</v>
      </c>
      <c r="E328" s="19">
        <v>0.51</v>
      </c>
      <c r="F328" s="10">
        <v>3.9</v>
      </c>
      <c r="G328" s="11">
        <v>3518.0</v>
      </c>
      <c r="K328" s="23">
        <v>299.0</v>
      </c>
    </row>
    <row r="329">
      <c r="A329" s="7" t="s">
        <v>365</v>
      </c>
      <c r="B329" s="7" t="s">
        <v>37</v>
      </c>
      <c r="C329" s="8">
        <v>10499.0</v>
      </c>
      <c r="D329" s="8">
        <v>19499.0</v>
      </c>
      <c r="E329" s="19">
        <v>0.46</v>
      </c>
      <c r="F329" s="10">
        <v>4.2</v>
      </c>
      <c r="G329" s="11">
        <v>1510.0</v>
      </c>
      <c r="K329" s="23">
        <v>299.0</v>
      </c>
    </row>
    <row r="330">
      <c r="A330" s="7" t="s">
        <v>366</v>
      </c>
      <c r="B330" s="7" t="s">
        <v>15</v>
      </c>
      <c r="C330" s="8">
        <v>349.0</v>
      </c>
      <c r="D330" s="8">
        <v>999.0</v>
      </c>
      <c r="E330" s="19">
        <v>0.65</v>
      </c>
      <c r="F330" s="10">
        <v>4.3</v>
      </c>
      <c r="G330" s="10">
        <v>838.0</v>
      </c>
      <c r="K330" s="23">
        <v>299.0</v>
      </c>
    </row>
    <row r="331">
      <c r="A331" s="7" t="s">
        <v>367</v>
      </c>
      <c r="B331" s="7" t="s">
        <v>71</v>
      </c>
      <c r="C331" s="8">
        <v>197.0</v>
      </c>
      <c r="D331" s="8">
        <v>499.0</v>
      </c>
      <c r="E331" s="19">
        <v>0.61</v>
      </c>
      <c r="F331" s="10">
        <v>3.8</v>
      </c>
      <c r="G331" s="10">
        <v>136.0</v>
      </c>
      <c r="K331" s="23">
        <v>299.0</v>
      </c>
    </row>
    <row r="332">
      <c r="A332" s="7" t="s">
        <v>368</v>
      </c>
      <c r="B332" s="7" t="s">
        <v>257</v>
      </c>
      <c r="C332" s="8">
        <v>1299.0</v>
      </c>
      <c r="D332" s="8">
        <v>2499.0</v>
      </c>
      <c r="E332" s="19">
        <v>0.48</v>
      </c>
      <c r="F332" s="10">
        <v>4.3</v>
      </c>
      <c r="G332" s="10">
        <v>301.0</v>
      </c>
      <c r="K332" s="23">
        <v>299.0</v>
      </c>
    </row>
    <row r="333">
      <c r="A333" s="7" t="s">
        <v>369</v>
      </c>
      <c r="B333" s="7" t="s">
        <v>15</v>
      </c>
      <c r="C333" s="8">
        <v>1519.0</v>
      </c>
      <c r="D333" s="8">
        <v>1899.0</v>
      </c>
      <c r="E333" s="19">
        <v>0.2</v>
      </c>
      <c r="F333" s="10">
        <v>4.4</v>
      </c>
      <c r="G333" s="11">
        <v>19763.0</v>
      </c>
      <c r="K333" s="23">
        <v>299.0</v>
      </c>
    </row>
    <row r="334">
      <c r="A334" s="7" t="s">
        <v>370</v>
      </c>
      <c r="B334" s="7" t="s">
        <v>37</v>
      </c>
      <c r="C334" s="8">
        <v>46999.0</v>
      </c>
      <c r="D334" s="8">
        <v>69999.0</v>
      </c>
      <c r="E334" s="19">
        <v>0.33</v>
      </c>
      <c r="F334" s="10">
        <v>4.3</v>
      </c>
      <c r="G334" s="11">
        <v>21252.0</v>
      </c>
      <c r="K334" s="23">
        <v>299.0</v>
      </c>
    </row>
    <row r="335">
      <c r="A335" s="7" t="s">
        <v>371</v>
      </c>
      <c r="B335" s="7" t="s">
        <v>15</v>
      </c>
      <c r="C335" s="8">
        <v>299.0</v>
      </c>
      <c r="D335" s="8">
        <v>799.0</v>
      </c>
      <c r="E335" s="19">
        <v>0.63</v>
      </c>
      <c r="F335" s="10">
        <v>4.3</v>
      </c>
      <c r="G335" s="11">
        <v>1902.0</v>
      </c>
      <c r="K335" s="23">
        <v>299.0</v>
      </c>
    </row>
    <row r="336">
      <c r="A336" s="7" t="s">
        <v>372</v>
      </c>
      <c r="B336" s="7" t="s">
        <v>373</v>
      </c>
      <c r="C336" s="8">
        <v>1799.0</v>
      </c>
      <c r="D336" s="8">
        <v>19999.0</v>
      </c>
      <c r="E336" s="19">
        <v>0.91</v>
      </c>
      <c r="F336" s="10">
        <v>4.2</v>
      </c>
      <c r="G336" s="11">
        <v>13937.0</v>
      </c>
      <c r="K336" s="23">
        <v>299.0</v>
      </c>
    </row>
    <row r="337">
      <c r="A337" s="7" t="s">
        <v>374</v>
      </c>
      <c r="B337" s="7" t="s">
        <v>373</v>
      </c>
      <c r="C337" s="8">
        <v>1998.0</v>
      </c>
      <c r="D337" s="8">
        <v>9999.0</v>
      </c>
      <c r="E337" s="19">
        <v>0.8</v>
      </c>
      <c r="F337" s="10">
        <v>4.3</v>
      </c>
      <c r="G337" s="11">
        <v>27696.0</v>
      </c>
      <c r="K337" s="23">
        <v>299.0</v>
      </c>
    </row>
    <row r="338">
      <c r="A338" s="7" t="s">
        <v>375</v>
      </c>
      <c r="B338" s="7" t="s">
        <v>373</v>
      </c>
      <c r="C338" s="8">
        <v>1999.0</v>
      </c>
      <c r="D338" s="8">
        <v>7990.0</v>
      </c>
      <c r="E338" s="19">
        <v>0.75</v>
      </c>
      <c r="F338" s="10">
        <v>3.8</v>
      </c>
      <c r="G338" s="11">
        <v>17831.0</v>
      </c>
      <c r="K338" s="23">
        <v>299.0</v>
      </c>
    </row>
    <row r="339">
      <c r="A339" s="7" t="s">
        <v>376</v>
      </c>
      <c r="B339" s="7" t="s">
        <v>377</v>
      </c>
      <c r="C339" s="8">
        <v>2049.0</v>
      </c>
      <c r="D339" s="8">
        <v>2199.0</v>
      </c>
      <c r="E339" s="19">
        <v>0.07</v>
      </c>
      <c r="F339" s="10">
        <v>4.3</v>
      </c>
      <c r="G339" s="7" t="s">
        <v>378</v>
      </c>
      <c r="K339" s="23">
        <v>299.0</v>
      </c>
    </row>
    <row r="340">
      <c r="A340" s="7" t="s">
        <v>379</v>
      </c>
      <c r="B340" s="7" t="s">
        <v>380</v>
      </c>
      <c r="C340" s="8">
        <v>6499.0</v>
      </c>
      <c r="D340" s="8">
        <v>8999.0</v>
      </c>
      <c r="E340" s="19">
        <v>0.28</v>
      </c>
      <c r="F340" s="10">
        <v>4.0</v>
      </c>
      <c r="G340" s="11">
        <v>7807.0</v>
      </c>
      <c r="K340" s="23">
        <v>299.0</v>
      </c>
    </row>
    <row r="341">
      <c r="A341" s="7" t="s">
        <v>381</v>
      </c>
      <c r="B341" s="7" t="s">
        <v>380</v>
      </c>
      <c r="C341" s="8">
        <v>28999.0</v>
      </c>
      <c r="D341" s="8">
        <v>28999.0</v>
      </c>
      <c r="E341" s="19">
        <v>0.0</v>
      </c>
      <c r="F341" s="10">
        <v>4.3</v>
      </c>
      <c r="G341" s="11">
        <v>17415.0</v>
      </c>
      <c r="K341" s="23">
        <v>299.0</v>
      </c>
    </row>
    <row r="342">
      <c r="A342" s="7" t="s">
        <v>382</v>
      </c>
      <c r="B342" s="7" t="s">
        <v>380</v>
      </c>
      <c r="C342" s="8">
        <v>28999.0</v>
      </c>
      <c r="D342" s="8">
        <v>28999.0</v>
      </c>
      <c r="E342" s="19">
        <v>0.0</v>
      </c>
      <c r="F342" s="10">
        <v>4.3</v>
      </c>
      <c r="G342" s="11">
        <v>17415.0</v>
      </c>
      <c r="K342" s="23">
        <v>299.0</v>
      </c>
    </row>
    <row r="343">
      <c r="A343" s="7" t="s">
        <v>383</v>
      </c>
      <c r="B343" s="7" t="s">
        <v>380</v>
      </c>
      <c r="C343" s="8">
        <v>6499.0</v>
      </c>
      <c r="D343" s="8">
        <v>8999.0</v>
      </c>
      <c r="E343" s="19">
        <v>0.28</v>
      </c>
      <c r="F343" s="10">
        <v>4.0</v>
      </c>
      <c r="G343" s="11">
        <v>7807.0</v>
      </c>
      <c r="K343" s="23">
        <v>299.0</v>
      </c>
    </row>
    <row r="344">
      <c r="A344" s="7" t="s">
        <v>384</v>
      </c>
      <c r="B344" s="7" t="s">
        <v>380</v>
      </c>
      <c r="C344" s="8">
        <v>6499.0</v>
      </c>
      <c r="D344" s="8">
        <v>8999.0</v>
      </c>
      <c r="E344" s="19">
        <v>0.28</v>
      </c>
      <c r="F344" s="10">
        <v>4.0</v>
      </c>
      <c r="G344" s="11">
        <v>7807.0</v>
      </c>
      <c r="K344" s="23">
        <v>299.0</v>
      </c>
    </row>
    <row r="345">
      <c r="A345" s="7" t="s">
        <v>385</v>
      </c>
      <c r="B345" s="7" t="s">
        <v>386</v>
      </c>
      <c r="C345" s="8">
        <v>569.0</v>
      </c>
      <c r="D345" s="8">
        <v>1000.0</v>
      </c>
      <c r="E345" s="19">
        <v>0.43</v>
      </c>
      <c r="F345" s="10">
        <v>4.4</v>
      </c>
      <c r="G345" s="11">
        <v>67259.0</v>
      </c>
      <c r="K345" s="23">
        <v>299.0</v>
      </c>
    </row>
    <row r="346">
      <c r="A346" s="7" t="s">
        <v>387</v>
      </c>
      <c r="B346" s="7" t="s">
        <v>373</v>
      </c>
      <c r="C346" s="8">
        <v>1898.0</v>
      </c>
      <c r="D346" s="8">
        <v>4999.0</v>
      </c>
      <c r="E346" s="19">
        <v>0.62</v>
      </c>
      <c r="F346" s="10">
        <v>4.1</v>
      </c>
      <c r="G346" s="11">
        <v>10689.0</v>
      </c>
      <c r="K346" s="23">
        <v>299.0</v>
      </c>
    </row>
    <row r="347">
      <c r="A347" s="7" t="s">
        <v>388</v>
      </c>
      <c r="B347" s="7" t="s">
        <v>389</v>
      </c>
      <c r="C347" s="8">
        <v>1299.0</v>
      </c>
      <c r="D347" s="8">
        <v>1599.0</v>
      </c>
      <c r="E347" s="19">
        <v>0.19</v>
      </c>
      <c r="F347" s="10">
        <v>4.0</v>
      </c>
      <c r="G347" s="7" t="s">
        <v>390</v>
      </c>
      <c r="K347" s="23">
        <v>299.0</v>
      </c>
    </row>
    <row r="348">
      <c r="A348" s="7" t="s">
        <v>391</v>
      </c>
      <c r="B348" s="7" t="s">
        <v>373</v>
      </c>
      <c r="C348" s="8">
        <v>1499.0</v>
      </c>
      <c r="D348" s="8">
        <v>6990.0</v>
      </c>
      <c r="E348" s="19">
        <v>0.79</v>
      </c>
      <c r="F348" s="10">
        <v>3.9</v>
      </c>
      <c r="G348" s="11">
        <v>21796.0</v>
      </c>
      <c r="K348" s="23">
        <v>299.0</v>
      </c>
    </row>
    <row r="349">
      <c r="A349" s="7" t="s">
        <v>392</v>
      </c>
      <c r="B349" s="7" t="s">
        <v>393</v>
      </c>
      <c r="C349" s="8">
        <v>599.0</v>
      </c>
      <c r="D349" s="8">
        <v>999.0</v>
      </c>
      <c r="E349" s="19">
        <v>0.4</v>
      </c>
      <c r="F349" s="10">
        <v>4.1</v>
      </c>
      <c r="G349" s="7" t="s">
        <v>394</v>
      </c>
      <c r="K349" s="23">
        <v>299.0</v>
      </c>
    </row>
    <row r="350">
      <c r="A350" s="7" t="s">
        <v>395</v>
      </c>
      <c r="B350" s="7" t="s">
        <v>380</v>
      </c>
      <c r="C350" s="8">
        <v>9499.0</v>
      </c>
      <c r="D350" s="8">
        <v>11999.0</v>
      </c>
      <c r="E350" s="19">
        <v>0.21</v>
      </c>
      <c r="F350" s="10">
        <v>4.2</v>
      </c>
      <c r="G350" s="10">
        <v>284.0</v>
      </c>
      <c r="K350" s="23">
        <v>299.0</v>
      </c>
    </row>
    <row r="351">
      <c r="A351" s="7" t="s">
        <v>396</v>
      </c>
      <c r="B351" s="7" t="s">
        <v>393</v>
      </c>
      <c r="C351" s="8">
        <v>599.0</v>
      </c>
      <c r="D351" s="8">
        <v>2499.0</v>
      </c>
      <c r="E351" s="19">
        <v>0.76</v>
      </c>
      <c r="F351" s="10">
        <v>3.9</v>
      </c>
      <c r="G351" s="11">
        <v>58162.0</v>
      </c>
      <c r="K351" s="23">
        <v>299.0</v>
      </c>
    </row>
    <row r="352">
      <c r="A352" s="7" t="s">
        <v>397</v>
      </c>
      <c r="B352" s="7" t="s">
        <v>380</v>
      </c>
      <c r="C352" s="8">
        <v>8999.0</v>
      </c>
      <c r="D352" s="8">
        <v>11999.0</v>
      </c>
      <c r="E352" s="19">
        <v>0.25</v>
      </c>
      <c r="F352" s="10">
        <v>4.0</v>
      </c>
      <c r="G352" s="11">
        <v>12796.0</v>
      </c>
      <c r="K352" s="23">
        <v>299.0</v>
      </c>
    </row>
    <row r="353">
      <c r="A353" s="7" t="s">
        <v>398</v>
      </c>
      <c r="B353" s="7" t="s">
        <v>399</v>
      </c>
      <c r="C353" s="8">
        <v>349.0</v>
      </c>
      <c r="D353" s="8">
        <v>1299.0</v>
      </c>
      <c r="E353" s="19">
        <v>0.73</v>
      </c>
      <c r="F353" s="10">
        <v>4.0</v>
      </c>
      <c r="G353" s="11">
        <v>14282.0</v>
      </c>
      <c r="K353" s="23">
        <v>299.0</v>
      </c>
    </row>
    <row r="354">
      <c r="A354" s="7" t="s">
        <v>400</v>
      </c>
      <c r="B354" s="7" t="s">
        <v>393</v>
      </c>
      <c r="C354" s="8">
        <v>349.0</v>
      </c>
      <c r="D354" s="8">
        <v>999.0</v>
      </c>
      <c r="E354" s="19">
        <v>0.65</v>
      </c>
      <c r="F354" s="10">
        <v>4.1</v>
      </c>
      <c r="G354" s="7" t="s">
        <v>401</v>
      </c>
      <c r="K354" s="23">
        <v>299.0</v>
      </c>
    </row>
    <row r="355">
      <c r="A355" s="7" t="s">
        <v>402</v>
      </c>
      <c r="B355" s="7" t="s">
        <v>386</v>
      </c>
      <c r="C355" s="8">
        <v>959.0</v>
      </c>
      <c r="D355" s="8">
        <v>1800.0</v>
      </c>
      <c r="E355" s="19">
        <v>0.47</v>
      </c>
      <c r="F355" s="10">
        <v>4.4</v>
      </c>
      <c r="G355" s="11">
        <v>67259.0</v>
      </c>
      <c r="K355" s="23">
        <v>299.0</v>
      </c>
    </row>
    <row r="356">
      <c r="A356" s="7" t="s">
        <v>403</v>
      </c>
      <c r="B356" s="7" t="s">
        <v>380</v>
      </c>
      <c r="C356" s="8">
        <v>9499.0</v>
      </c>
      <c r="D356" s="8">
        <v>11999.0</v>
      </c>
      <c r="E356" s="19">
        <v>0.21</v>
      </c>
      <c r="F356" s="10">
        <v>4.2</v>
      </c>
      <c r="G356" s="10">
        <v>284.0</v>
      </c>
      <c r="K356" s="23">
        <v>299.0</v>
      </c>
    </row>
    <row r="357">
      <c r="A357" s="7" t="s">
        <v>404</v>
      </c>
      <c r="B357" s="7" t="s">
        <v>377</v>
      </c>
      <c r="C357" s="8">
        <v>1499.0</v>
      </c>
      <c r="D357" s="8">
        <v>2499.0</v>
      </c>
      <c r="E357" s="19">
        <v>0.4</v>
      </c>
      <c r="F357" s="10">
        <v>4.3</v>
      </c>
      <c r="G357" s="11">
        <v>15970.0</v>
      </c>
      <c r="K357" s="23">
        <v>299.0</v>
      </c>
    </row>
    <row r="358">
      <c r="A358" s="7" t="s">
        <v>405</v>
      </c>
      <c r="B358" s="7" t="s">
        <v>377</v>
      </c>
      <c r="C358" s="8">
        <v>1149.0</v>
      </c>
      <c r="D358" s="8">
        <v>2199.0</v>
      </c>
      <c r="E358" s="19">
        <v>0.48</v>
      </c>
      <c r="F358" s="10">
        <v>4.3</v>
      </c>
      <c r="G358" s="7" t="s">
        <v>378</v>
      </c>
      <c r="K358" s="23">
        <v>300.0</v>
      </c>
    </row>
    <row r="359">
      <c r="A359" s="7" t="s">
        <v>406</v>
      </c>
      <c r="B359" s="7" t="s">
        <v>407</v>
      </c>
      <c r="C359" s="8">
        <v>349.0</v>
      </c>
      <c r="D359" s="8">
        <v>999.0</v>
      </c>
      <c r="E359" s="19">
        <v>0.65</v>
      </c>
      <c r="F359" s="10">
        <v>3.9</v>
      </c>
      <c r="G359" s="11">
        <v>46399.0</v>
      </c>
      <c r="K359" s="23">
        <v>308.0</v>
      </c>
    </row>
    <row r="360">
      <c r="A360" s="7" t="s">
        <v>408</v>
      </c>
      <c r="B360" s="7" t="s">
        <v>409</v>
      </c>
      <c r="C360" s="8">
        <v>1219.0</v>
      </c>
      <c r="D360" s="8">
        <v>1699.0</v>
      </c>
      <c r="E360" s="19">
        <v>0.28</v>
      </c>
      <c r="F360" s="10">
        <v>4.4</v>
      </c>
      <c r="G360" s="11">
        <v>8891.0</v>
      </c>
      <c r="K360" s="23">
        <v>309.0</v>
      </c>
    </row>
    <row r="361">
      <c r="A361" s="7" t="s">
        <v>410</v>
      </c>
      <c r="B361" s="7" t="s">
        <v>373</v>
      </c>
      <c r="C361" s="8">
        <v>1599.0</v>
      </c>
      <c r="D361" s="8">
        <v>3999.0</v>
      </c>
      <c r="E361" s="19">
        <v>0.6</v>
      </c>
      <c r="F361" s="10">
        <v>4.0</v>
      </c>
      <c r="G361" s="11">
        <v>30254.0</v>
      </c>
      <c r="K361" s="23">
        <v>309.0</v>
      </c>
    </row>
    <row r="362">
      <c r="A362" s="7" t="s">
        <v>411</v>
      </c>
      <c r="B362" s="7" t="s">
        <v>373</v>
      </c>
      <c r="C362" s="8">
        <v>1499.0</v>
      </c>
      <c r="D362" s="8">
        <v>7999.0</v>
      </c>
      <c r="E362" s="19">
        <v>0.81</v>
      </c>
      <c r="F362" s="10">
        <v>4.2</v>
      </c>
      <c r="G362" s="11">
        <v>22636.0</v>
      </c>
      <c r="K362" s="23">
        <v>309.0</v>
      </c>
    </row>
    <row r="363">
      <c r="A363" s="7" t="s">
        <v>412</v>
      </c>
      <c r="B363" s="7" t="s">
        <v>380</v>
      </c>
      <c r="C363" s="8">
        <v>18499.0</v>
      </c>
      <c r="D363" s="8">
        <v>25999.0</v>
      </c>
      <c r="E363" s="19">
        <v>0.29</v>
      </c>
      <c r="F363" s="10">
        <v>4.1</v>
      </c>
      <c r="G363" s="11">
        <v>22318.0</v>
      </c>
      <c r="K363" s="23">
        <v>310.0</v>
      </c>
    </row>
    <row r="364">
      <c r="A364" s="7" t="s">
        <v>413</v>
      </c>
      <c r="B364" s="7" t="s">
        <v>386</v>
      </c>
      <c r="C364" s="8">
        <v>369.0</v>
      </c>
      <c r="D364" s="8">
        <v>700.0</v>
      </c>
      <c r="E364" s="19">
        <v>0.47</v>
      </c>
      <c r="F364" s="10">
        <v>4.4</v>
      </c>
      <c r="G364" s="11">
        <v>67259.0</v>
      </c>
      <c r="K364" s="23">
        <v>314.0</v>
      </c>
    </row>
    <row r="365">
      <c r="A365" s="7" t="s">
        <v>414</v>
      </c>
      <c r="B365" s="7" t="s">
        <v>380</v>
      </c>
      <c r="C365" s="8">
        <v>12999.0</v>
      </c>
      <c r="D365" s="8">
        <v>17999.0</v>
      </c>
      <c r="E365" s="19">
        <v>0.28</v>
      </c>
      <c r="F365" s="10">
        <v>4.1</v>
      </c>
      <c r="G365" s="11">
        <v>18998.0</v>
      </c>
      <c r="K365" s="23">
        <v>319.0</v>
      </c>
    </row>
    <row r="366">
      <c r="A366" s="7" t="s">
        <v>372</v>
      </c>
      <c r="B366" s="7" t="s">
        <v>373</v>
      </c>
      <c r="C366" s="8">
        <v>1799.0</v>
      </c>
      <c r="D366" s="8">
        <v>19999.0</v>
      </c>
      <c r="E366" s="19">
        <v>0.91</v>
      </c>
      <c r="F366" s="10">
        <v>4.2</v>
      </c>
      <c r="G366" s="11">
        <v>13937.0</v>
      </c>
      <c r="K366" s="23">
        <v>320.0</v>
      </c>
    </row>
    <row r="367">
      <c r="A367" s="7" t="s">
        <v>415</v>
      </c>
      <c r="B367" s="7" t="s">
        <v>373</v>
      </c>
      <c r="C367" s="8">
        <v>2199.0</v>
      </c>
      <c r="D367" s="8">
        <v>9999.0</v>
      </c>
      <c r="E367" s="19">
        <v>0.78</v>
      </c>
      <c r="F367" s="10">
        <v>4.2</v>
      </c>
      <c r="G367" s="11">
        <v>29471.0</v>
      </c>
      <c r="K367" s="23">
        <v>320.0</v>
      </c>
    </row>
    <row r="368">
      <c r="A368" s="7" t="s">
        <v>416</v>
      </c>
      <c r="B368" s="7" t="s">
        <v>380</v>
      </c>
      <c r="C368" s="8">
        <v>16999.0</v>
      </c>
      <c r="D368" s="8">
        <v>24999.0</v>
      </c>
      <c r="E368" s="19">
        <v>0.32</v>
      </c>
      <c r="F368" s="10">
        <v>4.1</v>
      </c>
      <c r="G368" s="11">
        <v>22318.0</v>
      </c>
      <c r="K368" s="23">
        <v>325.0</v>
      </c>
    </row>
    <row r="369">
      <c r="A369" s="7" t="s">
        <v>417</v>
      </c>
      <c r="B369" s="7" t="s">
        <v>380</v>
      </c>
      <c r="C369" s="8">
        <v>16499.0</v>
      </c>
      <c r="D369" s="8">
        <v>20999.0</v>
      </c>
      <c r="E369" s="19">
        <v>0.21</v>
      </c>
      <c r="F369" s="10">
        <v>4.0</v>
      </c>
      <c r="G369" s="11">
        <v>21350.0</v>
      </c>
      <c r="K369" s="23">
        <v>325.0</v>
      </c>
    </row>
    <row r="370">
      <c r="A370" s="7" t="s">
        <v>372</v>
      </c>
      <c r="B370" s="7" t="s">
        <v>373</v>
      </c>
      <c r="C370" s="8">
        <v>1799.0</v>
      </c>
      <c r="D370" s="8">
        <v>19999.0</v>
      </c>
      <c r="E370" s="19">
        <v>0.91</v>
      </c>
      <c r="F370" s="10">
        <v>4.2</v>
      </c>
      <c r="G370" s="11">
        <v>13937.0</v>
      </c>
      <c r="K370" s="23">
        <v>325.0</v>
      </c>
    </row>
    <row r="371">
      <c r="A371" s="7" t="s">
        <v>14</v>
      </c>
      <c r="B371" s="7" t="s">
        <v>15</v>
      </c>
      <c r="C371" s="8">
        <v>399.0</v>
      </c>
      <c r="D371" s="8">
        <v>1099.0</v>
      </c>
      <c r="E371" s="19">
        <v>0.64</v>
      </c>
      <c r="F371" s="10">
        <v>4.2</v>
      </c>
      <c r="G371" s="11">
        <v>24270.0</v>
      </c>
      <c r="K371" s="23">
        <v>325.0</v>
      </c>
    </row>
    <row r="372">
      <c r="A372" s="7" t="s">
        <v>418</v>
      </c>
      <c r="B372" s="7" t="s">
        <v>380</v>
      </c>
      <c r="C372" s="8">
        <v>8499.0</v>
      </c>
      <c r="D372" s="8">
        <v>10999.0</v>
      </c>
      <c r="E372" s="19">
        <v>0.23</v>
      </c>
      <c r="F372" s="10">
        <v>4.1</v>
      </c>
      <c r="G372" s="7" t="s">
        <v>419</v>
      </c>
      <c r="K372" s="23">
        <v>326.0</v>
      </c>
    </row>
    <row r="373">
      <c r="A373" s="7" t="s">
        <v>420</v>
      </c>
      <c r="B373" s="7" t="s">
        <v>380</v>
      </c>
      <c r="C373" s="8">
        <v>6499.0</v>
      </c>
      <c r="D373" s="8">
        <v>8499.0</v>
      </c>
      <c r="E373" s="19">
        <v>0.24</v>
      </c>
      <c r="F373" s="10">
        <v>4.1</v>
      </c>
      <c r="G373" s="7" t="s">
        <v>419</v>
      </c>
      <c r="K373" s="23">
        <v>328.0</v>
      </c>
    </row>
    <row r="374">
      <c r="A374" s="7" t="s">
        <v>372</v>
      </c>
      <c r="B374" s="7" t="s">
        <v>373</v>
      </c>
      <c r="C374" s="8">
        <v>1799.0</v>
      </c>
      <c r="D374" s="8">
        <v>19999.0</v>
      </c>
      <c r="E374" s="19">
        <v>0.91</v>
      </c>
      <c r="F374" s="10">
        <v>4.2</v>
      </c>
      <c r="G374" s="11">
        <v>13937.0</v>
      </c>
      <c r="K374" s="23">
        <v>329.0</v>
      </c>
    </row>
    <row r="375">
      <c r="A375" s="7" t="s">
        <v>421</v>
      </c>
      <c r="B375" s="7" t="s">
        <v>380</v>
      </c>
      <c r="C375" s="8">
        <v>8999.0</v>
      </c>
      <c r="D375" s="8">
        <v>11999.0</v>
      </c>
      <c r="E375" s="19">
        <v>0.25</v>
      </c>
      <c r="F375" s="10">
        <v>4.0</v>
      </c>
      <c r="G375" s="11">
        <v>12796.0</v>
      </c>
      <c r="K375" s="23">
        <v>329.0</v>
      </c>
    </row>
    <row r="376">
      <c r="A376" s="7" t="s">
        <v>422</v>
      </c>
      <c r="B376" s="7" t="s">
        <v>423</v>
      </c>
      <c r="C376" s="8">
        <v>139.0</v>
      </c>
      <c r="D376" s="8">
        <v>495.0</v>
      </c>
      <c r="E376" s="19">
        <v>0.72</v>
      </c>
      <c r="F376" s="10">
        <v>4.3</v>
      </c>
      <c r="G376" s="11">
        <v>14185.0</v>
      </c>
      <c r="K376" s="23">
        <v>329.0</v>
      </c>
    </row>
    <row r="377">
      <c r="A377" s="7" t="s">
        <v>424</v>
      </c>
      <c r="B377" s="7" t="s">
        <v>373</v>
      </c>
      <c r="C377" s="8">
        <v>3999.0</v>
      </c>
      <c r="D377" s="8">
        <v>16999.0</v>
      </c>
      <c r="E377" s="19">
        <v>0.76</v>
      </c>
      <c r="F377" s="10">
        <v>4.3</v>
      </c>
      <c r="G377" s="11">
        <v>17159.0</v>
      </c>
      <c r="K377" s="23">
        <v>329.0</v>
      </c>
    </row>
    <row r="378">
      <c r="A378" s="7" t="s">
        <v>425</v>
      </c>
      <c r="B378" s="7" t="s">
        <v>373</v>
      </c>
      <c r="C378" s="8">
        <v>2998.0</v>
      </c>
      <c r="D378" s="8">
        <v>5999.0</v>
      </c>
      <c r="E378" s="19">
        <v>0.5</v>
      </c>
      <c r="F378" s="10">
        <v>4.1</v>
      </c>
      <c r="G378" s="11">
        <v>5179.0</v>
      </c>
      <c r="K378" s="23">
        <v>329.0</v>
      </c>
    </row>
    <row r="379">
      <c r="A379" s="7" t="s">
        <v>17</v>
      </c>
      <c r="B379" s="7" t="s">
        <v>15</v>
      </c>
      <c r="C379" s="8">
        <v>199.0</v>
      </c>
      <c r="D379" s="8">
        <v>349.0</v>
      </c>
      <c r="E379" s="19">
        <v>0.43</v>
      </c>
      <c r="F379" s="10">
        <v>4.0</v>
      </c>
      <c r="G379" s="11">
        <v>43993.0</v>
      </c>
      <c r="K379" s="23">
        <v>329.0</v>
      </c>
    </row>
    <row r="380">
      <c r="A380" s="7" t="s">
        <v>426</v>
      </c>
      <c r="B380" s="7" t="s">
        <v>380</v>
      </c>
      <c r="C380" s="8">
        <v>15499.0</v>
      </c>
      <c r="D380" s="8">
        <v>18999.0</v>
      </c>
      <c r="E380" s="19">
        <v>0.18</v>
      </c>
      <c r="F380" s="10">
        <v>4.1</v>
      </c>
      <c r="G380" s="11">
        <v>19252.0</v>
      </c>
      <c r="K380" s="23">
        <v>329.0</v>
      </c>
    </row>
    <row r="381">
      <c r="A381" s="7" t="s">
        <v>18</v>
      </c>
      <c r="B381" s="7" t="s">
        <v>15</v>
      </c>
      <c r="C381" s="8">
        <v>199.0</v>
      </c>
      <c r="D381" s="8">
        <v>999.0</v>
      </c>
      <c r="E381" s="19">
        <v>0.8</v>
      </c>
      <c r="F381" s="10">
        <v>3.9</v>
      </c>
      <c r="G381" s="11">
        <v>7928.0</v>
      </c>
      <c r="K381" s="23">
        <v>329.0</v>
      </c>
    </row>
    <row r="382">
      <c r="A382" s="7" t="s">
        <v>372</v>
      </c>
      <c r="B382" s="7" t="s">
        <v>373</v>
      </c>
      <c r="C382" s="8">
        <v>1799.0</v>
      </c>
      <c r="D382" s="8">
        <v>19999.0</v>
      </c>
      <c r="E382" s="19">
        <v>0.91</v>
      </c>
      <c r="F382" s="10">
        <v>4.2</v>
      </c>
      <c r="G382" s="11">
        <v>13937.0</v>
      </c>
      <c r="K382" s="23">
        <v>330.0</v>
      </c>
    </row>
    <row r="383">
      <c r="A383" s="7" t="s">
        <v>427</v>
      </c>
      <c r="B383" s="7" t="s">
        <v>380</v>
      </c>
      <c r="C383" s="8">
        <v>8999.0</v>
      </c>
      <c r="D383" s="8">
        <v>11999.0</v>
      </c>
      <c r="E383" s="19">
        <v>0.25</v>
      </c>
      <c r="F383" s="10">
        <v>4.0</v>
      </c>
      <c r="G383" s="11">
        <v>12796.0</v>
      </c>
      <c r="K383" s="23">
        <v>333.0</v>
      </c>
    </row>
    <row r="384">
      <c r="A384" s="7" t="s">
        <v>428</v>
      </c>
      <c r="B384" s="7" t="s">
        <v>399</v>
      </c>
      <c r="C384" s="8">
        <v>873.0</v>
      </c>
      <c r="D384" s="8">
        <v>1699.0</v>
      </c>
      <c r="E384" s="19">
        <v>0.49</v>
      </c>
      <c r="F384" s="10">
        <v>4.4</v>
      </c>
      <c r="G384" s="11">
        <v>1680.0</v>
      </c>
      <c r="K384" s="23">
        <v>333.0</v>
      </c>
    </row>
    <row r="385">
      <c r="A385" s="7" t="s">
        <v>429</v>
      </c>
      <c r="B385" s="7" t="s">
        <v>380</v>
      </c>
      <c r="C385" s="8">
        <v>12999.0</v>
      </c>
      <c r="D385" s="8">
        <v>15999.0</v>
      </c>
      <c r="E385" s="19">
        <v>0.19</v>
      </c>
      <c r="F385" s="10">
        <v>4.2</v>
      </c>
      <c r="G385" s="11">
        <v>13246.0</v>
      </c>
      <c r="K385" s="23">
        <v>335.0</v>
      </c>
    </row>
    <row r="386">
      <c r="A386" s="7" t="s">
        <v>430</v>
      </c>
      <c r="B386" s="7" t="s">
        <v>431</v>
      </c>
      <c r="C386" s="8">
        <v>539.0</v>
      </c>
      <c r="D386" s="8">
        <v>1599.0</v>
      </c>
      <c r="E386" s="19">
        <v>0.66</v>
      </c>
      <c r="F386" s="10">
        <v>3.8</v>
      </c>
      <c r="G386" s="11">
        <v>14648.0</v>
      </c>
      <c r="K386" s="23">
        <v>337.0</v>
      </c>
    </row>
    <row r="387">
      <c r="A387" s="7" t="s">
        <v>374</v>
      </c>
      <c r="B387" s="7" t="s">
        <v>373</v>
      </c>
      <c r="C387" s="8">
        <v>1999.0</v>
      </c>
      <c r="D387" s="8">
        <v>9999.0</v>
      </c>
      <c r="E387" s="19">
        <v>0.8</v>
      </c>
      <c r="F387" s="10">
        <v>4.3</v>
      </c>
      <c r="G387" s="11">
        <v>27696.0</v>
      </c>
      <c r="K387" s="23">
        <v>339.0</v>
      </c>
    </row>
    <row r="388">
      <c r="A388" s="7" t="s">
        <v>432</v>
      </c>
      <c r="B388" s="7" t="s">
        <v>380</v>
      </c>
      <c r="C388" s="8">
        <v>15490.0</v>
      </c>
      <c r="D388" s="8">
        <v>20990.0</v>
      </c>
      <c r="E388" s="19">
        <v>0.26</v>
      </c>
      <c r="F388" s="10">
        <v>4.2</v>
      </c>
      <c r="G388" s="11">
        <v>32916.0</v>
      </c>
      <c r="K388" s="23">
        <v>339.0</v>
      </c>
    </row>
    <row r="389">
      <c r="A389" s="7" t="s">
        <v>433</v>
      </c>
      <c r="B389" s="7" t="s">
        <v>380</v>
      </c>
      <c r="C389" s="8">
        <v>19999.0</v>
      </c>
      <c r="D389" s="8">
        <v>24999.0</v>
      </c>
      <c r="E389" s="19">
        <v>0.2</v>
      </c>
      <c r="F389" s="10">
        <v>3.9</v>
      </c>
      <c r="G389" s="11">
        <v>25824.0</v>
      </c>
      <c r="K389" s="23">
        <v>339.0</v>
      </c>
    </row>
    <row r="390">
      <c r="A390" s="7" t="s">
        <v>434</v>
      </c>
      <c r="B390" s="7" t="s">
        <v>409</v>
      </c>
      <c r="C390" s="8">
        <v>1075.0</v>
      </c>
      <c r="D390" s="8">
        <v>1699.0</v>
      </c>
      <c r="E390" s="19">
        <v>0.37</v>
      </c>
      <c r="F390" s="10">
        <v>4.4</v>
      </c>
      <c r="G390" s="11">
        <v>7462.0</v>
      </c>
      <c r="K390" s="23">
        <v>339.0</v>
      </c>
    </row>
    <row r="391">
      <c r="A391" s="7" t="s">
        <v>435</v>
      </c>
      <c r="B391" s="7" t="s">
        <v>393</v>
      </c>
      <c r="C391" s="8">
        <v>399.0</v>
      </c>
      <c r="D391" s="8">
        <v>699.0</v>
      </c>
      <c r="E391" s="19">
        <v>0.43</v>
      </c>
      <c r="F391" s="10">
        <v>4.0</v>
      </c>
      <c r="G391" s="11">
        <v>37817.0</v>
      </c>
      <c r="K391" s="23">
        <v>341.0</v>
      </c>
    </row>
    <row r="392">
      <c r="A392" s="7" t="s">
        <v>436</v>
      </c>
      <c r="B392" s="7" t="s">
        <v>373</v>
      </c>
      <c r="C392" s="8">
        <v>1999.0</v>
      </c>
      <c r="D392" s="8">
        <v>3990.0</v>
      </c>
      <c r="E392" s="19">
        <v>0.5</v>
      </c>
      <c r="F392" s="10">
        <v>4.0</v>
      </c>
      <c r="G392" s="11">
        <v>30254.0</v>
      </c>
      <c r="K392" s="23">
        <v>345.0</v>
      </c>
    </row>
    <row r="393">
      <c r="A393" s="7" t="s">
        <v>437</v>
      </c>
      <c r="B393" s="7" t="s">
        <v>373</v>
      </c>
      <c r="C393" s="8">
        <v>1999.0</v>
      </c>
      <c r="D393" s="8">
        <v>7990.0</v>
      </c>
      <c r="E393" s="19">
        <v>0.75</v>
      </c>
      <c r="F393" s="10">
        <v>3.8</v>
      </c>
      <c r="G393" s="11">
        <v>17831.0</v>
      </c>
      <c r="K393" s="23">
        <v>347.0</v>
      </c>
    </row>
    <row r="394">
      <c r="A394" s="7" t="s">
        <v>19</v>
      </c>
      <c r="B394" s="7" t="s">
        <v>15</v>
      </c>
      <c r="C394" s="8">
        <v>329.0</v>
      </c>
      <c r="D394" s="8">
        <v>699.0</v>
      </c>
      <c r="E394" s="19">
        <v>0.53</v>
      </c>
      <c r="F394" s="10">
        <v>4.2</v>
      </c>
      <c r="G394" s="11">
        <v>94364.0</v>
      </c>
      <c r="K394" s="23">
        <v>348.0</v>
      </c>
    </row>
    <row r="395">
      <c r="A395" s="7" t="s">
        <v>20</v>
      </c>
      <c r="B395" s="7" t="s">
        <v>15</v>
      </c>
      <c r="C395" s="8">
        <v>154.0</v>
      </c>
      <c r="D395" s="8">
        <v>399.0</v>
      </c>
      <c r="E395" s="19">
        <v>0.61</v>
      </c>
      <c r="F395" s="10">
        <v>4.2</v>
      </c>
      <c r="G395" s="11">
        <v>16905.0</v>
      </c>
      <c r="K395" s="23">
        <v>348.0</v>
      </c>
    </row>
    <row r="396">
      <c r="A396" s="7" t="s">
        <v>438</v>
      </c>
      <c r="B396" s="7" t="s">
        <v>380</v>
      </c>
      <c r="C396" s="8">
        <v>28999.0</v>
      </c>
      <c r="D396" s="8">
        <v>34999.0</v>
      </c>
      <c r="E396" s="19">
        <v>0.17</v>
      </c>
      <c r="F396" s="10">
        <v>4.4</v>
      </c>
      <c r="G396" s="11">
        <v>20311.0</v>
      </c>
      <c r="K396" s="23">
        <v>349.0</v>
      </c>
    </row>
    <row r="397">
      <c r="A397" s="7" t="s">
        <v>439</v>
      </c>
      <c r="B397" s="7" t="s">
        <v>373</v>
      </c>
      <c r="C397" s="8">
        <v>2299.0</v>
      </c>
      <c r="D397" s="8">
        <v>7990.0</v>
      </c>
      <c r="E397" s="19">
        <v>0.71</v>
      </c>
      <c r="F397" s="10">
        <v>4.2</v>
      </c>
      <c r="G397" s="11">
        <v>69622.0</v>
      </c>
      <c r="K397" s="23">
        <v>349.0</v>
      </c>
    </row>
    <row r="398">
      <c r="A398" s="7" t="s">
        <v>440</v>
      </c>
      <c r="B398" s="7" t="s">
        <v>441</v>
      </c>
      <c r="C398" s="8">
        <v>399.0</v>
      </c>
      <c r="D398" s="8">
        <v>1999.0</v>
      </c>
      <c r="E398" s="19">
        <v>0.8</v>
      </c>
      <c r="F398" s="10">
        <v>4.0</v>
      </c>
      <c r="G398" s="11">
        <v>3382.0</v>
      </c>
      <c r="K398" s="23">
        <v>349.0</v>
      </c>
    </row>
    <row r="399">
      <c r="A399" s="7" t="s">
        <v>442</v>
      </c>
      <c r="B399" s="7" t="s">
        <v>386</v>
      </c>
      <c r="C399" s="8">
        <v>1149.0</v>
      </c>
      <c r="D399" s="8">
        <v>3999.0</v>
      </c>
      <c r="E399" s="19">
        <v>0.71</v>
      </c>
      <c r="F399" s="10">
        <v>4.3</v>
      </c>
      <c r="G399" s="7" t="s">
        <v>443</v>
      </c>
      <c r="K399" s="23">
        <v>349.0</v>
      </c>
    </row>
    <row r="400">
      <c r="A400" s="7" t="s">
        <v>444</v>
      </c>
      <c r="B400" s="7" t="s">
        <v>409</v>
      </c>
      <c r="C400" s="8">
        <v>529.0</v>
      </c>
      <c r="D400" s="8">
        <v>1499.0</v>
      </c>
      <c r="E400" s="19">
        <v>0.65</v>
      </c>
      <c r="F400" s="10">
        <v>4.1</v>
      </c>
      <c r="G400" s="11">
        <v>8599.0</v>
      </c>
      <c r="K400" s="23">
        <v>349.0</v>
      </c>
    </row>
    <row r="401">
      <c r="A401" s="7" t="s">
        <v>445</v>
      </c>
      <c r="B401" s="7" t="s">
        <v>380</v>
      </c>
      <c r="C401" s="8">
        <v>13999.0</v>
      </c>
      <c r="D401" s="8">
        <v>19499.0</v>
      </c>
      <c r="E401" s="19">
        <v>0.28</v>
      </c>
      <c r="F401" s="10">
        <v>4.1</v>
      </c>
      <c r="G401" s="11">
        <v>18998.0</v>
      </c>
      <c r="K401" s="23">
        <v>349.0</v>
      </c>
    </row>
    <row r="402">
      <c r="A402" s="7" t="s">
        <v>446</v>
      </c>
      <c r="B402" s="7" t="s">
        <v>393</v>
      </c>
      <c r="C402" s="8">
        <v>379.0</v>
      </c>
      <c r="D402" s="8">
        <v>999.0</v>
      </c>
      <c r="E402" s="19">
        <v>0.62</v>
      </c>
      <c r="F402" s="10">
        <v>4.1</v>
      </c>
      <c r="G402" s="7" t="s">
        <v>401</v>
      </c>
      <c r="K402" s="23">
        <v>349.0</v>
      </c>
    </row>
    <row r="403">
      <c r="A403" s="7" t="s">
        <v>447</v>
      </c>
      <c r="B403" s="7" t="s">
        <v>380</v>
      </c>
      <c r="C403" s="8">
        <v>13999.0</v>
      </c>
      <c r="D403" s="8">
        <v>19999.0</v>
      </c>
      <c r="E403" s="19">
        <v>0.3</v>
      </c>
      <c r="F403" s="10">
        <v>4.1</v>
      </c>
      <c r="G403" s="11">
        <v>19252.0</v>
      </c>
      <c r="K403" s="23">
        <v>349.0</v>
      </c>
    </row>
    <row r="404">
      <c r="A404" s="7" t="s">
        <v>448</v>
      </c>
      <c r="B404" s="7" t="s">
        <v>373</v>
      </c>
      <c r="C404" s="8">
        <v>3999.0</v>
      </c>
      <c r="D404" s="8">
        <v>9999.0</v>
      </c>
      <c r="E404" s="19">
        <v>0.6</v>
      </c>
      <c r="F404" s="10">
        <v>4.4</v>
      </c>
      <c r="G404" s="10">
        <v>73.0</v>
      </c>
      <c r="K404" s="23">
        <v>349.0</v>
      </c>
    </row>
    <row r="405">
      <c r="A405" s="7" t="s">
        <v>21</v>
      </c>
      <c r="B405" s="7" t="s">
        <v>15</v>
      </c>
      <c r="C405" s="8">
        <v>149.0</v>
      </c>
      <c r="D405" s="8">
        <v>1000.0</v>
      </c>
      <c r="E405" s="19">
        <v>0.85</v>
      </c>
      <c r="F405" s="10">
        <v>3.9</v>
      </c>
      <c r="G405" s="11">
        <v>24870.0</v>
      </c>
      <c r="K405" s="23">
        <v>349.0</v>
      </c>
    </row>
    <row r="406">
      <c r="A406" s="7" t="s">
        <v>449</v>
      </c>
      <c r="B406" s="7" t="s">
        <v>450</v>
      </c>
      <c r="C406" s="8">
        <v>99.0</v>
      </c>
      <c r="D406" s="8">
        <v>499.0</v>
      </c>
      <c r="E406" s="19">
        <v>0.8</v>
      </c>
      <c r="F406" s="10">
        <v>4.3</v>
      </c>
      <c r="G406" s="11">
        <v>42641.0</v>
      </c>
      <c r="K406" s="23">
        <v>349.0</v>
      </c>
    </row>
    <row r="407">
      <c r="A407" s="7" t="s">
        <v>451</v>
      </c>
      <c r="B407" s="7" t="s">
        <v>393</v>
      </c>
      <c r="C407" s="8">
        <v>4790.0</v>
      </c>
      <c r="D407" s="8">
        <v>15990.0</v>
      </c>
      <c r="E407" s="19">
        <v>0.7</v>
      </c>
      <c r="F407" s="10">
        <v>4.0</v>
      </c>
      <c r="G407" s="11">
        <v>4390.0</v>
      </c>
      <c r="K407" s="23">
        <v>349.0</v>
      </c>
    </row>
    <row r="408">
      <c r="A408" s="7" t="s">
        <v>452</v>
      </c>
      <c r="B408" s="7" t="s">
        <v>380</v>
      </c>
      <c r="C408" s="8">
        <v>33999.0</v>
      </c>
      <c r="D408" s="8">
        <v>33999.0</v>
      </c>
      <c r="E408" s="19">
        <v>0.0</v>
      </c>
      <c r="F408" s="10">
        <v>4.3</v>
      </c>
      <c r="G408" s="11">
        <v>17415.0</v>
      </c>
      <c r="K408" s="23">
        <v>349.0</v>
      </c>
    </row>
    <row r="409">
      <c r="A409" s="7" t="s">
        <v>453</v>
      </c>
      <c r="B409" s="7" t="s">
        <v>454</v>
      </c>
      <c r="C409" s="8">
        <v>99.0</v>
      </c>
      <c r="D409" s="8">
        <v>999.0</v>
      </c>
      <c r="E409" s="19">
        <v>0.9</v>
      </c>
      <c r="F409" s="10">
        <v>4.0</v>
      </c>
      <c r="G409" s="11">
        <v>1396.0</v>
      </c>
      <c r="K409" s="23">
        <v>349.0</v>
      </c>
    </row>
    <row r="410">
      <c r="A410" s="7" t="s">
        <v>455</v>
      </c>
      <c r="B410" s="7" t="s">
        <v>393</v>
      </c>
      <c r="C410" s="8">
        <v>299.0</v>
      </c>
      <c r="D410" s="8">
        <v>1900.0</v>
      </c>
      <c r="E410" s="19">
        <v>0.84</v>
      </c>
      <c r="F410" s="10">
        <v>3.6</v>
      </c>
      <c r="G410" s="11">
        <v>18202.0</v>
      </c>
      <c r="K410" s="23">
        <v>349.0</v>
      </c>
    </row>
    <row r="411">
      <c r="A411" s="7" t="s">
        <v>456</v>
      </c>
      <c r="B411" s="7" t="s">
        <v>380</v>
      </c>
      <c r="C411" s="8">
        <v>10999.0</v>
      </c>
      <c r="D411" s="8">
        <v>14999.0</v>
      </c>
      <c r="E411" s="19">
        <v>0.27</v>
      </c>
      <c r="F411" s="10">
        <v>4.1</v>
      </c>
      <c r="G411" s="11">
        <v>18998.0</v>
      </c>
      <c r="K411" s="23">
        <v>349.0</v>
      </c>
    </row>
    <row r="412">
      <c r="A412" s="7" t="s">
        <v>457</v>
      </c>
      <c r="B412" s="7" t="s">
        <v>380</v>
      </c>
      <c r="C412" s="8">
        <v>34999.0</v>
      </c>
      <c r="D412" s="8">
        <v>38999.0</v>
      </c>
      <c r="E412" s="19">
        <v>0.1</v>
      </c>
      <c r="F412" s="10">
        <v>4.2</v>
      </c>
      <c r="G412" s="11">
        <v>11029.0</v>
      </c>
      <c r="K412" s="23">
        <v>349.0</v>
      </c>
    </row>
    <row r="413">
      <c r="A413" s="7" t="s">
        <v>416</v>
      </c>
      <c r="B413" s="7" t="s">
        <v>380</v>
      </c>
      <c r="C413" s="8">
        <v>16999.0</v>
      </c>
      <c r="D413" s="8">
        <v>24999.0</v>
      </c>
      <c r="E413" s="19">
        <v>0.32</v>
      </c>
      <c r="F413" s="10">
        <v>4.1</v>
      </c>
      <c r="G413" s="11">
        <v>22318.0</v>
      </c>
      <c r="K413" s="23">
        <v>349.0</v>
      </c>
    </row>
    <row r="414">
      <c r="A414" s="7" t="s">
        <v>458</v>
      </c>
      <c r="B414" s="7" t="s">
        <v>450</v>
      </c>
      <c r="C414" s="8">
        <v>199.0</v>
      </c>
      <c r="D414" s="8">
        <v>499.0</v>
      </c>
      <c r="E414" s="19">
        <v>0.6</v>
      </c>
      <c r="F414" s="10">
        <v>4.1</v>
      </c>
      <c r="G414" s="11">
        <v>1786.0</v>
      </c>
      <c r="K414" s="23">
        <v>349.0</v>
      </c>
    </row>
    <row r="415">
      <c r="A415" s="7" t="s">
        <v>459</v>
      </c>
      <c r="B415" s="7" t="s">
        <v>377</v>
      </c>
      <c r="C415" s="8">
        <v>999.0</v>
      </c>
      <c r="D415" s="8">
        <v>1599.0</v>
      </c>
      <c r="E415" s="19">
        <v>0.38</v>
      </c>
      <c r="F415" s="10">
        <v>4.0</v>
      </c>
      <c r="G415" s="11">
        <v>7222.0</v>
      </c>
      <c r="K415" s="23">
        <v>349.0</v>
      </c>
    </row>
    <row r="416">
      <c r="A416" s="7" t="s">
        <v>460</v>
      </c>
      <c r="B416" s="7" t="s">
        <v>389</v>
      </c>
      <c r="C416" s="8">
        <v>1299.0</v>
      </c>
      <c r="D416" s="8">
        <v>1599.0</v>
      </c>
      <c r="E416" s="19">
        <v>0.19</v>
      </c>
      <c r="F416" s="10">
        <v>4.0</v>
      </c>
      <c r="G416" s="7" t="s">
        <v>390</v>
      </c>
      <c r="K416" s="23">
        <v>349.0</v>
      </c>
    </row>
    <row r="417">
      <c r="A417" s="7" t="s">
        <v>461</v>
      </c>
      <c r="B417" s="7" t="s">
        <v>393</v>
      </c>
      <c r="C417" s="8">
        <v>599.0</v>
      </c>
      <c r="D417" s="8">
        <v>1800.0</v>
      </c>
      <c r="E417" s="19">
        <v>0.67</v>
      </c>
      <c r="F417" s="10">
        <v>3.5</v>
      </c>
      <c r="G417" s="11">
        <v>83996.0</v>
      </c>
      <c r="K417" s="23">
        <v>349.0</v>
      </c>
    </row>
    <row r="418">
      <c r="A418" s="7" t="s">
        <v>462</v>
      </c>
      <c r="B418" s="7" t="s">
        <v>386</v>
      </c>
      <c r="C418" s="8">
        <v>599.0</v>
      </c>
      <c r="D418" s="8">
        <v>1899.0</v>
      </c>
      <c r="E418" s="19">
        <v>0.68</v>
      </c>
      <c r="F418" s="10">
        <v>4.3</v>
      </c>
      <c r="G418" s="7" t="s">
        <v>443</v>
      </c>
      <c r="K418" s="23">
        <v>349.0</v>
      </c>
    </row>
    <row r="419">
      <c r="A419" s="7" t="s">
        <v>463</v>
      </c>
      <c r="B419" s="7" t="s">
        <v>377</v>
      </c>
      <c r="C419" s="8">
        <v>1799.0</v>
      </c>
      <c r="D419" s="8">
        <v>2499.0</v>
      </c>
      <c r="E419" s="19">
        <v>0.28</v>
      </c>
      <c r="F419" s="10">
        <v>4.1</v>
      </c>
      <c r="G419" s="11">
        <v>18678.0</v>
      </c>
      <c r="K419" s="23">
        <v>349.0</v>
      </c>
    </row>
    <row r="420">
      <c r="A420" s="7" t="s">
        <v>22</v>
      </c>
      <c r="B420" s="7" t="s">
        <v>15</v>
      </c>
      <c r="C420" s="8">
        <v>176.63</v>
      </c>
      <c r="D420" s="8">
        <v>499.0</v>
      </c>
      <c r="E420" s="19">
        <v>0.65</v>
      </c>
      <c r="F420" s="10">
        <v>4.1</v>
      </c>
      <c r="G420" s="11">
        <v>15189.0</v>
      </c>
      <c r="K420" s="23">
        <v>349.0</v>
      </c>
    </row>
    <row r="421">
      <c r="A421" s="7" t="s">
        <v>464</v>
      </c>
      <c r="B421" s="7" t="s">
        <v>380</v>
      </c>
      <c r="C421" s="8">
        <v>10999.0</v>
      </c>
      <c r="D421" s="8">
        <v>14999.0</v>
      </c>
      <c r="E421" s="19">
        <v>0.27</v>
      </c>
      <c r="F421" s="10">
        <v>4.1</v>
      </c>
      <c r="G421" s="11">
        <v>18998.0</v>
      </c>
      <c r="K421" s="23">
        <v>349.0</v>
      </c>
    </row>
    <row r="422">
      <c r="A422" s="7" t="s">
        <v>465</v>
      </c>
      <c r="B422" s="7" t="s">
        <v>373</v>
      </c>
      <c r="C422" s="8">
        <v>2999.0</v>
      </c>
      <c r="D422" s="8">
        <v>7990.0</v>
      </c>
      <c r="E422" s="19">
        <v>0.62</v>
      </c>
      <c r="F422" s="10">
        <v>4.1</v>
      </c>
      <c r="G422" s="11">
        <v>48449.0</v>
      </c>
      <c r="K422" s="23">
        <v>349.0</v>
      </c>
    </row>
    <row r="423">
      <c r="A423" s="7" t="s">
        <v>466</v>
      </c>
      <c r="B423" s="7" t="s">
        <v>373</v>
      </c>
      <c r="C423" s="8">
        <v>1999.0</v>
      </c>
      <c r="D423" s="8">
        <v>7990.0</v>
      </c>
      <c r="E423" s="19">
        <v>0.75</v>
      </c>
      <c r="F423" s="10">
        <v>3.8</v>
      </c>
      <c r="G423" s="11">
        <v>17831.0</v>
      </c>
      <c r="K423" s="23">
        <v>349.0</v>
      </c>
    </row>
    <row r="424">
      <c r="A424" s="7" t="s">
        <v>23</v>
      </c>
      <c r="B424" s="7" t="s">
        <v>15</v>
      </c>
      <c r="C424" s="8">
        <v>229.0</v>
      </c>
      <c r="D424" s="8">
        <v>299.0</v>
      </c>
      <c r="E424" s="19">
        <v>0.23</v>
      </c>
      <c r="F424" s="10">
        <v>4.3</v>
      </c>
      <c r="G424" s="11">
        <v>30411.0</v>
      </c>
      <c r="K424" s="23">
        <v>349.0</v>
      </c>
    </row>
    <row r="425">
      <c r="A425" s="7" t="s">
        <v>27</v>
      </c>
      <c r="B425" s="7" t="s">
        <v>15</v>
      </c>
      <c r="C425" s="8">
        <v>199.0</v>
      </c>
      <c r="D425" s="8">
        <v>299.0</v>
      </c>
      <c r="E425" s="19">
        <v>0.33</v>
      </c>
      <c r="F425" s="10">
        <v>4.0</v>
      </c>
      <c r="G425" s="11">
        <v>43994.0</v>
      </c>
      <c r="K425" s="23">
        <v>349.0</v>
      </c>
    </row>
    <row r="426">
      <c r="A426" s="7" t="s">
        <v>467</v>
      </c>
      <c r="B426" s="7" t="s">
        <v>409</v>
      </c>
      <c r="C426" s="8">
        <v>649.0</v>
      </c>
      <c r="D426" s="8">
        <v>999.0</v>
      </c>
      <c r="E426" s="19">
        <v>0.35</v>
      </c>
      <c r="F426" s="10">
        <v>4.2</v>
      </c>
      <c r="G426" s="11">
        <v>1315.0</v>
      </c>
      <c r="K426" s="23">
        <v>349.0</v>
      </c>
    </row>
    <row r="427">
      <c r="A427" s="7" t="s">
        <v>445</v>
      </c>
      <c r="B427" s="7" t="s">
        <v>380</v>
      </c>
      <c r="C427" s="8">
        <v>13999.0</v>
      </c>
      <c r="D427" s="8">
        <v>19499.0</v>
      </c>
      <c r="E427" s="19">
        <v>0.28</v>
      </c>
      <c r="F427" s="10">
        <v>4.1</v>
      </c>
      <c r="G427" s="11">
        <v>18998.0</v>
      </c>
      <c r="K427" s="23">
        <v>350.0</v>
      </c>
    </row>
    <row r="428">
      <c r="A428" s="7" t="s">
        <v>468</v>
      </c>
      <c r="B428" s="7" t="s">
        <v>469</v>
      </c>
      <c r="C428" s="8">
        <v>119.0</v>
      </c>
      <c r="D428" s="8">
        <v>299.0</v>
      </c>
      <c r="E428" s="19">
        <v>0.6</v>
      </c>
      <c r="F428" s="10">
        <v>4.1</v>
      </c>
      <c r="G428" s="11">
        <v>5999.0</v>
      </c>
      <c r="K428" s="23">
        <v>350.0</v>
      </c>
    </row>
    <row r="429">
      <c r="A429" s="7" t="s">
        <v>470</v>
      </c>
      <c r="B429" s="7" t="s">
        <v>380</v>
      </c>
      <c r="C429" s="8">
        <v>12999.0</v>
      </c>
      <c r="D429" s="8">
        <v>17999.0</v>
      </c>
      <c r="E429" s="19">
        <v>0.28</v>
      </c>
      <c r="F429" s="10">
        <v>4.1</v>
      </c>
      <c r="G429" s="11">
        <v>50772.0</v>
      </c>
      <c r="K429" s="23">
        <v>350.0</v>
      </c>
    </row>
    <row r="430">
      <c r="A430" s="7" t="s">
        <v>28</v>
      </c>
      <c r="B430" s="7" t="s">
        <v>15</v>
      </c>
      <c r="C430" s="8">
        <v>154.0</v>
      </c>
      <c r="D430" s="8">
        <v>339.0</v>
      </c>
      <c r="E430" s="19">
        <v>0.55</v>
      </c>
      <c r="F430" s="10">
        <v>4.3</v>
      </c>
      <c r="G430" s="11">
        <v>13391.0</v>
      </c>
      <c r="K430" s="23">
        <v>350.0</v>
      </c>
    </row>
    <row r="431">
      <c r="A431" s="7" t="s">
        <v>471</v>
      </c>
      <c r="B431" s="7" t="s">
        <v>380</v>
      </c>
      <c r="C431" s="8">
        <v>20999.0</v>
      </c>
      <c r="D431" s="8">
        <v>26999.0</v>
      </c>
      <c r="E431" s="19">
        <v>0.22</v>
      </c>
      <c r="F431" s="10">
        <v>3.9</v>
      </c>
      <c r="G431" s="11">
        <v>25824.0</v>
      </c>
      <c r="K431" s="23">
        <v>351.0</v>
      </c>
    </row>
    <row r="432">
      <c r="A432" s="7" t="s">
        <v>472</v>
      </c>
      <c r="B432" s="7" t="s">
        <v>409</v>
      </c>
      <c r="C432" s="8">
        <v>249.0</v>
      </c>
      <c r="D432" s="8">
        <v>649.0</v>
      </c>
      <c r="E432" s="19">
        <v>0.62</v>
      </c>
      <c r="F432" s="10">
        <v>4.0</v>
      </c>
      <c r="G432" s="11">
        <v>14404.0</v>
      </c>
      <c r="K432" s="23">
        <v>351.0</v>
      </c>
    </row>
    <row r="433">
      <c r="A433" s="7" t="s">
        <v>473</v>
      </c>
      <c r="B433" s="7" t="s">
        <v>409</v>
      </c>
      <c r="C433" s="8">
        <v>99.0</v>
      </c>
      <c r="D433" s="8">
        <v>171.0</v>
      </c>
      <c r="E433" s="19">
        <v>0.42</v>
      </c>
      <c r="F433" s="10">
        <v>4.5</v>
      </c>
      <c r="G433" s="11">
        <v>11339.0</v>
      </c>
      <c r="K433" s="23">
        <v>351.0</v>
      </c>
    </row>
    <row r="434">
      <c r="A434" s="7" t="s">
        <v>474</v>
      </c>
      <c r="B434" s="7" t="s">
        <v>407</v>
      </c>
      <c r="C434" s="8">
        <v>489.0</v>
      </c>
      <c r="D434" s="8">
        <v>1999.0</v>
      </c>
      <c r="E434" s="19">
        <v>0.76</v>
      </c>
      <c r="F434" s="10">
        <v>4.0</v>
      </c>
      <c r="G434" s="11">
        <v>3626.0</v>
      </c>
      <c r="K434" s="23">
        <v>353.0</v>
      </c>
    </row>
    <row r="435">
      <c r="A435" s="7" t="s">
        <v>475</v>
      </c>
      <c r="B435" s="7" t="s">
        <v>386</v>
      </c>
      <c r="C435" s="8">
        <v>369.0</v>
      </c>
      <c r="D435" s="8">
        <v>1600.0</v>
      </c>
      <c r="E435" s="19">
        <v>0.77</v>
      </c>
      <c r="F435" s="10">
        <v>4.0</v>
      </c>
      <c r="G435" s="11">
        <v>32625.0</v>
      </c>
      <c r="K435" s="23">
        <v>354.0</v>
      </c>
    </row>
    <row r="436">
      <c r="A436" s="7" t="s">
        <v>476</v>
      </c>
      <c r="B436" s="7" t="s">
        <v>380</v>
      </c>
      <c r="C436" s="8">
        <v>15499.0</v>
      </c>
      <c r="D436" s="8">
        <v>20999.0</v>
      </c>
      <c r="E436" s="19">
        <v>0.26</v>
      </c>
      <c r="F436" s="10">
        <v>4.1</v>
      </c>
      <c r="G436" s="11">
        <v>19252.0</v>
      </c>
      <c r="K436" s="23">
        <v>355.0</v>
      </c>
    </row>
    <row r="437">
      <c r="A437" s="7" t="s">
        <v>477</v>
      </c>
      <c r="B437" s="7" t="s">
        <v>380</v>
      </c>
      <c r="C437" s="8">
        <v>15499.0</v>
      </c>
      <c r="D437" s="8">
        <v>18999.0</v>
      </c>
      <c r="E437" s="19">
        <v>0.18</v>
      </c>
      <c r="F437" s="10">
        <v>4.1</v>
      </c>
      <c r="G437" s="11">
        <v>19252.0</v>
      </c>
      <c r="K437" s="23">
        <v>365.0</v>
      </c>
    </row>
    <row r="438">
      <c r="A438" s="7" t="s">
        <v>478</v>
      </c>
      <c r="B438" s="7" t="s">
        <v>380</v>
      </c>
      <c r="C438" s="8">
        <v>22999.0</v>
      </c>
      <c r="D438" s="8">
        <v>28999.0</v>
      </c>
      <c r="E438" s="19">
        <v>0.21</v>
      </c>
      <c r="F438" s="10">
        <v>3.9</v>
      </c>
      <c r="G438" s="11">
        <v>25824.0</v>
      </c>
      <c r="K438" s="23">
        <v>368.0</v>
      </c>
    </row>
    <row r="439">
      <c r="A439" s="7" t="s">
        <v>479</v>
      </c>
      <c r="B439" s="7" t="s">
        <v>393</v>
      </c>
      <c r="C439" s="8">
        <v>599.0</v>
      </c>
      <c r="D439" s="8">
        <v>1490.0</v>
      </c>
      <c r="E439" s="19">
        <v>0.6</v>
      </c>
      <c r="F439" s="10">
        <v>4.1</v>
      </c>
      <c r="G439" s="7" t="s">
        <v>480</v>
      </c>
      <c r="K439" s="23">
        <v>368.0</v>
      </c>
    </row>
    <row r="440">
      <c r="A440" s="7" t="s">
        <v>481</v>
      </c>
      <c r="B440" s="7" t="s">
        <v>450</v>
      </c>
      <c r="C440" s="8">
        <v>134.0</v>
      </c>
      <c r="D440" s="8">
        <v>699.0</v>
      </c>
      <c r="E440" s="19">
        <v>0.81</v>
      </c>
      <c r="F440" s="10">
        <v>4.1</v>
      </c>
      <c r="G440" s="11">
        <v>16685.0</v>
      </c>
      <c r="K440" s="23">
        <v>369.0</v>
      </c>
    </row>
    <row r="441">
      <c r="A441" s="7" t="s">
        <v>482</v>
      </c>
      <c r="B441" s="7" t="s">
        <v>380</v>
      </c>
      <c r="C441" s="8">
        <v>7499.0</v>
      </c>
      <c r="D441" s="8">
        <v>7999.0</v>
      </c>
      <c r="E441" s="19">
        <v>0.06</v>
      </c>
      <c r="F441" s="10">
        <v>4.0</v>
      </c>
      <c r="G441" s="11">
        <v>30907.0</v>
      </c>
      <c r="K441" s="23">
        <v>369.0</v>
      </c>
    </row>
    <row r="442">
      <c r="A442" s="7" t="s">
        <v>483</v>
      </c>
      <c r="B442" s="7" t="s">
        <v>377</v>
      </c>
      <c r="C442" s="8">
        <v>1149.0</v>
      </c>
      <c r="D442" s="8">
        <v>2199.0</v>
      </c>
      <c r="E442" s="19">
        <v>0.48</v>
      </c>
      <c r="F442" s="10">
        <v>4.3</v>
      </c>
      <c r="G442" s="7" t="s">
        <v>378</v>
      </c>
      <c r="K442" s="23">
        <v>369.0</v>
      </c>
    </row>
    <row r="443">
      <c r="A443" s="7" t="s">
        <v>484</v>
      </c>
      <c r="B443" s="7" t="s">
        <v>389</v>
      </c>
      <c r="C443" s="8">
        <v>1324.0</v>
      </c>
      <c r="D443" s="8">
        <v>1699.0</v>
      </c>
      <c r="E443" s="19">
        <v>0.22</v>
      </c>
      <c r="F443" s="10">
        <v>4.0</v>
      </c>
      <c r="G443" s="7" t="s">
        <v>390</v>
      </c>
      <c r="K443" s="23">
        <v>369.0</v>
      </c>
    </row>
    <row r="444">
      <c r="A444" s="7" t="s">
        <v>485</v>
      </c>
      <c r="B444" s="7" t="s">
        <v>380</v>
      </c>
      <c r="C444" s="8">
        <v>13999.0</v>
      </c>
      <c r="D444" s="8">
        <v>19999.0</v>
      </c>
      <c r="E444" s="19">
        <v>0.3</v>
      </c>
      <c r="F444" s="10">
        <v>4.1</v>
      </c>
      <c r="G444" s="11">
        <v>19252.0</v>
      </c>
      <c r="K444" s="23">
        <v>375.0</v>
      </c>
    </row>
    <row r="445">
      <c r="A445" s="7" t="s">
        <v>29</v>
      </c>
      <c r="B445" s="7" t="s">
        <v>15</v>
      </c>
      <c r="C445" s="8">
        <v>299.0</v>
      </c>
      <c r="D445" s="8">
        <v>799.0</v>
      </c>
      <c r="E445" s="19">
        <v>0.63</v>
      </c>
      <c r="F445" s="10">
        <v>4.2</v>
      </c>
      <c r="G445" s="11">
        <v>94364.0</v>
      </c>
      <c r="K445" s="23">
        <v>378.0</v>
      </c>
    </row>
    <row r="446">
      <c r="A446" s="7" t="s">
        <v>486</v>
      </c>
      <c r="B446" s="7" t="s">
        <v>377</v>
      </c>
      <c r="C446" s="8">
        <v>999.0</v>
      </c>
      <c r="D446" s="8">
        <v>1599.0</v>
      </c>
      <c r="E446" s="19">
        <v>0.38</v>
      </c>
      <c r="F446" s="10">
        <v>4.0</v>
      </c>
      <c r="G446" s="11">
        <v>7222.0</v>
      </c>
      <c r="K446" s="23">
        <v>379.0</v>
      </c>
    </row>
    <row r="447">
      <c r="A447" s="7" t="s">
        <v>487</v>
      </c>
      <c r="B447" s="7" t="s">
        <v>380</v>
      </c>
      <c r="C447" s="8">
        <v>12999.0</v>
      </c>
      <c r="D447" s="8">
        <v>17999.0</v>
      </c>
      <c r="E447" s="19">
        <v>0.28</v>
      </c>
      <c r="F447" s="10">
        <v>4.1</v>
      </c>
      <c r="G447" s="11">
        <v>18998.0</v>
      </c>
      <c r="K447" s="23">
        <v>379.0</v>
      </c>
    </row>
    <row r="448">
      <c r="A448" s="7" t="s">
        <v>488</v>
      </c>
      <c r="B448" s="7" t="s">
        <v>380</v>
      </c>
      <c r="C448" s="8">
        <v>15490.0</v>
      </c>
      <c r="D448" s="8">
        <v>20990.0</v>
      </c>
      <c r="E448" s="19">
        <v>0.26</v>
      </c>
      <c r="F448" s="10">
        <v>4.2</v>
      </c>
      <c r="G448" s="11">
        <v>32916.0</v>
      </c>
      <c r="K448" s="23">
        <v>379.0</v>
      </c>
    </row>
    <row r="449">
      <c r="A449" s="7" t="s">
        <v>489</v>
      </c>
      <c r="B449" s="7" t="s">
        <v>490</v>
      </c>
      <c r="C449" s="8">
        <v>999.0</v>
      </c>
      <c r="D449" s="8">
        <v>2899.0</v>
      </c>
      <c r="E449" s="19">
        <v>0.66</v>
      </c>
      <c r="F449" s="10">
        <v>4.6</v>
      </c>
      <c r="G449" s="11">
        <v>26603.0</v>
      </c>
      <c r="K449" s="23">
        <v>379.0</v>
      </c>
    </row>
    <row r="450">
      <c r="A450" s="7" t="s">
        <v>491</v>
      </c>
      <c r="B450" s="7" t="s">
        <v>373</v>
      </c>
      <c r="C450" s="8">
        <v>1599.0</v>
      </c>
      <c r="D450" s="8">
        <v>4999.0</v>
      </c>
      <c r="E450" s="19">
        <v>0.68</v>
      </c>
      <c r="F450" s="10">
        <v>4.0</v>
      </c>
      <c r="G450" s="11">
        <v>67950.0</v>
      </c>
      <c r="K450" s="23">
        <v>379.0</v>
      </c>
    </row>
    <row r="451">
      <c r="A451" s="7" t="s">
        <v>492</v>
      </c>
      <c r="B451" s="7" t="s">
        <v>389</v>
      </c>
      <c r="C451" s="8">
        <v>1324.0</v>
      </c>
      <c r="D451" s="8">
        <v>1699.0</v>
      </c>
      <c r="E451" s="19">
        <v>0.22</v>
      </c>
      <c r="F451" s="10">
        <v>4.0</v>
      </c>
      <c r="G451" s="7" t="s">
        <v>390</v>
      </c>
      <c r="K451" s="23">
        <v>379.0</v>
      </c>
    </row>
    <row r="452">
      <c r="A452" s="7" t="s">
        <v>493</v>
      </c>
      <c r="B452" s="7" t="s">
        <v>380</v>
      </c>
      <c r="C452" s="8">
        <v>20999.0</v>
      </c>
      <c r="D452" s="8">
        <v>29990.0</v>
      </c>
      <c r="E452" s="19">
        <v>0.3</v>
      </c>
      <c r="F452" s="10">
        <v>4.3</v>
      </c>
      <c r="G452" s="11">
        <v>9499.0</v>
      </c>
      <c r="K452" s="23">
        <v>379.0</v>
      </c>
    </row>
    <row r="453">
      <c r="A453" s="7" t="s">
        <v>494</v>
      </c>
      <c r="B453" s="7" t="s">
        <v>409</v>
      </c>
      <c r="C453" s="8">
        <v>999.0</v>
      </c>
      <c r="D453" s="8">
        <v>1999.0</v>
      </c>
      <c r="E453" s="19">
        <v>0.5</v>
      </c>
      <c r="F453" s="10">
        <v>4.3</v>
      </c>
      <c r="G453" s="11">
        <v>1777.0</v>
      </c>
      <c r="K453" s="23">
        <v>379.0</v>
      </c>
    </row>
    <row r="454">
      <c r="A454" s="7" t="s">
        <v>495</v>
      </c>
      <c r="B454" s="7" t="s">
        <v>380</v>
      </c>
      <c r="C454" s="8">
        <v>12490.0</v>
      </c>
      <c r="D454" s="8">
        <v>15990.0</v>
      </c>
      <c r="E454" s="19">
        <v>0.22</v>
      </c>
      <c r="F454" s="10">
        <v>4.2</v>
      </c>
      <c r="G454" s="11">
        <v>58506.0</v>
      </c>
      <c r="K454" s="23">
        <v>379.0</v>
      </c>
    </row>
    <row r="455">
      <c r="A455" s="7" t="s">
        <v>496</v>
      </c>
      <c r="B455" s="7" t="s">
        <v>380</v>
      </c>
      <c r="C455" s="8">
        <v>17999.0</v>
      </c>
      <c r="D455" s="8">
        <v>21990.0</v>
      </c>
      <c r="E455" s="19">
        <v>0.18</v>
      </c>
      <c r="F455" s="10">
        <v>4.0</v>
      </c>
      <c r="G455" s="11">
        <v>21350.0</v>
      </c>
      <c r="K455" s="23">
        <v>379.0</v>
      </c>
    </row>
    <row r="456">
      <c r="A456" s="7" t="s">
        <v>33</v>
      </c>
      <c r="B456" s="7" t="s">
        <v>15</v>
      </c>
      <c r="C456" s="8">
        <v>350.0</v>
      </c>
      <c r="D456" s="8">
        <v>899.0</v>
      </c>
      <c r="E456" s="19">
        <v>0.61</v>
      </c>
      <c r="F456" s="10">
        <v>4.2</v>
      </c>
      <c r="G456" s="11">
        <v>2263.0</v>
      </c>
      <c r="K456" s="23">
        <v>380.0</v>
      </c>
    </row>
    <row r="457">
      <c r="A457" s="7" t="s">
        <v>497</v>
      </c>
      <c r="B457" s="7" t="s">
        <v>389</v>
      </c>
      <c r="C457" s="8">
        <v>1399.0</v>
      </c>
      <c r="D457" s="8">
        <v>1630.0</v>
      </c>
      <c r="E457" s="19">
        <v>0.14</v>
      </c>
      <c r="F457" s="10">
        <v>4.0</v>
      </c>
      <c r="G457" s="11">
        <v>9378.0</v>
      </c>
      <c r="K457" s="23">
        <v>389.0</v>
      </c>
    </row>
    <row r="458">
      <c r="A458" s="7" t="s">
        <v>34</v>
      </c>
      <c r="B458" s="7" t="s">
        <v>15</v>
      </c>
      <c r="C458" s="8">
        <v>159.0</v>
      </c>
      <c r="D458" s="8">
        <v>399.0</v>
      </c>
      <c r="E458" s="19">
        <v>0.6</v>
      </c>
      <c r="F458" s="10">
        <v>4.1</v>
      </c>
      <c r="G458" s="11">
        <v>4768.0</v>
      </c>
      <c r="K458" s="23">
        <v>389.0</v>
      </c>
    </row>
    <row r="459">
      <c r="A459" s="7" t="s">
        <v>498</v>
      </c>
      <c r="B459" s="7" t="s">
        <v>373</v>
      </c>
      <c r="C459" s="8">
        <v>1499.0</v>
      </c>
      <c r="D459" s="8">
        <v>6990.0</v>
      </c>
      <c r="E459" s="19">
        <v>0.79</v>
      </c>
      <c r="F459" s="10">
        <v>3.9</v>
      </c>
      <c r="G459" s="11">
        <v>21796.0</v>
      </c>
      <c r="K459" s="23">
        <v>389.0</v>
      </c>
    </row>
    <row r="460">
      <c r="A460" s="7" t="s">
        <v>499</v>
      </c>
      <c r="B460" s="7" t="s">
        <v>373</v>
      </c>
      <c r="C460" s="8">
        <v>1999.0</v>
      </c>
      <c r="D460" s="8">
        <v>7990.0</v>
      </c>
      <c r="E460" s="19">
        <v>0.75</v>
      </c>
      <c r="F460" s="10">
        <v>3.8</v>
      </c>
      <c r="G460" s="11">
        <v>17833.0</v>
      </c>
      <c r="K460" s="23">
        <v>390.0</v>
      </c>
    </row>
    <row r="461">
      <c r="A461" s="7" t="s">
        <v>500</v>
      </c>
      <c r="B461" s="7" t="s">
        <v>490</v>
      </c>
      <c r="C461" s="8">
        <v>999.0</v>
      </c>
      <c r="D461" s="8">
        <v>2899.0</v>
      </c>
      <c r="E461" s="19">
        <v>0.66</v>
      </c>
      <c r="F461" s="10">
        <v>4.7</v>
      </c>
      <c r="G461" s="11">
        <v>7779.0</v>
      </c>
      <c r="K461" s="23">
        <v>395.0</v>
      </c>
    </row>
    <row r="462">
      <c r="A462" s="7" t="s">
        <v>501</v>
      </c>
      <c r="B462" s="7" t="s">
        <v>502</v>
      </c>
      <c r="C462" s="8">
        <v>2099.0</v>
      </c>
      <c r="D462" s="8">
        <v>5999.0</v>
      </c>
      <c r="E462" s="19">
        <v>0.65</v>
      </c>
      <c r="F462" s="10">
        <v>4.3</v>
      </c>
      <c r="G462" s="11">
        <v>17129.0</v>
      </c>
      <c r="K462" s="23">
        <v>397.0</v>
      </c>
    </row>
    <row r="463">
      <c r="A463" s="7" t="s">
        <v>503</v>
      </c>
      <c r="B463" s="7" t="s">
        <v>399</v>
      </c>
      <c r="C463" s="8">
        <v>337.0</v>
      </c>
      <c r="D463" s="8">
        <v>699.0</v>
      </c>
      <c r="E463" s="19">
        <v>0.52</v>
      </c>
      <c r="F463" s="10">
        <v>4.2</v>
      </c>
      <c r="G463" s="11">
        <v>4969.0</v>
      </c>
      <c r="K463" s="23">
        <v>398.0</v>
      </c>
    </row>
    <row r="464">
      <c r="A464" s="7" t="s">
        <v>504</v>
      </c>
      <c r="B464" s="7" t="s">
        <v>373</v>
      </c>
      <c r="C464" s="8">
        <v>2999.0</v>
      </c>
      <c r="D464" s="8">
        <v>7990.0</v>
      </c>
      <c r="E464" s="19">
        <v>0.62</v>
      </c>
      <c r="F464" s="10">
        <v>4.1</v>
      </c>
      <c r="G464" s="10">
        <v>154.0</v>
      </c>
      <c r="K464" s="23">
        <v>398.0</v>
      </c>
    </row>
    <row r="465">
      <c r="A465" s="7" t="s">
        <v>505</v>
      </c>
      <c r="B465" s="7" t="s">
        <v>373</v>
      </c>
      <c r="C465" s="8">
        <v>1299.0</v>
      </c>
      <c r="D465" s="8">
        <v>5999.0</v>
      </c>
      <c r="E465" s="19">
        <v>0.78</v>
      </c>
      <c r="F465" s="10">
        <v>3.3</v>
      </c>
      <c r="G465" s="11">
        <v>4415.0</v>
      </c>
      <c r="K465" s="23">
        <v>399.0</v>
      </c>
    </row>
    <row r="466">
      <c r="A466" s="7" t="s">
        <v>35</v>
      </c>
      <c r="B466" s="7" t="s">
        <v>15</v>
      </c>
      <c r="C466" s="8">
        <v>349.0</v>
      </c>
      <c r="D466" s="8">
        <v>399.0</v>
      </c>
      <c r="E466" s="19">
        <v>0.13</v>
      </c>
      <c r="F466" s="10">
        <v>4.4</v>
      </c>
      <c r="G466" s="11">
        <v>18757.0</v>
      </c>
      <c r="K466" s="23">
        <v>399.0</v>
      </c>
    </row>
    <row r="467">
      <c r="A467" s="7" t="s">
        <v>506</v>
      </c>
      <c r="B467" s="7" t="s">
        <v>380</v>
      </c>
      <c r="C467" s="8">
        <v>16499.0</v>
      </c>
      <c r="D467" s="8">
        <v>20990.0</v>
      </c>
      <c r="E467" s="19">
        <v>0.21</v>
      </c>
      <c r="F467" s="10">
        <v>4.0</v>
      </c>
      <c r="G467" s="11">
        <v>21350.0</v>
      </c>
      <c r="K467" s="23">
        <v>399.0</v>
      </c>
    </row>
    <row r="468">
      <c r="A468" s="7" t="s">
        <v>507</v>
      </c>
      <c r="B468" s="7" t="s">
        <v>393</v>
      </c>
      <c r="C468" s="8">
        <v>499.0</v>
      </c>
      <c r="D468" s="8">
        <v>499.0</v>
      </c>
      <c r="E468" s="19">
        <v>0.0</v>
      </c>
      <c r="F468" s="10">
        <v>4.2</v>
      </c>
      <c r="G468" s="11">
        <v>31539.0</v>
      </c>
      <c r="K468" s="23">
        <v>399.0</v>
      </c>
    </row>
    <row r="469">
      <c r="A469" s="7" t="s">
        <v>41</v>
      </c>
      <c r="B469" s="7" t="s">
        <v>15</v>
      </c>
      <c r="C469" s="8">
        <v>970.0</v>
      </c>
      <c r="D469" s="8">
        <v>1799.0</v>
      </c>
      <c r="E469" s="19">
        <v>0.46</v>
      </c>
      <c r="F469" s="10">
        <v>4.5</v>
      </c>
      <c r="G469" s="10">
        <v>815.0</v>
      </c>
      <c r="K469" s="23">
        <v>399.0</v>
      </c>
    </row>
    <row r="470">
      <c r="A470" s="7" t="s">
        <v>508</v>
      </c>
      <c r="B470" s="7" t="s">
        <v>490</v>
      </c>
      <c r="C470" s="8">
        <v>999.0</v>
      </c>
      <c r="D470" s="8">
        <v>2899.0</v>
      </c>
      <c r="E470" s="19">
        <v>0.66</v>
      </c>
      <c r="F470" s="10">
        <v>4.6</v>
      </c>
      <c r="G470" s="11">
        <v>6129.0</v>
      </c>
      <c r="K470" s="23">
        <v>399.0</v>
      </c>
    </row>
    <row r="471">
      <c r="A471" s="7" t="s">
        <v>509</v>
      </c>
      <c r="B471" s="7" t="s">
        <v>380</v>
      </c>
      <c r="C471" s="8">
        <v>10499.0</v>
      </c>
      <c r="D471" s="8">
        <v>13499.0</v>
      </c>
      <c r="E471" s="19">
        <v>0.22</v>
      </c>
      <c r="F471" s="10">
        <v>4.2</v>
      </c>
      <c r="G471" s="10">
        <v>284.0</v>
      </c>
      <c r="K471" s="23">
        <v>399.0</v>
      </c>
    </row>
    <row r="472">
      <c r="A472" s="7" t="s">
        <v>38</v>
      </c>
      <c r="B472" s="7" t="s">
        <v>15</v>
      </c>
      <c r="C472" s="8">
        <v>249.0</v>
      </c>
      <c r="D472" s="8">
        <v>399.0</v>
      </c>
      <c r="E472" s="19">
        <v>0.38</v>
      </c>
      <c r="F472" s="10">
        <v>4.0</v>
      </c>
      <c r="G472" s="11">
        <v>43994.0</v>
      </c>
      <c r="K472" s="23">
        <v>399.0</v>
      </c>
    </row>
    <row r="473">
      <c r="A473" s="7" t="s">
        <v>510</v>
      </c>
      <c r="B473" s="7" t="s">
        <v>511</v>
      </c>
      <c r="C473" s="8">
        <v>251.0</v>
      </c>
      <c r="D473" s="8">
        <v>999.0</v>
      </c>
      <c r="E473" s="19">
        <v>0.75</v>
      </c>
      <c r="F473" s="10">
        <v>3.7</v>
      </c>
      <c r="G473" s="11">
        <v>3234.0</v>
      </c>
      <c r="K473" s="23">
        <v>399.0</v>
      </c>
    </row>
    <row r="474">
      <c r="A474" s="7" t="s">
        <v>39</v>
      </c>
      <c r="B474" s="7" t="s">
        <v>15</v>
      </c>
      <c r="C474" s="8">
        <v>199.0</v>
      </c>
      <c r="D474" s="8">
        <v>499.0</v>
      </c>
      <c r="E474" s="19">
        <v>0.6</v>
      </c>
      <c r="F474" s="10">
        <v>4.1</v>
      </c>
      <c r="G474" s="11">
        <v>13045.0</v>
      </c>
      <c r="K474" s="23">
        <v>399.0</v>
      </c>
    </row>
    <row r="475">
      <c r="A475" s="7" t="s">
        <v>512</v>
      </c>
      <c r="B475" s="7" t="s">
        <v>380</v>
      </c>
      <c r="C475" s="8">
        <v>6499.0</v>
      </c>
      <c r="D475" s="8">
        <v>7999.0</v>
      </c>
      <c r="E475" s="19">
        <v>0.19</v>
      </c>
      <c r="F475" s="10">
        <v>4.1</v>
      </c>
      <c r="G475" s="7" t="s">
        <v>513</v>
      </c>
      <c r="K475" s="23">
        <v>399.0</v>
      </c>
    </row>
    <row r="476">
      <c r="A476" s="7" t="s">
        <v>514</v>
      </c>
      <c r="B476" s="7" t="s">
        <v>373</v>
      </c>
      <c r="C476" s="8">
        <v>2999.0</v>
      </c>
      <c r="D476" s="8">
        <v>9999.0</v>
      </c>
      <c r="E476" s="19">
        <v>0.7</v>
      </c>
      <c r="F476" s="10">
        <v>4.2</v>
      </c>
      <c r="G476" s="11">
        <v>20879.0</v>
      </c>
      <c r="K476" s="23">
        <v>399.0</v>
      </c>
    </row>
    <row r="477">
      <c r="A477" s="7" t="s">
        <v>515</v>
      </c>
      <c r="B477" s="7" t="s">
        <v>516</v>
      </c>
      <c r="C477" s="8">
        <v>279.0</v>
      </c>
      <c r="D477" s="8">
        <v>1499.0</v>
      </c>
      <c r="E477" s="19">
        <v>0.81</v>
      </c>
      <c r="F477" s="10">
        <v>4.2</v>
      </c>
      <c r="G477" s="11">
        <v>2646.0</v>
      </c>
      <c r="K477" s="23">
        <v>399.0</v>
      </c>
    </row>
    <row r="478">
      <c r="A478" s="7" t="s">
        <v>517</v>
      </c>
      <c r="B478" s="7" t="s">
        <v>450</v>
      </c>
      <c r="C478" s="8">
        <v>269.0</v>
      </c>
      <c r="D478" s="8">
        <v>1499.0</v>
      </c>
      <c r="E478" s="19">
        <v>0.82</v>
      </c>
      <c r="F478" s="10">
        <v>4.5</v>
      </c>
      <c r="G478" s="11">
        <v>28978.0</v>
      </c>
      <c r="K478" s="23">
        <v>399.0</v>
      </c>
    </row>
    <row r="479">
      <c r="A479" s="7" t="s">
        <v>518</v>
      </c>
      <c r="B479" s="7" t="s">
        <v>380</v>
      </c>
      <c r="C479" s="8">
        <v>8999.0</v>
      </c>
      <c r="D479" s="8">
        <v>13499.0</v>
      </c>
      <c r="E479" s="19">
        <v>0.33</v>
      </c>
      <c r="F479" s="10">
        <v>3.8</v>
      </c>
      <c r="G479" s="11">
        <v>3145.0</v>
      </c>
      <c r="K479" s="23">
        <v>399.0</v>
      </c>
    </row>
    <row r="480">
      <c r="A480" s="7" t="s">
        <v>44</v>
      </c>
      <c r="B480" s="7" t="s">
        <v>15</v>
      </c>
      <c r="C480" s="8">
        <v>59.0</v>
      </c>
      <c r="D480" s="8">
        <v>199.0</v>
      </c>
      <c r="E480" s="19">
        <v>0.7</v>
      </c>
      <c r="F480" s="10">
        <v>4.0</v>
      </c>
      <c r="G480" s="11">
        <v>9377.0</v>
      </c>
      <c r="K480" s="23">
        <v>399.0</v>
      </c>
    </row>
    <row r="481">
      <c r="A481" s="7" t="s">
        <v>519</v>
      </c>
      <c r="B481" s="7" t="s">
        <v>393</v>
      </c>
      <c r="C481" s="8">
        <v>599.0</v>
      </c>
      <c r="D481" s="8">
        <v>1299.0</v>
      </c>
      <c r="E481" s="19">
        <v>0.54</v>
      </c>
      <c r="F481" s="10">
        <v>4.1</v>
      </c>
      <c r="G481" s="7" t="s">
        <v>520</v>
      </c>
      <c r="K481" s="23">
        <v>399.0</v>
      </c>
    </row>
    <row r="482">
      <c r="A482" s="7" t="s">
        <v>521</v>
      </c>
      <c r="B482" s="7" t="s">
        <v>502</v>
      </c>
      <c r="C482" s="8">
        <v>349.0</v>
      </c>
      <c r="D482" s="8">
        <v>999.0</v>
      </c>
      <c r="E482" s="19">
        <v>0.65</v>
      </c>
      <c r="F482" s="10">
        <v>3.8</v>
      </c>
      <c r="G482" s="11">
        <v>16557.0</v>
      </c>
      <c r="K482" s="23">
        <v>399.0</v>
      </c>
    </row>
    <row r="483">
      <c r="A483" s="7" t="s">
        <v>445</v>
      </c>
      <c r="B483" s="7" t="s">
        <v>380</v>
      </c>
      <c r="C483" s="8">
        <v>13999.0</v>
      </c>
      <c r="D483" s="8">
        <v>19499.0</v>
      </c>
      <c r="E483" s="19">
        <v>0.28</v>
      </c>
      <c r="F483" s="10">
        <v>4.1</v>
      </c>
      <c r="G483" s="11">
        <v>18998.0</v>
      </c>
      <c r="K483" s="23">
        <v>399.0</v>
      </c>
    </row>
    <row r="484">
      <c r="A484" s="7" t="s">
        <v>522</v>
      </c>
      <c r="B484" s="7" t="s">
        <v>502</v>
      </c>
      <c r="C484" s="8">
        <v>349.0</v>
      </c>
      <c r="D484" s="8">
        <v>999.0</v>
      </c>
      <c r="E484" s="19">
        <v>0.65</v>
      </c>
      <c r="F484" s="10">
        <v>3.8</v>
      </c>
      <c r="G484" s="11">
        <v>16557.0</v>
      </c>
      <c r="K484" s="23">
        <v>399.0</v>
      </c>
    </row>
    <row r="485">
      <c r="A485" s="7" t="s">
        <v>523</v>
      </c>
      <c r="B485" s="7" t="s">
        <v>409</v>
      </c>
      <c r="C485" s="8">
        <v>499.0</v>
      </c>
      <c r="D485" s="8">
        <v>599.0</v>
      </c>
      <c r="E485" s="19">
        <v>0.17</v>
      </c>
      <c r="F485" s="10">
        <v>4.2</v>
      </c>
      <c r="G485" s="11">
        <v>21916.0</v>
      </c>
      <c r="K485" s="23">
        <v>399.0</v>
      </c>
    </row>
    <row r="486">
      <c r="A486" s="7" t="s">
        <v>415</v>
      </c>
      <c r="B486" s="7" t="s">
        <v>373</v>
      </c>
      <c r="C486" s="8">
        <v>2199.0</v>
      </c>
      <c r="D486" s="8">
        <v>9999.0</v>
      </c>
      <c r="E486" s="19">
        <v>0.78</v>
      </c>
      <c r="F486" s="10">
        <v>4.2</v>
      </c>
      <c r="G486" s="11">
        <v>29472.0</v>
      </c>
      <c r="K486" s="23">
        <v>399.0</v>
      </c>
    </row>
    <row r="487">
      <c r="A487" s="7" t="s">
        <v>524</v>
      </c>
      <c r="B487" s="7" t="s">
        <v>469</v>
      </c>
      <c r="C487" s="8">
        <v>95.0</v>
      </c>
      <c r="D487" s="8">
        <v>499.0</v>
      </c>
      <c r="E487" s="19">
        <v>0.81</v>
      </c>
      <c r="F487" s="10">
        <v>4.2</v>
      </c>
      <c r="G487" s="11">
        <v>1949.0</v>
      </c>
      <c r="K487" s="23">
        <v>399.0</v>
      </c>
    </row>
    <row r="488">
      <c r="A488" s="7" t="s">
        <v>525</v>
      </c>
      <c r="B488" s="7" t="s">
        <v>15</v>
      </c>
      <c r="C488" s="8">
        <v>139.0</v>
      </c>
      <c r="D488" s="8">
        <v>249.0</v>
      </c>
      <c r="E488" s="19">
        <v>0.44</v>
      </c>
      <c r="F488" s="10">
        <v>4.0</v>
      </c>
      <c r="G488" s="11">
        <v>9377.0</v>
      </c>
      <c r="K488" s="23">
        <v>399.0</v>
      </c>
    </row>
    <row r="489">
      <c r="A489" s="7" t="s">
        <v>526</v>
      </c>
      <c r="B489" s="7" t="s">
        <v>373</v>
      </c>
      <c r="C489" s="8">
        <v>4499.0</v>
      </c>
      <c r="D489" s="8">
        <v>7999.0</v>
      </c>
      <c r="E489" s="19">
        <v>0.44</v>
      </c>
      <c r="F489" s="10">
        <v>3.5</v>
      </c>
      <c r="G489" s="10">
        <v>37.0</v>
      </c>
      <c r="K489" s="23">
        <v>399.0</v>
      </c>
    </row>
    <row r="490">
      <c r="A490" s="7" t="s">
        <v>527</v>
      </c>
      <c r="B490" s="7" t="s">
        <v>450</v>
      </c>
      <c r="C490" s="8">
        <v>89.0</v>
      </c>
      <c r="D490" s="8">
        <v>599.0</v>
      </c>
      <c r="E490" s="19">
        <v>0.85</v>
      </c>
      <c r="F490" s="10">
        <v>4.3</v>
      </c>
      <c r="G490" s="11">
        <v>2351.0</v>
      </c>
      <c r="K490" s="23">
        <v>399.0</v>
      </c>
    </row>
    <row r="491">
      <c r="A491" s="7" t="s">
        <v>528</v>
      </c>
      <c r="B491" s="7" t="s">
        <v>380</v>
      </c>
      <c r="C491" s="8">
        <v>15499.0</v>
      </c>
      <c r="D491" s="8">
        <v>20999.0</v>
      </c>
      <c r="E491" s="19">
        <v>0.26</v>
      </c>
      <c r="F491" s="10">
        <v>4.1</v>
      </c>
      <c r="G491" s="11">
        <v>19253.0</v>
      </c>
      <c r="K491" s="23">
        <v>399.0</v>
      </c>
    </row>
    <row r="492">
      <c r="A492" s="7" t="s">
        <v>529</v>
      </c>
      <c r="B492" s="7" t="s">
        <v>380</v>
      </c>
      <c r="C492" s="8">
        <v>13999.0</v>
      </c>
      <c r="D492" s="8">
        <v>15999.0</v>
      </c>
      <c r="E492" s="19">
        <v>0.13</v>
      </c>
      <c r="F492" s="10">
        <v>3.9</v>
      </c>
      <c r="G492" s="11">
        <v>2180.0</v>
      </c>
      <c r="K492" s="23">
        <v>399.0</v>
      </c>
    </row>
    <row r="493">
      <c r="A493" s="7" t="s">
        <v>530</v>
      </c>
      <c r="B493" s="7" t="s">
        <v>373</v>
      </c>
      <c r="C493" s="8">
        <v>1999.0</v>
      </c>
      <c r="D493" s="8">
        <v>4999.0</v>
      </c>
      <c r="E493" s="19">
        <v>0.6</v>
      </c>
      <c r="F493" s="10">
        <v>3.9</v>
      </c>
      <c r="G493" s="11">
        <v>7571.0</v>
      </c>
      <c r="K493" s="23">
        <v>399.0</v>
      </c>
    </row>
    <row r="494">
      <c r="A494" s="7" t="s">
        <v>531</v>
      </c>
      <c r="B494" s="7" t="s">
        <v>373</v>
      </c>
      <c r="C494" s="8">
        <v>1399.0</v>
      </c>
      <c r="D494" s="8">
        <v>5999.0</v>
      </c>
      <c r="E494" s="19">
        <v>0.77</v>
      </c>
      <c r="F494" s="10">
        <v>3.3</v>
      </c>
      <c r="G494" s="11">
        <v>4415.0</v>
      </c>
      <c r="K494" s="23">
        <v>399.0</v>
      </c>
    </row>
    <row r="495">
      <c r="A495" s="7" t="s">
        <v>532</v>
      </c>
      <c r="B495" s="7" t="s">
        <v>407</v>
      </c>
      <c r="C495" s="8">
        <v>599.0</v>
      </c>
      <c r="D495" s="8">
        <v>999.0</v>
      </c>
      <c r="E495" s="19">
        <v>0.4</v>
      </c>
      <c r="F495" s="10">
        <v>4.0</v>
      </c>
      <c r="G495" s="11">
        <v>18654.0</v>
      </c>
      <c r="K495" s="23">
        <v>399.0</v>
      </c>
    </row>
    <row r="496">
      <c r="A496" s="7" t="s">
        <v>533</v>
      </c>
      <c r="B496" s="7" t="s">
        <v>409</v>
      </c>
      <c r="C496" s="8">
        <v>199.0</v>
      </c>
      <c r="D496" s="8">
        <v>1099.0</v>
      </c>
      <c r="E496" s="19">
        <v>0.82</v>
      </c>
      <c r="F496" s="10">
        <v>4.0</v>
      </c>
      <c r="G496" s="11">
        <v>3197.0</v>
      </c>
      <c r="K496" s="23">
        <v>399.0</v>
      </c>
    </row>
    <row r="497">
      <c r="A497" s="7" t="s">
        <v>534</v>
      </c>
      <c r="B497" s="7" t="s">
        <v>373</v>
      </c>
      <c r="C497" s="8">
        <v>1799.0</v>
      </c>
      <c r="D497" s="8">
        <v>6990.0</v>
      </c>
      <c r="E497" s="19">
        <v>0.74</v>
      </c>
      <c r="F497" s="10">
        <v>4.0</v>
      </c>
      <c r="G497" s="11">
        <v>26880.0</v>
      </c>
      <c r="K497" s="23">
        <v>399.0</v>
      </c>
    </row>
    <row r="498">
      <c r="A498" s="7" t="s">
        <v>535</v>
      </c>
      <c r="B498" s="7" t="s">
        <v>373</v>
      </c>
      <c r="C498" s="8">
        <v>1499.0</v>
      </c>
      <c r="D498" s="8">
        <v>6990.0</v>
      </c>
      <c r="E498" s="19">
        <v>0.79</v>
      </c>
      <c r="F498" s="10">
        <v>3.9</v>
      </c>
      <c r="G498" s="11">
        <v>21796.0</v>
      </c>
      <c r="K498" s="23">
        <v>399.0</v>
      </c>
    </row>
    <row r="499">
      <c r="A499" s="7" t="s">
        <v>536</v>
      </c>
      <c r="B499" s="7" t="s">
        <v>380</v>
      </c>
      <c r="C499" s="8">
        <v>20999.0</v>
      </c>
      <c r="D499" s="8">
        <v>29990.0</v>
      </c>
      <c r="E499" s="19">
        <v>0.3</v>
      </c>
      <c r="F499" s="10">
        <v>4.3</v>
      </c>
      <c r="G499" s="11">
        <v>9499.0</v>
      </c>
      <c r="K499" s="23">
        <v>399.0</v>
      </c>
    </row>
    <row r="500">
      <c r="A500" s="7" t="s">
        <v>537</v>
      </c>
      <c r="B500" s="7" t="s">
        <v>380</v>
      </c>
      <c r="C500" s="8">
        <v>12999.0</v>
      </c>
      <c r="D500" s="8">
        <v>13499.0</v>
      </c>
      <c r="E500" s="19">
        <v>0.04</v>
      </c>
      <c r="F500" s="10">
        <v>4.1</v>
      </c>
      <c r="G500" s="11">
        <v>56098.0</v>
      </c>
      <c r="K500" s="23">
        <v>399.0</v>
      </c>
    </row>
    <row r="501">
      <c r="A501" s="7" t="s">
        <v>538</v>
      </c>
      <c r="B501" s="7" t="s">
        <v>380</v>
      </c>
      <c r="C501" s="8">
        <v>16999.0</v>
      </c>
      <c r="D501" s="8">
        <v>20999.0</v>
      </c>
      <c r="E501" s="19">
        <v>0.19</v>
      </c>
      <c r="F501" s="10">
        <v>4.1</v>
      </c>
      <c r="G501" s="11">
        <v>31822.0</v>
      </c>
      <c r="K501" s="23">
        <v>416.0</v>
      </c>
    </row>
    <row r="502">
      <c r="A502" s="7" t="s">
        <v>539</v>
      </c>
      <c r="B502" s="7" t="s">
        <v>380</v>
      </c>
      <c r="C502" s="8">
        <v>19999.0</v>
      </c>
      <c r="D502" s="8">
        <v>27990.0</v>
      </c>
      <c r="E502" s="19">
        <v>0.29</v>
      </c>
      <c r="F502" s="10">
        <v>4.3</v>
      </c>
      <c r="G502" s="11">
        <v>9499.0</v>
      </c>
      <c r="K502" s="23">
        <v>417.44</v>
      </c>
    </row>
    <row r="503">
      <c r="A503" s="7" t="s">
        <v>540</v>
      </c>
      <c r="B503" s="7" t="s">
        <v>380</v>
      </c>
      <c r="C503" s="8">
        <v>12999.0</v>
      </c>
      <c r="D503" s="8">
        <v>18999.0</v>
      </c>
      <c r="E503" s="19">
        <v>0.32</v>
      </c>
      <c r="F503" s="10">
        <v>4.1</v>
      </c>
      <c r="G503" s="11">
        <v>50772.0</v>
      </c>
      <c r="K503" s="23">
        <v>419.0</v>
      </c>
    </row>
    <row r="504">
      <c r="A504" s="7" t="s">
        <v>541</v>
      </c>
      <c r="B504" s="7" t="s">
        <v>373</v>
      </c>
      <c r="C504" s="8">
        <v>2999.0</v>
      </c>
      <c r="D504" s="8">
        <v>5999.0</v>
      </c>
      <c r="E504" s="19">
        <v>0.5</v>
      </c>
      <c r="F504" s="10">
        <v>4.1</v>
      </c>
      <c r="G504" s="11">
        <v>7148.0</v>
      </c>
      <c r="K504" s="23">
        <v>420.0</v>
      </c>
    </row>
    <row r="505">
      <c r="A505" s="7" t="s">
        <v>50</v>
      </c>
      <c r="B505" s="7" t="s">
        <v>15</v>
      </c>
      <c r="C505" s="8">
        <v>299.0</v>
      </c>
      <c r="D505" s="8">
        <v>999.0</v>
      </c>
      <c r="E505" s="19">
        <v>0.7</v>
      </c>
      <c r="F505" s="10">
        <v>4.3</v>
      </c>
      <c r="G505" s="11">
        <v>20850.0</v>
      </c>
      <c r="K505" s="23">
        <v>425.0</v>
      </c>
    </row>
    <row r="506">
      <c r="A506" s="7" t="s">
        <v>49</v>
      </c>
      <c r="B506" s="7" t="s">
        <v>15</v>
      </c>
      <c r="C506" s="8">
        <v>970.0</v>
      </c>
      <c r="D506" s="8">
        <v>1999.0</v>
      </c>
      <c r="E506" s="19">
        <v>0.51</v>
      </c>
      <c r="F506" s="10">
        <v>4.4</v>
      </c>
      <c r="G506" s="10">
        <v>184.0</v>
      </c>
      <c r="K506" s="23">
        <v>425.0</v>
      </c>
    </row>
    <row r="507">
      <c r="A507" s="7" t="s">
        <v>542</v>
      </c>
      <c r="B507" s="7" t="s">
        <v>409</v>
      </c>
      <c r="C507" s="8">
        <v>329.0</v>
      </c>
      <c r="D507" s="8">
        <v>999.0</v>
      </c>
      <c r="E507" s="19">
        <v>0.67</v>
      </c>
      <c r="F507" s="10">
        <v>4.2</v>
      </c>
      <c r="G507" s="11">
        <v>3492.0</v>
      </c>
      <c r="K507" s="23">
        <v>426.0</v>
      </c>
    </row>
    <row r="508">
      <c r="A508" s="7" t="s">
        <v>543</v>
      </c>
      <c r="B508" s="7" t="s">
        <v>373</v>
      </c>
      <c r="C508" s="8">
        <v>1299.0</v>
      </c>
      <c r="D508" s="8">
        <v>5999.0</v>
      </c>
      <c r="E508" s="19">
        <v>0.78</v>
      </c>
      <c r="F508" s="10">
        <v>3.3</v>
      </c>
      <c r="G508" s="11">
        <v>4415.0</v>
      </c>
      <c r="K508" s="23">
        <v>429.0</v>
      </c>
    </row>
    <row r="509">
      <c r="A509" s="7" t="s">
        <v>544</v>
      </c>
      <c r="B509" s="7" t="s">
        <v>386</v>
      </c>
      <c r="C509" s="8">
        <v>1989.0</v>
      </c>
      <c r="D509" s="8">
        <v>3500.0</v>
      </c>
      <c r="E509" s="19">
        <v>0.43</v>
      </c>
      <c r="F509" s="10">
        <v>4.4</v>
      </c>
      <c r="G509" s="11">
        <v>67260.0</v>
      </c>
      <c r="K509" s="23">
        <v>429.0</v>
      </c>
    </row>
    <row r="510">
      <c r="A510" s="7" t="s">
        <v>374</v>
      </c>
      <c r="B510" s="7" t="s">
        <v>373</v>
      </c>
      <c r="C510" s="8">
        <v>1999.0</v>
      </c>
      <c r="D510" s="8">
        <v>9999.0</v>
      </c>
      <c r="E510" s="19">
        <v>0.8</v>
      </c>
      <c r="F510" s="10">
        <v>4.3</v>
      </c>
      <c r="G510" s="11">
        <v>27704.0</v>
      </c>
      <c r="K510" s="23">
        <v>439.0</v>
      </c>
    </row>
    <row r="511">
      <c r="A511" s="7" t="s">
        <v>545</v>
      </c>
      <c r="B511" s="7" t="s">
        <v>380</v>
      </c>
      <c r="C511" s="8">
        <v>12999.0</v>
      </c>
      <c r="D511" s="8">
        <v>18999.0</v>
      </c>
      <c r="E511" s="19">
        <v>0.32</v>
      </c>
      <c r="F511" s="10">
        <v>4.1</v>
      </c>
      <c r="G511" s="11">
        <v>50772.0</v>
      </c>
      <c r="K511" s="23">
        <v>440.0</v>
      </c>
    </row>
    <row r="512">
      <c r="A512" s="7" t="s">
        <v>546</v>
      </c>
      <c r="B512" s="7" t="s">
        <v>373</v>
      </c>
      <c r="C512" s="8">
        <v>1499.0</v>
      </c>
      <c r="D512" s="8">
        <v>4999.0</v>
      </c>
      <c r="E512" s="19">
        <v>0.7</v>
      </c>
      <c r="F512" s="10">
        <v>4.0</v>
      </c>
      <c r="G512" s="11">
        <v>92588.0</v>
      </c>
      <c r="K512" s="23">
        <v>445.0</v>
      </c>
    </row>
    <row r="513">
      <c r="A513" s="7" t="s">
        <v>547</v>
      </c>
      <c r="B513" s="7" t="s">
        <v>380</v>
      </c>
      <c r="C513" s="8">
        <v>16999.0</v>
      </c>
      <c r="D513" s="8">
        <v>20999.0</v>
      </c>
      <c r="E513" s="19">
        <v>0.19</v>
      </c>
      <c r="F513" s="10">
        <v>4.1</v>
      </c>
      <c r="G513" s="11">
        <v>31822.0</v>
      </c>
      <c r="K513" s="23">
        <v>448.0</v>
      </c>
    </row>
    <row r="514">
      <c r="A514" s="7" t="s">
        <v>548</v>
      </c>
      <c r="B514" s="7" t="s">
        <v>373</v>
      </c>
      <c r="C514" s="8">
        <v>1999.0</v>
      </c>
      <c r="D514" s="8">
        <v>8499.0</v>
      </c>
      <c r="E514" s="19">
        <v>0.76</v>
      </c>
      <c r="F514" s="10">
        <v>4.3</v>
      </c>
      <c r="G514" s="10">
        <v>240.0</v>
      </c>
      <c r="K514" s="23">
        <v>449.0</v>
      </c>
    </row>
    <row r="515">
      <c r="A515" s="7" t="s">
        <v>549</v>
      </c>
      <c r="B515" s="7" t="s">
        <v>373</v>
      </c>
      <c r="C515" s="8">
        <v>4999.0</v>
      </c>
      <c r="D515" s="8">
        <v>6999.0</v>
      </c>
      <c r="E515" s="19">
        <v>0.29</v>
      </c>
      <c r="F515" s="10">
        <v>3.8</v>
      </c>
      <c r="G515" s="10">
        <v>758.0</v>
      </c>
      <c r="K515" s="23">
        <v>449.0</v>
      </c>
    </row>
    <row r="516">
      <c r="A516" s="7" t="s">
        <v>56</v>
      </c>
      <c r="B516" s="7" t="s">
        <v>15</v>
      </c>
      <c r="C516" s="8">
        <v>99.0</v>
      </c>
      <c r="D516" s="8">
        <v>666.66</v>
      </c>
      <c r="E516" s="19">
        <v>0.85</v>
      </c>
      <c r="F516" s="10">
        <v>3.9</v>
      </c>
      <c r="G516" s="11">
        <v>24870.0</v>
      </c>
      <c r="K516" s="23">
        <v>449.0</v>
      </c>
    </row>
    <row r="517">
      <c r="A517" s="7" t="s">
        <v>550</v>
      </c>
      <c r="B517" s="7" t="s">
        <v>373</v>
      </c>
      <c r="C517" s="8">
        <v>2499.0</v>
      </c>
      <c r="D517" s="8">
        <v>5999.0</v>
      </c>
      <c r="E517" s="19">
        <v>0.58</v>
      </c>
      <c r="F517" s="10">
        <v>3.7</v>
      </c>
      <c r="G517" s="10">
        <v>828.0</v>
      </c>
      <c r="K517" s="23">
        <v>449.0</v>
      </c>
    </row>
    <row r="518">
      <c r="A518" s="7" t="s">
        <v>551</v>
      </c>
      <c r="B518" s="7" t="s">
        <v>389</v>
      </c>
      <c r="C518" s="8">
        <v>1399.0</v>
      </c>
      <c r="D518" s="8">
        <v>1630.0</v>
      </c>
      <c r="E518" s="19">
        <v>0.14</v>
      </c>
      <c r="F518" s="10">
        <v>4.0</v>
      </c>
      <c r="G518" s="11">
        <v>9378.0</v>
      </c>
      <c r="K518" s="23">
        <v>449.0</v>
      </c>
    </row>
    <row r="519">
      <c r="A519" s="7" t="s">
        <v>552</v>
      </c>
      <c r="B519" s="7" t="s">
        <v>373</v>
      </c>
      <c r="C519" s="8">
        <v>1499.0</v>
      </c>
      <c r="D519" s="8">
        <v>9999.0</v>
      </c>
      <c r="E519" s="19">
        <v>0.85</v>
      </c>
      <c r="F519" s="10">
        <v>4.2</v>
      </c>
      <c r="G519" s="11">
        <v>22638.0</v>
      </c>
      <c r="K519" s="23">
        <v>449.0</v>
      </c>
    </row>
    <row r="520">
      <c r="A520" s="7" t="s">
        <v>57</v>
      </c>
      <c r="B520" s="7" t="s">
        <v>15</v>
      </c>
      <c r="C520" s="8">
        <v>899.0</v>
      </c>
      <c r="D520" s="8">
        <v>1900.0</v>
      </c>
      <c r="E520" s="19">
        <v>0.53</v>
      </c>
      <c r="F520" s="10">
        <v>4.4</v>
      </c>
      <c r="G520" s="11">
        <v>13552.0</v>
      </c>
      <c r="K520" s="23">
        <v>449.0</v>
      </c>
    </row>
    <row r="521">
      <c r="A521" s="7" t="s">
        <v>553</v>
      </c>
      <c r="B521" s="7" t="s">
        <v>409</v>
      </c>
      <c r="C521" s="8">
        <v>249.0</v>
      </c>
      <c r="D521" s="8">
        <v>599.0</v>
      </c>
      <c r="E521" s="19">
        <v>0.58</v>
      </c>
      <c r="F521" s="10">
        <v>3.9</v>
      </c>
      <c r="G521" s="11">
        <v>2147.0</v>
      </c>
      <c r="K521" s="23">
        <v>449.0</v>
      </c>
    </row>
    <row r="522">
      <c r="A522" s="7" t="s">
        <v>554</v>
      </c>
      <c r="B522" s="7" t="s">
        <v>490</v>
      </c>
      <c r="C522" s="8">
        <v>299.0</v>
      </c>
      <c r="D522" s="8">
        <v>1199.0</v>
      </c>
      <c r="E522" s="19">
        <v>0.75</v>
      </c>
      <c r="F522" s="10">
        <v>4.5</v>
      </c>
      <c r="G522" s="10">
        <v>596.0</v>
      </c>
      <c r="K522" s="23">
        <v>449.0</v>
      </c>
    </row>
    <row r="523">
      <c r="A523" s="7" t="s">
        <v>555</v>
      </c>
      <c r="B523" s="7" t="s">
        <v>469</v>
      </c>
      <c r="C523" s="8">
        <v>79.0</v>
      </c>
      <c r="D523" s="8">
        <v>499.0</v>
      </c>
      <c r="E523" s="19">
        <v>0.84</v>
      </c>
      <c r="F523" s="10">
        <v>4.2</v>
      </c>
      <c r="G523" s="11">
        <v>1949.0</v>
      </c>
      <c r="K523" s="23">
        <v>449.0</v>
      </c>
    </row>
    <row r="524">
      <c r="A524" s="7" t="s">
        <v>556</v>
      </c>
      <c r="B524" s="7" t="s">
        <v>380</v>
      </c>
      <c r="C524" s="8">
        <v>13999.0</v>
      </c>
      <c r="D524" s="8">
        <v>15999.0</v>
      </c>
      <c r="E524" s="19">
        <v>0.13</v>
      </c>
      <c r="F524" s="10">
        <v>3.9</v>
      </c>
      <c r="G524" s="11">
        <v>2180.0</v>
      </c>
      <c r="K524" s="23">
        <v>453.0</v>
      </c>
    </row>
    <row r="525">
      <c r="A525" s="7" t="s">
        <v>557</v>
      </c>
      <c r="B525" s="7" t="s">
        <v>393</v>
      </c>
      <c r="C525" s="8">
        <v>949.0</v>
      </c>
      <c r="D525" s="8">
        <v>999.0</v>
      </c>
      <c r="E525" s="19">
        <v>0.05</v>
      </c>
      <c r="F525" s="10">
        <v>4.2</v>
      </c>
      <c r="G525" s="11">
        <v>31539.0</v>
      </c>
      <c r="K525" s="23">
        <v>455.0</v>
      </c>
    </row>
    <row r="526">
      <c r="A526" s="7" t="s">
        <v>558</v>
      </c>
      <c r="B526" s="7" t="s">
        <v>450</v>
      </c>
      <c r="C526" s="8">
        <v>99.0</v>
      </c>
      <c r="D526" s="8">
        <v>499.0</v>
      </c>
      <c r="E526" s="19">
        <v>0.8</v>
      </c>
      <c r="F526" s="10">
        <v>4.1</v>
      </c>
      <c r="G526" s="11">
        <v>2451.0</v>
      </c>
      <c r="K526" s="23">
        <v>455.0</v>
      </c>
    </row>
    <row r="527">
      <c r="A527" s="7" t="s">
        <v>559</v>
      </c>
      <c r="B527" s="7" t="s">
        <v>373</v>
      </c>
      <c r="C527" s="8">
        <v>2499.0</v>
      </c>
      <c r="D527" s="8">
        <v>7990.0</v>
      </c>
      <c r="E527" s="19">
        <v>0.69</v>
      </c>
      <c r="F527" s="10">
        <v>4.1</v>
      </c>
      <c r="G527" s="10">
        <v>154.0</v>
      </c>
      <c r="K527" s="23">
        <v>457.0</v>
      </c>
    </row>
    <row r="528">
      <c r="A528" s="7" t="s">
        <v>560</v>
      </c>
      <c r="B528" s="7" t="s">
        <v>561</v>
      </c>
      <c r="C528" s="8">
        <v>689.0</v>
      </c>
      <c r="D528" s="8">
        <v>1999.0</v>
      </c>
      <c r="E528" s="19">
        <v>0.66</v>
      </c>
      <c r="F528" s="10">
        <v>4.3</v>
      </c>
      <c r="G528" s="11">
        <v>1193.0</v>
      </c>
      <c r="K528" s="23">
        <v>467.0</v>
      </c>
    </row>
    <row r="529">
      <c r="A529" s="7" t="s">
        <v>562</v>
      </c>
      <c r="B529" s="7" t="s">
        <v>511</v>
      </c>
      <c r="C529" s="8">
        <v>499.0</v>
      </c>
      <c r="D529" s="8">
        <v>1899.0</v>
      </c>
      <c r="E529" s="19">
        <v>0.74</v>
      </c>
      <c r="F529" s="10">
        <v>4.1</v>
      </c>
      <c r="G529" s="11">
        <v>1475.0</v>
      </c>
      <c r="K529" s="23">
        <v>469.0</v>
      </c>
    </row>
    <row r="530">
      <c r="A530" s="7" t="s">
        <v>563</v>
      </c>
      <c r="B530" s="7" t="s">
        <v>490</v>
      </c>
      <c r="C530" s="8">
        <v>299.0</v>
      </c>
      <c r="D530" s="8">
        <v>999.0</v>
      </c>
      <c r="E530" s="19">
        <v>0.7</v>
      </c>
      <c r="F530" s="10">
        <v>4.3</v>
      </c>
      <c r="G530" s="11">
        <v>8891.0</v>
      </c>
      <c r="K530" s="23">
        <v>469.0</v>
      </c>
    </row>
    <row r="531">
      <c r="A531" s="7" t="s">
        <v>564</v>
      </c>
      <c r="B531" s="7" t="s">
        <v>450</v>
      </c>
      <c r="C531" s="8">
        <v>209.0</v>
      </c>
      <c r="D531" s="8">
        <v>499.0</v>
      </c>
      <c r="E531" s="19">
        <v>0.58</v>
      </c>
      <c r="F531" s="10">
        <v>3.6</v>
      </c>
      <c r="G531" s="10">
        <v>104.0</v>
      </c>
      <c r="K531" s="23">
        <v>474.0</v>
      </c>
    </row>
    <row r="532">
      <c r="A532" s="7" t="s">
        <v>565</v>
      </c>
      <c r="B532" s="7" t="s">
        <v>380</v>
      </c>
      <c r="C532" s="8">
        <v>8499.0</v>
      </c>
      <c r="D532" s="8">
        <v>12999.0</v>
      </c>
      <c r="E532" s="19">
        <v>0.35</v>
      </c>
      <c r="F532" s="10">
        <v>4.1</v>
      </c>
      <c r="G532" s="11">
        <v>6662.0</v>
      </c>
      <c r="K532" s="23">
        <v>474.0</v>
      </c>
    </row>
    <row r="533">
      <c r="A533" s="7" t="s">
        <v>566</v>
      </c>
      <c r="B533" s="7" t="s">
        <v>377</v>
      </c>
      <c r="C533" s="8">
        <v>2179.0</v>
      </c>
      <c r="D533" s="8">
        <v>3999.0</v>
      </c>
      <c r="E533" s="19">
        <v>0.46</v>
      </c>
      <c r="F533" s="10">
        <v>4.0</v>
      </c>
      <c r="G533" s="11">
        <v>8380.0</v>
      </c>
      <c r="K533" s="23">
        <v>475.0</v>
      </c>
    </row>
    <row r="534">
      <c r="A534" s="7" t="s">
        <v>567</v>
      </c>
      <c r="B534" s="7" t="s">
        <v>380</v>
      </c>
      <c r="C534" s="8">
        <v>16999.0</v>
      </c>
      <c r="D534" s="8">
        <v>20999.0</v>
      </c>
      <c r="E534" s="19">
        <v>0.19</v>
      </c>
      <c r="F534" s="10">
        <v>4.1</v>
      </c>
      <c r="G534" s="11">
        <v>31822.0</v>
      </c>
      <c r="K534" s="23">
        <v>475.0</v>
      </c>
    </row>
    <row r="535">
      <c r="A535" s="7" t="s">
        <v>568</v>
      </c>
      <c r="B535" s="7" t="s">
        <v>380</v>
      </c>
      <c r="C535" s="8">
        <v>44999.0</v>
      </c>
      <c r="D535" s="8">
        <v>49999.0</v>
      </c>
      <c r="E535" s="19">
        <v>0.1</v>
      </c>
      <c r="F535" s="10">
        <v>4.3</v>
      </c>
      <c r="G535" s="11">
        <v>3075.0</v>
      </c>
      <c r="K535" s="23">
        <v>478.0</v>
      </c>
    </row>
    <row r="536">
      <c r="A536" s="7" t="s">
        <v>569</v>
      </c>
      <c r="B536" s="7" t="s">
        <v>389</v>
      </c>
      <c r="C536" s="8">
        <v>2599.0</v>
      </c>
      <c r="D536" s="8">
        <v>2999.0</v>
      </c>
      <c r="E536" s="19">
        <v>0.13</v>
      </c>
      <c r="F536" s="10">
        <v>3.9</v>
      </c>
      <c r="G536" s="11">
        <v>14266.0</v>
      </c>
      <c r="K536" s="23">
        <v>479.0</v>
      </c>
    </row>
    <row r="537">
      <c r="A537" s="7" t="s">
        <v>570</v>
      </c>
      <c r="B537" s="7" t="s">
        <v>373</v>
      </c>
      <c r="C537" s="8">
        <v>2799.0</v>
      </c>
      <c r="D537" s="8">
        <v>6499.0</v>
      </c>
      <c r="E537" s="19">
        <v>0.57</v>
      </c>
      <c r="F537" s="10">
        <v>4.1</v>
      </c>
      <c r="G537" s="11">
        <v>38879.0</v>
      </c>
      <c r="K537" s="23">
        <v>479.0</v>
      </c>
    </row>
    <row r="538">
      <c r="A538" s="7" t="s">
        <v>571</v>
      </c>
      <c r="B538" s="7" t="s">
        <v>572</v>
      </c>
      <c r="C538" s="8">
        <v>1399.0</v>
      </c>
      <c r="D538" s="8">
        <v>2990.0</v>
      </c>
      <c r="E538" s="19">
        <v>0.53</v>
      </c>
      <c r="F538" s="10">
        <v>4.1</v>
      </c>
      <c r="G538" s="11">
        <v>97175.0</v>
      </c>
      <c r="K538" s="23">
        <v>479.0</v>
      </c>
    </row>
    <row r="539">
      <c r="A539" s="7" t="s">
        <v>573</v>
      </c>
      <c r="B539" s="7" t="s">
        <v>386</v>
      </c>
      <c r="C539" s="8">
        <v>649.0</v>
      </c>
      <c r="D539" s="8">
        <v>2400.0</v>
      </c>
      <c r="E539" s="19">
        <v>0.73</v>
      </c>
      <c r="F539" s="10">
        <v>4.4</v>
      </c>
      <c r="G539" s="11">
        <v>67260.0</v>
      </c>
      <c r="K539" s="23">
        <v>480.0</v>
      </c>
    </row>
    <row r="540">
      <c r="A540" s="7" t="s">
        <v>574</v>
      </c>
      <c r="B540" s="7" t="s">
        <v>409</v>
      </c>
      <c r="C540" s="8">
        <v>799.0</v>
      </c>
      <c r="D540" s="8">
        <v>3990.0</v>
      </c>
      <c r="E540" s="19">
        <v>0.8</v>
      </c>
      <c r="F540" s="10">
        <v>3.8</v>
      </c>
      <c r="G540" s="10">
        <v>119.0</v>
      </c>
      <c r="K540" s="23">
        <v>486.0</v>
      </c>
    </row>
    <row r="541">
      <c r="A541" s="7" t="s">
        <v>575</v>
      </c>
      <c r="B541" s="7" t="s">
        <v>576</v>
      </c>
      <c r="C541" s="8">
        <v>149.0</v>
      </c>
      <c r="D541" s="8">
        <v>149.0</v>
      </c>
      <c r="E541" s="19">
        <v>0.0</v>
      </c>
      <c r="F541" s="10">
        <v>4.3</v>
      </c>
      <c r="G541" s="11">
        <v>10833.0</v>
      </c>
      <c r="K541" s="23">
        <v>489.0</v>
      </c>
    </row>
    <row r="542">
      <c r="A542" s="7" t="s">
        <v>75</v>
      </c>
      <c r="B542" s="7" t="s">
        <v>15</v>
      </c>
      <c r="C542" s="8">
        <v>799.0</v>
      </c>
      <c r="D542" s="8">
        <v>2100.0</v>
      </c>
      <c r="E542" s="19">
        <v>0.62</v>
      </c>
      <c r="F542" s="10">
        <v>4.3</v>
      </c>
      <c r="G542" s="11">
        <v>8188.0</v>
      </c>
      <c r="K542" s="23">
        <v>489.0</v>
      </c>
    </row>
    <row r="543">
      <c r="A543" s="7" t="s">
        <v>577</v>
      </c>
      <c r="B543" s="7" t="s">
        <v>389</v>
      </c>
      <c r="C543" s="8">
        <v>3799.0</v>
      </c>
      <c r="D543" s="8">
        <v>5299.0</v>
      </c>
      <c r="E543" s="19">
        <v>0.28</v>
      </c>
      <c r="F543" s="10">
        <v>3.5</v>
      </c>
      <c r="G543" s="11">
        <v>1641.0</v>
      </c>
      <c r="K543" s="23">
        <v>498.0</v>
      </c>
    </row>
    <row r="544">
      <c r="A544" s="7" t="s">
        <v>578</v>
      </c>
      <c r="B544" s="7" t="s">
        <v>516</v>
      </c>
      <c r="C544" s="8">
        <v>199.0</v>
      </c>
      <c r="D544" s="8">
        <v>1899.0</v>
      </c>
      <c r="E544" s="19">
        <v>0.9</v>
      </c>
      <c r="F544" s="10">
        <v>4.0</v>
      </c>
      <c r="G544" s="11">
        <v>4740.0</v>
      </c>
      <c r="K544" s="23">
        <v>499.0</v>
      </c>
    </row>
    <row r="545">
      <c r="A545" s="7" t="s">
        <v>579</v>
      </c>
      <c r="B545" s="7" t="s">
        <v>380</v>
      </c>
      <c r="C545" s="8">
        <v>23999.0</v>
      </c>
      <c r="D545" s="8">
        <v>32999.0</v>
      </c>
      <c r="E545" s="19">
        <v>0.27</v>
      </c>
      <c r="F545" s="10">
        <v>3.9</v>
      </c>
      <c r="G545" s="11">
        <v>8866.0</v>
      </c>
      <c r="K545" s="23">
        <v>499.0</v>
      </c>
    </row>
    <row r="546">
      <c r="A546" s="7" t="s">
        <v>580</v>
      </c>
      <c r="B546" s="7" t="s">
        <v>380</v>
      </c>
      <c r="C546" s="8">
        <v>29990.0</v>
      </c>
      <c r="D546" s="8">
        <v>39990.0</v>
      </c>
      <c r="E546" s="19">
        <v>0.25</v>
      </c>
      <c r="F546" s="10">
        <v>4.3</v>
      </c>
      <c r="G546" s="11">
        <v>8399.0</v>
      </c>
      <c r="K546" s="23">
        <v>499.0</v>
      </c>
    </row>
    <row r="547">
      <c r="A547" s="7" t="s">
        <v>581</v>
      </c>
      <c r="B547" s="7" t="s">
        <v>373</v>
      </c>
      <c r="C547" s="8">
        <v>281.0</v>
      </c>
      <c r="D547" s="8">
        <v>1999.0</v>
      </c>
      <c r="E547" s="19">
        <v>0.86</v>
      </c>
      <c r="F547" s="10">
        <v>2.8</v>
      </c>
      <c r="G547" s="10">
        <v>87.0</v>
      </c>
      <c r="K547" s="23">
        <v>499.0</v>
      </c>
    </row>
    <row r="548">
      <c r="A548" s="7" t="s">
        <v>582</v>
      </c>
      <c r="B548" s="7" t="s">
        <v>380</v>
      </c>
      <c r="C548" s="8">
        <v>7998.0</v>
      </c>
      <c r="D548" s="8">
        <v>11999.0</v>
      </c>
      <c r="E548" s="19">
        <v>0.33</v>
      </c>
      <c r="F548" s="10">
        <v>3.8</v>
      </c>
      <c r="G548" s="10">
        <v>125.0</v>
      </c>
      <c r="K548" s="23">
        <v>499.0</v>
      </c>
    </row>
    <row r="549">
      <c r="A549" s="7" t="s">
        <v>583</v>
      </c>
      <c r="B549" s="7" t="s">
        <v>373</v>
      </c>
      <c r="C549" s="8">
        <v>249.0</v>
      </c>
      <c r="D549" s="8">
        <v>999.0</v>
      </c>
      <c r="E549" s="19">
        <v>0.75</v>
      </c>
      <c r="F549" s="10">
        <v>4.5</v>
      </c>
      <c r="G549" s="10">
        <v>38.0</v>
      </c>
      <c r="K549" s="23">
        <v>499.0</v>
      </c>
    </row>
    <row r="550">
      <c r="A550" s="7" t="s">
        <v>584</v>
      </c>
      <c r="B550" s="7" t="s">
        <v>490</v>
      </c>
      <c r="C550" s="8">
        <v>299.0</v>
      </c>
      <c r="D550" s="8">
        <v>599.0</v>
      </c>
      <c r="E550" s="19">
        <v>0.5</v>
      </c>
      <c r="F550" s="10">
        <v>4.3</v>
      </c>
      <c r="G550" s="11">
        <v>4674.0</v>
      </c>
      <c r="K550" s="23">
        <v>499.0</v>
      </c>
    </row>
    <row r="551">
      <c r="A551" s="7" t="s">
        <v>585</v>
      </c>
      <c r="B551" s="7" t="s">
        <v>373</v>
      </c>
      <c r="C551" s="8">
        <v>499.0</v>
      </c>
      <c r="D551" s="8">
        <v>1899.0</v>
      </c>
      <c r="E551" s="19">
        <v>0.74</v>
      </c>
      <c r="F551" s="10">
        <v>4.1</v>
      </c>
      <c r="G551" s="10">
        <v>412.0</v>
      </c>
      <c r="K551" s="23">
        <v>499.0</v>
      </c>
    </row>
    <row r="552">
      <c r="A552" s="7" t="s">
        <v>586</v>
      </c>
      <c r="B552" s="7" t="s">
        <v>373</v>
      </c>
      <c r="C552" s="8">
        <v>899.0</v>
      </c>
      <c r="D552" s="8">
        <v>3499.0</v>
      </c>
      <c r="E552" s="19">
        <v>0.74</v>
      </c>
      <c r="F552" s="10">
        <v>3.0</v>
      </c>
      <c r="G552" s="10">
        <v>681.0</v>
      </c>
      <c r="K552" s="23">
        <v>499.0</v>
      </c>
    </row>
    <row r="553">
      <c r="A553" s="7" t="s">
        <v>587</v>
      </c>
      <c r="B553" s="7" t="s">
        <v>377</v>
      </c>
      <c r="C553" s="8">
        <v>1599.0</v>
      </c>
      <c r="D553" s="8">
        <v>3499.0</v>
      </c>
      <c r="E553" s="19">
        <v>0.54</v>
      </c>
      <c r="F553" s="10">
        <v>4.0</v>
      </c>
      <c r="G553" s="11">
        <v>36384.0</v>
      </c>
      <c r="K553" s="23">
        <v>499.0</v>
      </c>
    </row>
    <row r="554">
      <c r="A554" s="7" t="s">
        <v>588</v>
      </c>
      <c r="B554" s="7" t="s">
        <v>589</v>
      </c>
      <c r="C554" s="8">
        <v>120.0</v>
      </c>
      <c r="D554" s="8">
        <v>999.0</v>
      </c>
      <c r="E554" s="19">
        <v>0.88</v>
      </c>
      <c r="F554" s="10">
        <v>3.9</v>
      </c>
      <c r="G554" s="11">
        <v>6491.0</v>
      </c>
      <c r="K554" s="23">
        <v>499.0</v>
      </c>
    </row>
    <row r="555">
      <c r="A555" s="7" t="s">
        <v>590</v>
      </c>
      <c r="B555" s="7" t="s">
        <v>373</v>
      </c>
      <c r="C555" s="8">
        <v>3999.0</v>
      </c>
      <c r="D555" s="8">
        <v>6999.0</v>
      </c>
      <c r="E555" s="19">
        <v>0.43</v>
      </c>
      <c r="F555" s="10">
        <v>4.1</v>
      </c>
      <c r="G555" s="11">
        <v>10229.0</v>
      </c>
      <c r="K555" s="23">
        <v>499.0</v>
      </c>
    </row>
    <row r="556">
      <c r="A556" s="7" t="s">
        <v>540</v>
      </c>
      <c r="B556" s="7" t="s">
        <v>380</v>
      </c>
      <c r="C556" s="8">
        <v>12999.0</v>
      </c>
      <c r="D556" s="8">
        <v>18999.0</v>
      </c>
      <c r="E556" s="19">
        <v>0.32</v>
      </c>
      <c r="F556" s="10">
        <v>4.1</v>
      </c>
      <c r="G556" s="11">
        <v>50772.0</v>
      </c>
      <c r="K556" s="23">
        <v>499.0</v>
      </c>
    </row>
    <row r="557">
      <c r="A557" s="7" t="s">
        <v>591</v>
      </c>
      <c r="B557" s="7" t="s">
        <v>516</v>
      </c>
      <c r="C557" s="8">
        <v>1599.0</v>
      </c>
      <c r="D557" s="8">
        <v>2599.0</v>
      </c>
      <c r="E557" s="19">
        <v>0.38</v>
      </c>
      <c r="F557" s="10">
        <v>4.3</v>
      </c>
      <c r="G557" s="11">
        <v>1801.0</v>
      </c>
      <c r="K557" s="23">
        <v>499.0</v>
      </c>
    </row>
    <row r="558">
      <c r="A558" s="7" t="s">
        <v>592</v>
      </c>
      <c r="B558" s="7" t="s">
        <v>409</v>
      </c>
      <c r="C558" s="8">
        <v>699.0</v>
      </c>
      <c r="D558" s="8">
        <v>1199.0</v>
      </c>
      <c r="E558" s="19">
        <v>0.42</v>
      </c>
      <c r="F558" s="10">
        <v>4.0</v>
      </c>
      <c r="G558" s="11">
        <v>14404.0</v>
      </c>
      <c r="K558" s="23">
        <v>499.0</v>
      </c>
    </row>
    <row r="559">
      <c r="A559" s="7" t="s">
        <v>593</v>
      </c>
      <c r="B559" s="7" t="s">
        <v>594</v>
      </c>
      <c r="C559" s="8">
        <v>99.0</v>
      </c>
      <c r="D559" s="8">
        <v>999.0</v>
      </c>
      <c r="E559" s="19">
        <v>0.9</v>
      </c>
      <c r="F559" s="10">
        <v>4.4</v>
      </c>
      <c r="G559" s="10">
        <v>305.0</v>
      </c>
      <c r="K559" s="23">
        <v>499.0</v>
      </c>
    </row>
    <row r="560">
      <c r="A560" s="7" t="s">
        <v>595</v>
      </c>
      <c r="B560" s="7" t="s">
        <v>380</v>
      </c>
      <c r="C560" s="8">
        <v>7915.0</v>
      </c>
      <c r="D560" s="8">
        <v>9999.0</v>
      </c>
      <c r="E560" s="19">
        <v>0.21</v>
      </c>
      <c r="F560" s="10">
        <v>4.3</v>
      </c>
      <c r="G560" s="11">
        <v>1376.0</v>
      </c>
      <c r="K560" s="23">
        <v>499.0</v>
      </c>
    </row>
    <row r="561">
      <c r="A561" s="7" t="s">
        <v>596</v>
      </c>
      <c r="B561" s="7" t="s">
        <v>373</v>
      </c>
      <c r="C561" s="8">
        <v>1499.0</v>
      </c>
      <c r="D561" s="8">
        <v>7999.0</v>
      </c>
      <c r="E561" s="19">
        <v>0.81</v>
      </c>
      <c r="F561" s="10">
        <v>4.2</v>
      </c>
      <c r="G561" s="11">
        <v>22638.0</v>
      </c>
      <c r="K561" s="23">
        <v>499.0</v>
      </c>
    </row>
    <row r="562">
      <c r="A562" s="7" t="s">
        <v>597</v>
      </c>
      <c r="B562" s="7" t="s">
        <v>389</v>
      </c>
      <c r="C562" s="8">
        <v>1055.0</v>
      </c>
      <c r="D562" s="8">
        <v>1249.0</v>
      </c>
      <c r="E562" s="19">
        <v>0.16</v>
      </c>
      <c r="F562" s="10">
        <v>3.8</v>
      </c>
      <c r="G562" s="11">
        <v>2352.0</v>
      </c>
      <c r="K562" s="23">
        <v>499.0</v>
      </c>
    </row>
    <row r="563">
      <c r="A563" s="7" t="s">
        <v>598</v>
      </c>
      <c r="B563" s="7" t="s">
        <v>490</v>
      </c>
      <c r="C563" s="8">
        <v>150.0</v>
      </c>
      <c r="D563" s="8">
        <v>599.0</v>
      </c>
      <c r="E563" s="19">
        <v>0.75</v>
      </c>
      <c r="F563" s="10">
        <v>4.3</v>
      </c>
      <c r="G563" s="10">
        <v>714.0</v>
      </c>
      <c r="K563" s="23">
        <v>499.0</v>
      </c>
    </row>
    <row r="564">
      <c r="A564" s="7" t="s">
        <v>94</v>
      </c>
      <c r="B564" s="7" t="s">
        <v>15</v>
      </c>
      <c r="C564" s="8">
        <v>219.0</v>
      </c>
      <c r="D564" s="8">
        <v>700.0</v>
      </c>
      <c r="E564" s="19">
        <v>0.69</v>
      </c>
      <c r="F564" s="10">
        <v>4.3</v>
      </c>
      <c r="G564" s="11">
        <v>20052.0</v>
      </c>
      <c r="K564" s="23">
        <v>499.0</v>
      </c>
    </row>
    <row r="565">
      <c r="A565" s="7" t="s">
        <v>599</v>
      </c>
      <c r="B565" s="7" t="s">
        <v>516</v>
      </c>
      <c r="C565" s="8">
        <v>474.0</v>
      </c>
      <c r="D565" s="8">
        <v>1799.0</v>
      </c>
      <c r="E565" s="19">
        <v>0.74</v>
      </c>
      <c r="F565" s="10">
        <v>4.3</v>
      </c>
      <c r="G565" s="11">
        <v>1454.0</v>
      </c>
      <c r="K565" s="23">
        <v>499.0</v>
      </c>
    </row>
    <row r="566">
      <c r="A566" s="7" t="s">
        <v>98</v>
      </c>
      <c r="B566" s="7" t="s">
        <v>15</v>
      </c>
      <c r="C566" s="8">
        <v>115.0</v>
      </c>
      <c r="D566" s="8">
        <v>499.0</v>
      </c>
      <c r="E566" s="19">
        <v>0.77</v>
      </c>
      <c r="F566" s="10">
        <v>4.0</v>
      </c>
      <c r="G566" s="11">
        <v>7732.0</v>
      </c>
      <c r="K566" s="23">
        <v>499.0</v>
      </c>
    </row>
    <row r="567">
      <c r="A567" s="7" t="s">
        <v>600</v>
      </c>
      <c r="B567" s="7" t="s">
        <v>409</v>
      </c>
      <c r="C567" s="8">
        <v>239.0</v>
      </c>
      <c r="D567" s="8">
        <v>599.0</v>
      </c>
      <c r="E567" s="19">
        <v>0.6</v>
      </c>
      <c r="F567" s="10">
        <v>3.9</v>
      </c>
      <c r="G567" s="11">
        <v>2147.0</v>
      </c>
      <c r="K567" s="23">
        <v>499.0</v>
      </c>
    </row>
    <row r="568">
      <c r="A568" s="7" t="s">
        <v>601</v>
      </c>
      <c r="B568" s="7" t="s">
        <v>380</v>
      </c>
      <c r="C568" s="8">
        <v>7499.0</v>
      </c>
      <c r="D568" s="8">
        <v>9499.0</v>
      </c>
      <c r="E568" s="19">
        <v>0.21</v>
      </c>
      <c r="F568" s="10">
        <v>4.1</v>
      </c>
      <c r="G568" s="7" t="s">
        <v>513</v>
      </c>
      <c r="K568" s="23">
        <v>499.0</v>
      </c>
    </row>
    <row r="569">
      <c r="A569" s="7" t="s">
        <v>602</v>
      </c>
      <c r="B569" s="7" t="s">
        <v>373</v>
      </c>
      <c r="C569" s="8">
        <v>265.0</v>
      </c>
      <c r="D569" s="8">
        <v>999.0</v>
      </c>
      <c r="E569" s="19">
        <v>0.73</v>
      </c>
      <c r="F569" s="10">
        <v>3.7</v>
      </c>
      <c r="G569" s="10">
        <v>465.0</v>
      </c>
      <c r="K569" s="23">
        <v>499.0</v>
      </c>
    </row>
    <row r="570">
      <c r="A570" s="7" t="s">
        <v>603</v>
      </c>
      <c r="B570" s="7" t="s">
        <v>380</v>
      </c>
      <c r="C570" s="8">
        <v>37990.0</v>
      </c>
      <c r="D570" s="8">
        <v>74999.0</v>
      </c>
      <c r="E570" s="19">
        <v>0.49</v>
      </c>
      <c r="F570" s="10">
        <v>4.2</v>
      </c>
      <c r="G570" s="11">
        <v>27790.0</v>
      </c>
      <c r="K570" s="23">
        <v>499.0</v>
      </c>
    </row>
    <row r="571">
      <c r="A571" s="7" t="s">
        <v>100</v>
      </c>
      <c r="B571" s="7" t="s">
        <v>15</v>
      </c>
      <c r="C571" s="8">
        <v>199.0</v>
      </c>
      <c r="D571" s="8">
        <v>499.0</v>
      </c>
      <c r="E571" s="19">
        <v>0.6</v>
      </c>
      <c r="F571" s="10">
        <v>4.1</v>
      </c>
      <c r="G571" s="10">
        <v>602.0</v>
      </c>
      <c r="K571" s="23">
        <v>499.0</v>
      </c>
    </row>
    <row r="572">
      <c r="A572" s="7" t="s">
        <v>101</v>
      </c>
      <c r="B572" s="7" t="s">
        <v>15</v>
      </c>
      <c r="C572" s="8">
        <v>179.0</v>
      </c>
      <c r="D572" s="8">
        <v>399.0</v>
      </c>
      <c r="E572" s="19">
        <v>0.55</v>
      </c>
      <c r="F572" s="10">
        <v>4.0</v>
      </c>
      <c r="G572" s="11">
        <v>1423.0</v>
      </c>
      <c r="K572" s="23">
        <v>499.0</v>
      </c>
    </row>
    <row r="573">
      <c r="A573" s="7" t="s">
        <v>604</v>
      </c>
      <c r="B573" s="7" t="s">
        <v>441</v>
      </c>
      <c r="C573" s="8">
        <v>1799.0</v>
      </c>
      <c r="D573" s="8">
        <v>3999.0</v>
      </c>
      <c r="E573" s="19">
        <v>0.55</v>
      </c>
      <c r="F573" s="10">
        <v>4.6</v>
      </c>
      <c r="G573" s="10">
        <v>245.0</v>
      </c>
      <c r="K573" s="23">
        <v>499.0</v>
      </c>
    </row>
    <row r="574">
      <c r="A574" s="7" t="s">
        <v>605</v>
      </c>
      <c r="B574" s="7" t="s">
        <v>380</v>
      </c>
      <c r="C574" s="8">
        <v>8499.0</v>
      </c>
      <c r="D574" s="8">
        <v>11999.0</v>
      </c>
      <c r="E574" s="19">
        <v>0.29</v>
      </c>
      <c r="F574" s="10">
        <v>3.9</v>
      </c>
      <c r="G574" s="10">
        <v>276.0</v>
      </c>
      <c r="K574" s="23">
        <v>499.0</v>
      </c>
    </row>
    <row r="575">
      <c r="A575" s="7" t="s">
        <v>606</v>
      </c>
      <c r="B575" s="7" t="s">
        <v>373</v>
      </c>
      <c r="C575" s="8">
        <v>1999.0</v>
      </c>
      <c r="D575" s="8">
        <v>3999.0</v>
      </c>
      <c r="E575" s="19">
        <v>0.5</v>
      </c>
      <c r="F575" s="10">
        <v>4.0</v>
      </c>
      <c r="G575" s="11">
        <v>30254.0</v>
      </c>
      <c r="K575" s="23">
        <v>499.0</v>
      </c>
    </row>
    <row r="576">
      <c r="A576" s="7" t="s">
        <v>424</v>
      </c>
      <c r="B576" s="7" t="s">
        <v>373</v>
      </c>
      <c r="C576" s="8">
        <v>3999.0</v>
      </c>
      <c r="D576" s="8">
        <v>17999.0</v>
      </c>
      <c r="E576" s="19">
        <v>0.78</v>
      </c>
      <c r="F576" s="10">
        <v>4.3</v>
      </c>
      <c r="G576" s="11">
        <v>17161.0</v>
      </c>
      <c r="K576" s="23">
        <v>499.0</v>
      </c>
    </row>
    <row r="577">
      <c r="A577" s="7" t="s">
        <v>607</v>
      </c>
      <c r="B577" s="7" t="s">
        <v>409</v>
      </c>
      <c r="C577" s="8">
        <v>219.0</v>
      </c>
      <c r="D577" s="8">
        <v>499.0</v>
      </c>
      <c r="E577" s="19">
        <v>0.56</v>
      </c>
      <c r="F577" s="10">
        <v>4.4</v>
      </c>
      <c r="G577" s="10">
        <v>14.0</v>
      </c>
      <c r="K577" s="23">
        <v>499.0</v>
      </c>
    </row>
    <row r="578">
      <c r="A578" s="7" t="s">
        <v>608</v>
      </c>
      <c r="B578" s="7" t="s">
        <v>441</v>
      </c>
      <c r="C578" s="8">
        <v>599.0</v>
      </c>
      <c r="D578" s="8">
        <v>1399.0</v>
      </c>
      <c r="E578" s="19">
        <v>0.57</v>
      </c>
      <c r="F578" s="10">
        <v>4.1</v>
      </c>
      <c r="G578" s="11">
        <v>14560.0</v>
      </c>
      <c r="K578" s="23">
        <v>507.0</v>
      </c>
    </row>
    <row r="579">
      <c r="A579" s="7" t="s">
        <v>609</v>
      </c>
      <c r="B579" s="7" t="s">
        <v>377</v>
      </c>
      <c r="C579" s="8">
        <v>2499.0</v>
      </c>
      <c r="D579" s="8">
        <v>2999.0</v>
      </c>
      <c r="E579" s="19">
        <v>0.17</v>
      </c>
      <c r="F579" s="10">
        <v>4.1</v>
      </c>
      <c r="G579" s="11">
        <v>3156.0</v>
      </c>
      <c r="K579" s="23">
        <v>507.0</v>
      </c>
    </row>
    <row r="580">
      <c r="A580" s="7" t="s">
        <v>610</v>
      </c>
      <c r="B580" s="7" t="s">
        <v>611</v>
      </c>
      <c r="C580" s="8">
        <v>89.0</v>
      </c>
      <c r="D580" s="8">
        <v>499.0</v>
      </c>
      <c r="E580" s="19">
        <v>0.82</v>
      </c>
      <c r="F580" s="10">
        <v>4.1</v>
      </c>
      <c r="G580" s="11">
        <v>9340.0</v>
      </c>
      <c r="K580" s="23">
        <v>510.0</v>
      </c>
    </row>
    <row r="581">
      <c r="A581" s="7" t="s">
        <v>612</v>
      </c>
      <c r="B581" s="7" t="s">
        <v>373</v>
      </c>
      <c r="C581" s="8">
        <v>2999.0</v>
      </c>
      <c r="D581" s="8">
        <v>11999.0</v>
      </c>
      <c r="E581" s="19">
        <v>0.75</v>
      </c>
      <c r="F581" s="10">
        <v>4.4</v>
      </c>
      <c r="G581" s="10">
        <v>768.0</v>
      </c>
      <c r="K581" s="23">
        <v>519.0</v>
      </c>
    </row>
    <row r="582">
      <c r="A582" s="7" t="s">
        <v>613</v>
      </c>
      <c r="B582" s="7" t="s">
        <v>450</v>
      </c>
      <c r="C582" s="8">
        <v>314.0</v>
      </c>
      <c r="D582" s="8">
        <v>1499.0</v>
      </c>
      <c r="E582" s="19">
        <v>0.79</v>
      </c>
      <c r="F582" s="10">
        <v>4.5</v>
      </c>
      <c r="G582" s="11">
        <v>28978.0</v>
      </c>
      <c r="K582" s="23">
        <v>522.0</v>
      </c>
    </row>
    <row r="583">
      <c r="A583" s="7" t="s">
        <v>614</v>
      </c>
      <c r="B583" s="7" t="s">
        <v>380</v>
      </c>
      <c r="C583" s="8">
        <v>13999.0</v>
      </c>
      <c r="D583" s="8">
        <v>19499.0</v>
      </c>
      <c r="E583" s="19">
        <v>0.28</v>
      </c>
      <c r="F583" s="10">
        <v>4.1</v>
      </c>
      <c r="G583" s="11">
        <v>18998.0</v>
      </c>
      <c r="K583" s="23">
        <v>529.0</v>
      </c>
    </row>
    <row r="584">
      <c r="A584" s="7" t="s">
        <v>615</v>
      </c>
      <c r="B584" s="7" t="s">
        <v>423</v>
      </c>
      <c r="C584" s="8">
        <v>139.0</v>
      </c>
      <c r="D584" s="8">
        <v>499.0</v>
      </c>
      <c r="E584" s="19">
        <v>0.72</v>
      </c>
      <c r="F584" s="10">
        <v>4.2</v>
      </c>
      <c r="G584" s="11">
        <v>4971.0</v>
      </c>
      <c r="K584" s="23">
        <v>535.0</v>
      </c>
    </row>
    <row r="585">
      <c r="A585" s="7" t="s">
        <v>616</v>
      </c>
      <c r="B585" s="7" t="s">
        <v>502</v>
      </c>
      <c r="C585" s="8">
        <v>2599.0</v>
      </c>
      <c r="D585" s="8">
        <v>6999.0</v>
      </c>
      <c r="E585" s="19">
        <v>0.63</v>
      </c>
      <c r="F585" s="10">
        <v>4.5</v>
      </c>
      <c r="G585" s="11">
        <v>1526.0</v>
      </c>
      <c r="K585" s="23">
        <v>539.0</v>
      </c>
    </row>
    <row r="586">
      <c r="A586" s="7" t="s">
        <v>617</v>
      </c>
      <c r="B586" s="7" t="s">
        <v>393</v>
      </c>
      <c r="C586" s="8">
        <v>365.0</v>
      </c>
      <c r="D586" s="8">
        <v>999.0</v>
      </c>
      <c r="E586" s="19">
        <v>0.63</v>
      </c>
      <c r="F586" s="10">
        <v>4.1</v>
      </c>
      <c r="G586" s="7" t="s">
        <v>618</v>
      </c>
      <c r="K586" s="23">
        <v>539.0</v>
      </c>
    </row>
    <row r="587">
      <c r="A587" s="7" t="s">
        <v>619</v>
      </c>
      <c r="B587" s="7" t="s">
        <v>393</v>
      </c>
      <c r="C587" s="8">
        <v>1499.0</v>
      </c>
      <c r="D587" s="8">
        <v>4490.0</v>
      </c>
      <c r="E587" s="19">
        <v>0.67</v>
      </c>
      <c r="F587" s="10">
        <v>3.9</v>
      </c>
      <c r="G587" s="7" t="s">
        <v>620</v>
      </c>
      <c r="K587" s="23">
        <v>547.0</v>
      </c>
    </row>
    <row r="588">
      <c r="A588" s="7" t="s">
        <v>374</v>
      </c>
      <c r="B588" s="7" t="s">
        <v>373</v>
      </c>
      <c r="C588" s="8">
        <v>1998.0</v>
      </c>
      <c r="D588" s="8">
        <v>9999.0</v>
      </c>
      <c r="E588" s="19">
        <v>0.8</v>
      </c>
      <c r="F588" s="10">
        <v>4.3</v>
      </c>
      <c r="G588" s="11">
        <v>27709.0</v>
      </c>
      <c r="K588" s="23">
        <v>549.0</v>
      </c>
    </row>
    <row r="589">
      <c r="A589" s="7" t="s">
        <v>375</v>
      </c>
      <c r="B589" s="7" t="s">
        <v>373</v>
      </c>
      <c r="C589" s="8">
        <v>1799.0</v>
      </c>
      <c r="D589" s="8">
        <v>7990.0</v>
      </c>
      <c r="E589" s="19">
        <v>0.77</v>
      </c>
      <c r="F589" s="10">
        <v>3.8</v>
      </c>
      <c r="G589" s="11">
        <v>17833.0</v>
      </c>
      <c r="K589" s="23">
        <v>549.0</v>
      </c>
    </row>
    <row r="590">
      <c r="A590" s="7" t="s">
        <v>621</v>
      </c>
      <c r="B590" s="7" t="s">
        <v>622</v>
      </c>
      <c r="C590" s="8">
        <v>289.0</v>
      </c>
      <c r="D590" s="8">
        <v>650.0</v>
      </c>
      <c r="E590" s="19">
        <v>0.56</v>
      </c>
      <c r="F590" s="10">
        <v>4.3</v>
      </c>
      <c r="G590" s="7" t="s">
        <v>623</v>
      </c>
      <c r="K590" s="23">
        <v>549.0</v>
      </c>
    </row>
    <row r="591">
      <c r="A591" s="7" t="s">
        <v>624</v>
      </c>
      <c r="B591" s="7" t="s">
        <v>625</v>
      </c>
      <c r="C591" s="8">
        <v>599.0</v>
      </c>
      <c r="D591" s="8">
        <v>895.0</v>
      </c>
      <c r="E591" s="19">
        <v>0.33</v>
      </c>
      <c r="F591" s="10">
        <v>4.4</v>
      </c>
      <c r="G591" s="11">
        <v>61314.0</v>
      </c>
      <c r="K591" s="23">
        <v>549.0</v>
      </c>
    </row>
    <row r="592">
      <c r="A592" s="7" t="s">
        <v>626</v>
      </c>
      <c r="B592" s="7" t="s">
        <v>627</v>
      </c>
      <c r="C592" s="8">
        <v>217.0</v>
      </c>
      <c r="D592" s="8">
        <v>237.0</v>
      </c>
      <c r="E592" s="19">
        <v>0.08</v>
      </c>
      <c r="F592" s="10">
        <v>3.8</v>
      </c>
      <c r="G592" s="11">
        <v>7354.0</v>
      </c>
      <c r="K592" s="23">
        <v>549.0</v>
      </c>
    </row>
    <row r="593">
      <c r="A593" s="7" t="s">
        <v>628</v>
      </c>
      <c r="B593" s="7" t="s">
        <v>393</v>
      </c>
      <c r="C593" s="8">
        <v>1299.0</v>
      </c>
      <c r="D593" s="8">
        <v>2990.0</v>
      </c>
      <c r="E593" s="19">
        <v>0.57</v>
      </c>
      <c r="F593" s="10">
        <v>3.8</v>
      </c>
      <c r="G593" s="7" t="s">
        <v>629</v>
      </c>
      <c r="K593" s="23">
        <v>549.0</v>
      </c>
    </row>
    <row r="594">
      <c r="A594" s="7" t="s">
        <v>630</v>
      </c>
      <c r="B594" s="7" t="s">
        <v>631</v>
      </c>
      <c r="C594" s="8">
        <v>263.0</v>
      </c>
      <c r="D594" s="8">
        <v>699.0</v>
      </c>
      <c r="E594" s="19">
        <v>0.62</v>
      </c>
      <c r="F594" s="10">
        <v>3.5</v>
      </c>
      <c r="G594" s="10">
        <v>690.0</v>
      </c>
      <c r="K594" s="23">
        <v>549.0</v>
      </c>
    </row>
    <row r="595">
      <c r="A595" s="7" t="s">
        <v>385</v>
      </c>
      <c r="B595" s="7" t="s">
        <v>386</v>
      </c>
      <c r="C595" s="8">
        <v>569.0</v>
      </c>
      <c r="D595" s="8">
        <v>1000.0</v>
      </c>
      <c r="E595" s="19">
        <v>0.43</v>
      </c>
      <c r="F595" s="10">
        <v>4.4</v>
      </c>
      <c r="G595" s="11">
        <v>67262.0</v>
      </c>
      <c r="K595" s="23">
        <v>549.0</v>
      </c>
    </row>
    <row r="596">
      <c r="A596" s="7" t="s">
        <v>387</v>
      </c>
      <c r="B596" s="7" t="s">
        <v>373</v>
      </c>
      <c r="C596" s="8">
        <v>1999.0</v>
      </c>
      <c r="D596" s="8">
        <v>4999.0</v>
      </c>
      <c r="E596" s="19">
        <v>0.6</v>
      </c>
      <c r="F596" s="10">
        <v>4.1</v>
      </c>
      <c r="G596" s="11">
        <v>10689.0</v>
      </c>
      <c r="K596" s="23">
        <v>549.0</v>
      </c>
    </row>
    <row r="597">
      <c r="A597" s="7" t="s">
        <v>632</v>
      </c>
      <c r="B597" s="7" t="s">
        <v>393</v>
      </c>
      <c r="C597" s="8">
        <v>1399.0</v>
      </c>
      <c r="D597" s="8">
        <v>3990.0</v>
      </c>
      <c r="E597" s="19">
        <v>0.65</v>
      </c>
      <c r="F597" s="10">
        <v>4.1</v>
      </c>
      <c r="G597" s="7" t="s">
        <v>633</v>
      </c>
      <c r="K597" s="23">
        <v>549.0</v>
      </c>
    </row>
    <row r="598">
      <c r="A598" s="7" t="s">
        <v>634</v>
      </c>
      <c r="B598" s="7" t="s">
        <v>635</v>
      </c>
      <c r="C598" s="8">
        <v>349.0</v>
      </c>
      <c r="D598" s="8">
        <v>1499.0</v>
      </c>
      <c r="E598" s="19">
        <v>0.77</v>
      </c>
      <c r="F598" s="10">
        <v>4.3</v>
      </c>
      <c r="G598" s="11">
        <v>24791.0</v>
      </c>
      <c r="K598" s="23">
        <v>549.0</v>
      </c>
    </row>
    <row r="599">
      <c r="A599" s="7" t="s">
        <v>636</v>
      </c>
      <c r="B599" s="7" t="s">
        <v>393</v>
      </c>
      <c r="C599" s="8">
        <v>149.0</v>
      </c>
      <c r="D599" s="8">
        <v>399.0</v>
      </c>
      <c r="E599" s="19">
        <v>0.63</v>
      </c>
      <c r="F599" s="10">
        <v>3.5</v>
      </c>
      <c r="G599" s="11">
        <v>21764.0</v>
      </c>
      <c r="K599" s="23">
        <v>549.0</v>
      </c>
    </row>
    <row r="600">
      <c r="A600" s="7" t="s">
        <v>392</v>
      </c>
      <c r="B600" s="7" t="s">
        <v>393</v>
      </c>
      <c r="C600" s="8">
        <v>599.0</v>
      </c>
      <c r="D600" s="8">
        <v>999.0</v>
      </c>
      <c r="E600" s="19">
        <v>0.4</v>
      </c>
      <c r="F600" s="10">
        <v>4.1</v>
      </c>
      <c r="G600" s="7" t="s">
        <v>637</v>
      </c>
      <c r="K600" s="23">
        <v>559.0</v>
      </c>
    </row>
    <row r="601">
      <c r="A601" s="7" t="s">
        <v>638</v>
      </c>
      <c r="B601" s="7" t="s">
        <v>572</v>
      </c>
      <c r="C601" s="8">
        <v>1220.0</v>
      </c>
      <c r="D601" s="8">
        <v>3990.0</v>
      </c>
      <c r="E601" s="19">
        <v>0.69</v>
      </c>
      <c r="F601" s="10">
        <v>4.1</v>
      </c>
      <c r="G601" s="7" t="s">
        <v>639</v>
      </c>
      <c r="K601" s="23">
        <v>561.0</v>
      </c>
    </row>
    <row r="602">
      <c r="A602" s="7" t="s">
        <v>391</v>
      </c>
      <c r="B602" s="7" t="s">
        <v>373</v>
      </c>
      <c r="C602" s="8">
        <v>1499.0</v>
      </c>
      <c r="D602" s="8">
        <v>6990.0</v>
      </c>
      <c r="E602" s="19">
        <v>0.79</v>
      </c>
      <c r="F602" s="10">
        <v>3.9</v>
      </c>
      <c r="G602" s="11">
        <v>21797.0</v>
      </c>
      <c r="K602" s="23">
        <v>569.0</v>
      </c>
    </row>
    <row r="603">
      <c r="A603" s="7" t="s">
        <v>640</v>
      </c>
      <c r="B603" s="7" t="s">
        <v>393</v>
      </c>
      <c r="C603" s="8">
        <v>499.0</v>
      </c>
      <c r="D603" s="8">
        <v>999.0</v>
      </c>
      <c r="E603" s="19">
        <v>0.5</v>
      </c>
      <c r="F603" s="10">
        <v>3.9</v>
      </c>
      <c r="G603" s="11">
        <v>92995.0</v>
      </c>
      <c r="K603" s="23">
        <v>569.0</v>
      </c>
    </row>
    <row r="604">
      <c r="A604" s="7" t="s">
        <v>641</v>
      </c>
      <c r="B604" s="7" t="s">
        <v>454</v>
      </c>
      <c r="C604" s="8">
        <v>99.0</v>
      </c>
      <c r="D604" s="8">
        <v>999.0</v>
      </c>
      <c r="E604" s="19">
        <v>0.9</v>
      </c>
      <c r="F604" s="10">
        <v>4.1</v>
      </c>
      <c r="G604" s="11">
        <v>8751.0</v>
      </c>
      <c r="K604" s="23">
        <v>569.0</v>
      </c>
    </row>
    <row r="605">
      <c r="A605" s="7" t="s">
        <v>398</v>
      </c>
      <c r="B605" s="7" t="s">
        <v>399</v>
      </c>
      <c r="C605" s="8">
        <v>349.0</v>
      </c>
      <c r="D605" s="8">
        <v>1299.0</v>
      </c>
      <c r="E605" s="19">
        <v>0.73</v>
      </c>
      <c r="F605" s="10">
        <v>4.0</v>
      </c>
      <c r="G605" s="11">
        <v>14283.0</v>
      </c>
      <c r="K605" s="23">
        <v>570.0</v>
      </c>
    </row>
    <row r="606">
      <c r="A606" s="7" t="s">
        <v>642</v>
      </c>
      <c r="B606" s="7" t="s">
        <v>622</v>
      </c>
      <c r="C606" s="8">
        <v>475.0</v>
      </c>
      <c r="D606" s="8">
        <v>1500.0</v>
      </c>
      <c r="E606" s="19">
        <v>0.68</v>
      </c>
      <c r="F606" s="10">
        <v>4.2</v>
      </c>
      <c r="G606" s="11">
        <v>64273.0</v>
      </c>
      <c r="K606" s="23">
        <v>571.0</v>
      </c>
    </row>
    <row r="607">
      <c r="A607" s="7" t="s">
        <v>643</v>
      </c>
      <c r="B607" s="7" t="s">
        <v>625</v>
      </c>
      <c r="C607" s="8">
        <v>269.0</v>
      </c>
      <c r="D607" s="8">
        <v>649.0</v>
      </c>
      <c r="E607" s="19">
        <v>0.59</v>
      </c>
      <c r="F607" s="10">
        <v>4.3</v>
      </c>
      <c r="G607" s="11">
        <v>54315.0</v>
      </c>
      <c r="K607" s="23">
        <v>575.0</v>
      </c>
    </row>
    <row r="608">
      <c r="A608" s="7" t="s">
        <v>644</v>
      </c>
      <c r="B608" s="7" t="s">
        <v>625</v>
      </c>
      <c r="C608" s="8">
        <v>299.0</v>
      </c>
      <c r="D608" s="8">
        <v>599.0</v>
      </c>
      <c r="E608" s="19">
        <v>0.5</v>
      </c>
      <c r="F608" s="10">
        <v>4.1</v>
      </c>
      <c r="G608" s="11">
        <v>1597.0</v>
      </c>
      <c r="K608" s="23">
        <v>579.0</v>
      </c>
    </row>
    <row r="609">
      <c r="A609" s="7" t="s">
        <v>410</v>
      </c>
      <c r="B609" s="7" t="s">
        <v>373</v>
      </c>
      <c r="C609" s="8">
        <v>1599.0</v>
      </c>
      <c r="D609" s="8">
        <v>3999.0</v>
      </c>
      <c r="E609" s="19">
        <v>0.6</v>
      </c>
      <c r="F609" s="10">
        <v>4.0</v>
      </c>
      <c r="G609" s="11">
        <v>30254.0</v>
      </c>
      <c r="K609" s="23">
        <v>579.0</v>
      </c>
    </row>
    <row r="610">
      <c r="A610" s="7" t="s">
        <v>411</v>
      </c>
      <c r="B610" s="7" t="s">
        <v>373</v>
      </c>
      <c r="C610" s="8">
        <v>1499.0</v>
      </c>
      <c r="D610" s="8">
        <v>7999.0</v>
      </c>
      <c r="E610" s="19">
        <v>0.81</v>
      </c>
      <c r="F610" s="10">
        <v>4.2</v>
      </c>
      <c r="G610" s="11">
        <v>22638.0</v>
      </c>
      <c r="K610" s="23">
        <v>587.0</v>
      </c>
    </row>
    <row r="611">
      <c r="A611" s="7" t="s">
        <v>645</v>
      </c>
      <c r="B611" s="7" t="s">
        <v>393</v>
      </c>
      <c r="C611" s="8">
        <v>329.0</v>
      </c>
      <c r="D611" s="8">
        <v>999.0</v>
      </c>
      <c r="E611" s="19">
        <v>0.67</v>
      </c>
      <c r="F611" s="10">
        <v>3.9</v>
      </c>
      <c r="G611" s="11">
        <v>77027.0</v>
      </c>
      <c r="K611" s="23">
        <v>596.0</v>
      </c>
    </row>
    <row r="612">
      <c r="A612" s="7" t="s">
        <v>646</v>
      </c>
      <c r="B612" s="7" t="s">
        <v>647</v>
      </c>
      <c r="C612" s="8">
        <v>549.0</v>
      </c>
      <c r="D612" s="8">
        <v>1799.0</v>
      </c>
      <c r="E612" s="19">
        <v>0.69</v>
      </c>
      <c r="F612" s="10">
        <v>4.3</v>
      </c>
      <c r="G612" s="11">
        <v>28829.0</v>
      </c>
      <c r="K612" s="23">
        <v>598.0</v>
      </c>
    </row>
    <row r="613">
      <c r="A613" s="7" t="s">
        <v>415</v>
      </c>
      <c r="B613" s="7" t="s">
        <v>373</v>
      </c>
      <c r="C613" s="8">
        <v>2199.0</v>
      </c>
      <c r="D613" s="8">
        <v>9999.0</v>
      </c>
      <c r="E613" s="19">
        <v>0.78</v>
      </c>
      <c r="F613" s="10">
        <v>4.2</v>
      </c>
      <c r="G613" s="11">
        <v>29478.0</v>
      </c>
      <c r="K613" s="23">
        <v>598.0</v>
      </c>
    </row>
    <row r="614">
      <c r="A614" s="7" t="s">
        <v>648</v>
      </c>
      <c r="B614" s="7" t="s">
        <v>625</v>
      </c>
      <c r="C614" s="8">
        <v>299.0</v>
      </c>
      <c r="D614" s="8">
        <v>650.0</v>
      </c>
      <c r="E614" s="19">
        <v>0.54</v>
      </c>
      <c r="F614" s="10">
        <v>4.5</v>
      </c>
      <c r="G614" s="11">
        <v>33176.0</v>
      </c>
      <c r="K614" s="23">
        <v>599.0</v>
      </c>
    </row>
    <row r="615">
      <c r="A615" s="7" t="s">
        <v>649</v>
      </c>
      <c r="B615" s="7" t="s">
        <v>650</v>
      </c>
      <c r="C615" s="8">
        <v>798.0</v>
      </c>
      <c r="D615" s="8">
        <v>1995.0</v>
      </c>
      <c r="E615" s="19">
        <v>0.6</v>
      </c>
      <c r="F615" s="10">
        <v>4.0</v>
      </c>
      <c r="G615" s="11">
        <v>68664.0</v>
      </c>
      <c r="K615" s="23">
        <v>599.0</v>
      </c>
    </row>
    <row r="616">
      <c r="A616" s="7" t="s">
        <v>14</v>
      </c>
      <c r="B616" s="7" t="s">
        <v>15</v>
      </c>
      <c r="C616" s="8">
        <v>399.0</v>
      </c>
      <c r="D616" s="8">
        <v>1099.0</v>
      </c>
      <c r="E616" s="19">
        <v>0.64</v>
      </c>
      <c r="F616" s="10">
        <v>4.2</v>
      </c>
      <c r="G616" s="11">
        <v>24269.0</v>
      </c>
      <c r="K616" s="23">
        <v>599.0</v>
      </c>
    </row>
    <row r="617">
      <c r="A617" s="7" t="s">
        <v>651</v>
      </c>
      <c r="B617" s="7" t="s">
        <v>652</v>
      </c>
      <c r="C617" s="8">
        <v>266.0</v>
      </c>
      <c r="D617" s="8">
        <v>315.0</v>
      </c>
      <c r="E617" s="19">
        <v>0.16</v>
      </c>
      <c r="F617" s="10">
        <v>4.5</v>
      </c>
      <c r="G617" s="11">
        <v>28030.0</v>
      </c>
      <c r="K617" s="23">
        <v>599.0</v>
      </c>
    </row>
    <row r="618">
      <c r="A618" s="7" t="s">
        <v>653</v>
      </c>
      <c r="B618" s="7" t="s">
        <v>654</v>
      </c>
      <c r="C618" s="8">
        <v>50.0</v>
      </c>
      <c r="D618" s="8">
        <v>50.0</v>
      </c>
      <c r="E618" s="19">
        <v>0.0</v>
      </c>
      <c r="F618" s="10">
        <v>4.3</v>
      </c>
      <c r="G618" s="11">
        <v>5792.0</v>
      </c>
      <c r="K618" s="23">
        <v>599.0</v>
      </c>
    </row>
    <row r="619">
      <c r="A619" s="7" t="s">
        <v>655</v>
      </c>
      <c r="B619" s="7" t="s">
        <v>656</v>
      </c>
      <c r="C619" s="8">
        <v>130.0</v>
      </c>
      <c r="D619" s="8">
        <v>165.0</v>
      </c>
      <c r="E619" s="19">
        <v>0.21</v>
      </c>
      <c r="F619" s="10">
        <v>3.9</v>
      </c>
      <c r="G619" s="11">
        <v>14778.0</v>
      </c>
      <c r="K619" s="23">
        <v>599.0</v>
      </c>
    </row>
    <row r="620">
      <c r="A620" s="7" t="s">
        <v>657</v>
      </c>
      <c r="B620" s="7" t="s">
        <v>393</v>
      </c>
      <c r="C620" s="8">
        <v>449.0</v>
      </c>
      <c r="D620" s="8">
        <v>1290.0</v>
      </c>
      <c r="E620" s="19">
        <v>0.65</v>
      </c>
      <c r="F620" s="10">
        <v>4.1</v>
      </c>
      <c r="G620" s="11">
        <v>91770.0</v>
      </c>
      <c r="K620" s="23">
        <v>599.0</v>
      </c>
    </row>
    <row r="621">
      <c r="A621" s="7" t="s">
        <v>424</v>
      </c>
      <c r="B621" s="7" t="s">
        <v>373</v>
      </c>
      <c r="C621" s="8">
        <v>3999.0</v>
      </c>
      <c r="D621" s="8">
        <v>16999.0</v>
      </c>
      <c r="E621" s="19">
        <v>0.76</v>
      </c>
      <c r="F621" s="10">
        <v>4.3</v>
      </c>
      <c r="G621" s="11">
        <v>17162.0</v>
      </c>
      <c r="K621" s="23">
        <v>599.0</v>
      </c>
    </row>
    <row r="622">
      <c r="A622" s="7" t="s">
        <v>658</v>
      </c>
      <c r="B622" s="7" t="s">
        <v>393</v>
      </c>
      <c r="C622" s="8">
        <v>399.0</v>
      </c>
      <c r="D622" s="8">
        <v>1290.0</v>
      </c>
      <c r="E622" s="19">
        <v>0.69</v>
      </c>
      <c r="F622" s="10">
        <v>4.2</v>
      </c>
      <c r="G622" s="10">
        <v>206.0</v>
      </c>
      <c r="K622" s="23">
        <v>599.0</v>
      </c>
    </row>
    <row r="623">
      <c r="A623" s="7" t="s">
        <v>659</v>
      </c>
      <c r="B623" s="7" t="s">
        <v>660</v>
      </c>
      <c r="C623" s="8">
        <v>1399.0</v>
      </c>
      <c r="D623" s="8">
        <v>2498.0</v>
      </c>
      <c r="E623" s="19">
        <v>0.44</v>
      </c>
      <c r="F623" s="10">
        <v>4.2</v>
      </c>
      <c r="G623" s="11">
        <v>33717.0</v>
      </c>
      <c r="K623" s="23">
        <v>599.0</v>
      </c>
    </row>
    <row r="624">
      <c r="A624" s="7" t="s">
        <v>17</v>
      </c>
      <c r="B624" s="7" t="s">
        <v>15</v>
      </c>
      <c r="C624" s="8">
        <v>199.0</v>
      </c>
      <c r="D624" s="8">
        <v>349.0</v>
      </c>
      <c r="E624" s="19">
        <v>0.43</v>
      </c>
      <c r="F624" s="10">
        <v>4.0</v>
      </c>
      <c r="G624" s="11">
        <v>43994.0</v>
      </c>
      <c r="K624" s="23">
        <v>599.0</v>
      </c>
    </row>
    <row r="625">
      <c r="A625" s="7" t="s">
        <v>18</v>
      </c>
      <c r="B625" s="7" t="s">
        <v>15</v>
      </c>
      <c r="C625" s="8">
        <v>199.0</v>
      </c>
      <c r="D625" s="8">
        <v>999.0</v>
      </c>
      <c r="E625" s="19">
        <v>0.8</v>
      </c>
      <c r="F625" s="10">
        <v>3.9</v>
      </c>
      <c r="G625" s="11">
        <v>7928.0</v>
      </c>
      <c r="K625" s="23">
        <v>599.0</v>
      </c>
    </row>
    <row r="626">
      <c r="A626" s="7" t="s">
        <v>425</v>
      </c>
      <c r="B626" s="7" t="s">
        <v>373</v>
      </c>
      <c r="C626" s="8">
        <v>2998.0</v>
      </c>
      <c r="D626" s="8">
        <v>5999.0</v>
      </c>
      <c r="E626" s="19">
        <v>0.5</v>
      </c>
      <c r="F626" s="10">
        <v>4.1</v>
      </c>
      <c r="G626" s="11">
        <v>5179.0</v>
      </c>
      <c r="K626" s="23">
        <v>599.0</v>
      </c>
    </row>
    <row r="627">
      <c r="A627" s="7" t="s">
        <v>661</v>
      </c>
      <c r="B627" s="7" t="s">
        <v>662</v>
      </c>
      <c r="C627" s="8">
        <v>4098.0</v>
      </c>
      <c r="D627" s="8">
        <v>4999.0</v>
      </c>
      <c r="E627" s="19">
        <v>0.18</v>
      </c>
      <c r="F627" s="10">
        <v>4.5</v>
      </c>
      <c r="G627" s="11">
        <v>50810.0</v>
      </c>
      <c r="K627" s="23">
        <v>599.0</v>
      </c>
    </row>
    <row r="628">
      <c r="A628" s="7" t="s">
        <v>663</v>
      </c>
      <c r="B628" s="7" t="s">
        <v>664</v>
      </c>
      <c r="C628" s="8">
        <v>499.0</v>
      </c>
      <c r="D628" s="8">
        <v>1999.0</v>
      </c>
      <c r="E628" s="19">
        <v>0.75</v>
      </c>
      <c r="F628" s="10">
        <v>3.7</v>
      </c>
      <c r="G628" s="11">
        <v>3369.0</v>
      </c>
      <c r="K628" s="23">
        <v>599.0</v>
      </c>
    </row>
    <row r="629">
      <c r="A629" s="7" t="s">
        <v>665</v>
      </c>
      <c r="B629" s="7" t="s">
        <v>625</v>
      </c>
      <c r="C629" s="8">
        <v>299.0</v>
      </c>
      <c r="D629" s="8">
        <v>449.0</v>
      </c>
      <c r="E629" s="19">
        <v>0.33</v>
      </c>
      <c r="F629" s="10">
        <v>3.5</v>
      </c>
      <c r="G629" s="11">
        <v>11827.0</v>
      </c>
      <c r="K629" s="23">
        <v>599.0</v>
      </c>
    </row>
    <row r="630">
      <c r="A630" s="7" t="s">
        <v>19</v>
      </c>
      <c r="B630" s="7" t="s">
        <v>15</v>
      </c>
      <c r="C630" s="8">
        <v>329.0</v>
      </c>
      <c r="D630" s="8">
        <v>699.0</v>
      </c>
      <c r="E630" s="19">
        <v>0.53</v>
      </c>
      <c r="F630" s="10">
        <v>4.2</v>
      </c>
      <c r="G630" s="11">
        <v>94364.0</v>
      </c>
      <c r="K630" s="23">
        <v>599.0</v>
      </c>
    </row>
    <row r="631">
      <c r="A631" s="7" t="s">
        <v>666</v>
      </c>
      <c r="B631" s="7" t="s">
        <v>660</v>
      </c>
      <c r="C631" s="8">
        <v>699.0</v>
      </c>
      <c r="D631" s="8">
        <v>999.0</v>
      </c>
      <c r="E631" s="19">
        <v>0.3</v>
      </c>
      <c r="F631" s="10">
        <v>3.5</v>
      </c>
      <c r="G631" s="11">
        <v>15295.0</v>
      </c>
      <c r="K631" s="23">
        <v>599.0</v>
      </c>
    </row>
    <row r="632">
      <c r="A632" s="7" t="s">
        <v>667</v>
      </c>
      <c r="B632" s="7" t="s">
        <v>668</v>
      </c>
      <c r="C632" s="8">
        <v>799.0</v>
      </c>
      <c r="D632" s="8">
        <v>3990.0</v>
      </c>
      <c r="E632" s="19">
        <v>0.8</v>
      </c>
      <c r="F632" s="10">
        <v>4.3</v>
      </c>
      <c r="G632" s="11">
        <v>27139.0</v>
      </c>
      <c r="K632" s="23">
        <v>599.0</v>
      </c>
    </row>
    <row r="633">
      <c r="A633" s="7" t="s">
        <v>669</v>
      </c>
      <c r="B633" s="7" t="s">
        <v>393</v>
      </c>
      <c r="C633" s="8">
        <v>1399.0</v>
      </c>
      <c r="D633" s="8">
        <v>5499.0</v>
      </c>
      <c r="E633" s="19">
        <v>0.75</v>
      </c>
      <c r="F633" s="10">
        <v>3.9</v>
      </c>
      <c r="G633" s="11">
        <v>9504.0</v>
      </c>
      <c r="K633" s="23">
        <v>599.0</v>
      </c>
    </row>
    <row r="634">
      <c r="A634" s="7" t="s">
        <v>20</v>
      </c>
      <c r="B634" s="7" t="s">
        <v>15</v>
      </c>
      <c r="C634" s="8">
        <v>154.0</v>
      </c>
      <c r="D634" s="8">
        <v>399.0</v>
      </c>
      <c r="E634" s="19">
        <v>0.61</v>
      </c>
      <c r="F634" s="10">
        <v>4.2</v>
      </c>
      <c r="G634" s="11">
        <v>16905.0</v>
      </c>
      <c r="K634" s="23">
        <v>599.0</v>
      </c>
    </row>
    <row r="635">
      <c r="A635" s="7" t="s">
        <v>670</v>
      </c>
      <c r="B635" s="7" t="s">
        <v>622</v>
      </c>
      <c r="C635" s="8">
        <v>519.0</v>
      </c>
      <c r="D635" s="8">
        <v>1350.0</v>
      </c>
      <c r="E635" s="19">
        <v>0.62</v>
      </c>
      <c r="F635" s="10">
        <v>4.3</v>
      </c>
      <c r="G635" s="11">
        <v>30058.0</v>
      </c>
      <c r="K635" s="23">
        <v>599.0</v>
      </c>
    </row>
    <row r="636">
      <c r="A636" s="7" t="s">
        <v>439</v>
      </c>
      <c r="B636" s="7" t="s">
        <v>373</v>
      </c>
      <c r="C636" s="8">
        <v>2299.0</v>
      </c>
      <c r="D636" s="8">
        <v>7990.0</v>
      </c>
      <c r="E636" s="19">
        <v>0.71</v>
      </c>
      <c r="F636" s="10">
        <v>4.2</v>
      </c>
      <c r="G636" s="11">
        <v>69619.0</v>
      </c>
      <c r="K636" s="23">
        <v>599.0</v>
      </c>
    </row>
    <row r="637">
      <c r="A637" s="7" t="s">
        <v>440</v>
      </c>
      <c r="B637" s="7" t="s">
        <v>441</v>
      </c>
      <c r="C637" s="8">
        <v>399.0</v>
      </c>
      <c r="D637" s="8">
        <v>1999.0</v>
      </c>
      <c r="E637" s="19">
        <v>0.8</v>
      </c>
      <c r="F637" s="10">
        <v>4.0</v>
      </c>
      <c r="G637" s="11">
        <v>3382.0</v>
      </c>
      <c r="K637" s="23">
        <v>599.0</v>
      </c>
    </row>
    <row r="638">
      <c r="A638" s="7" t="s">
        <v>671</v>
      </c>
      <c r="B638" s="7" t="s">
        <v>393</v>
      </c>
      <c r="C638" s="8">
        <v>1499.0</v>
      </c>
      <c r="D638" s="8">
        <v>3990.0</v>
      </c>
      <c r="E638" s="19">
        <v>0.62</v>
      </c>
      <c r="F638" s="10">
        <v>4.1</v>
      </c>
      <c r="G638" s="7" t="s">
        <v>672</v>
      </c>
      <c r="K638" s="23">
        <v>599.0</v>
      </c>
    </row>
    <row r="639">
      <c r="A639" s="7" t="s">
        <v>673</v>
      </c>
      <c r="B639" s="7" t="s">
        <v>674</v>
      </c>
      <c r="C639" s="8">
        <v>1295.0</v>
      </c>
      <c r="D639" s="8">
        <v>1295.0</v>
      </c>
      <c r="E639" s="19">
        <v>0.0</v>
      </c>
      <c r="F639" s="10">
        <v>4.5</v>
      </c>
      <c r="G639" s="11">
        <v>5760.0</v>
      </c>
      <c r="K639" s="23">
        <v>599.0</v>
      </c>
    </row>
    <row r="640">
      <c r="A640" s="7" t="s">
        <v>675</v>
      </c>
      <c r="B640" s="7" t="s">
        <v>676</v>
      </c>
      <c r="C640" s="8">
        <v>1889.0</v>
      </c>
      <c r="D640" s="8">
        <v>5499.0</v>
      </c>
      <c r="E640" s="19">
        <v>0.66</v>
      </c>
      <c r="F640" s="10">
        <v>4.2</v>
      </c>
      <c r="G640" s="11">
        <v>49551.0</v>
      </c>
      <c r="K640" s="23">
        <v>599.0</v>
      </c>
    </row>
    <row r="641">
      <c r="A641" s="7" t="s">
        <v>677</v>
      </c>
      <c r="B641" s="7" t="s">
        <v>393</v>
      </c>
      <c r="C641" s="8">
        <v>455.0</v>
      </c>
      <c r="D641" s="8">
        <v>1490.0</v>
      </c>
      <c r="E641" s="19">
        <v>0.69</v>
      </c>
      <c r="F641" s="10">
        <v>4.1</v>
      </c>
      <c r="G641" s="7" t="s">
        <v>678</v>
      </c>
      <c r="K641" s="23">
        <v>599.0</v>
      </c>
    </row>
    <row r="642">
      <c r="A642" s="7" t="s">
        <v>679</v>
      </c>
      <c r="B642" s="7" t="s">
        <v>680</v>
      </c>
      <c r="C642" s="8">
        <v>399.0</v>
      </c>
      <c r="D642" s="8">
        <v>995.0</v>
      </c>
      <c r="E642" s="19">
        <v>0.6</v>
      </c>
      <c r="F642" s="10">
        <v>3.9</v>
      </c>
      <c r="G642" s="11">
        <v>21372.0</v>
      </c>
      <c r="K642" s="23">
        <v>600.0</v>
      </c>
    </row>
    <row r="643">
      <c r="A643" s="7" t="s">
        <v>442</v>
      </c>
      <c r="B643" s="7" t="s">
        <v>386</v>
      </c>
      <c r="C643" s="8">
        <v>1059.0</v>
      </c>
      <c r="D643" s="8">
        <v>3999.0</v>
      </c>
      <c r="E643" s="19">
        <v>0.74</v>
      </c>
      <c r="F643" s="10">
        <v>4.3</v>
      </c>
      <c r="G643" s="7" t="s">
        <v>681</v>
      </c>
      <c r="K643" s="23">
        <v>600.0</v>
      </c>
    </row>
    <row r="644">
      <c r="A644" s="7" t="s">
        <v>21</v>
      </c>
      <c r="B644" s="7" t="s">
        <v>15</v>
      </c>
      <c r="C644" s="8">
        <v>149.0</v>
      </c>
      <c r="D644" s="8">
        <v>1000.0</v>
      </c>
      <c r="E644" s="19">
        <v>0.85</v>
      </c>
      <c r="F644" s="10">
        <v>3.9</v>
      </c>
      <c r="G644" s="11">
        <v>24870.0</v>
      </c>
      <c r="K644" s="23">
        <v>609.0</v>
      </c>
    </row>
    <row r="645">
      <c r="A645" s="7" t="s">
        <v>682</v>
      </c>
      <c r="B645" s="7" t="s">
        <v>683</v>
      </c>
      <c r="C645" s="8">
        <v>717.0</v>
      </c>
      <c r="D645" s="8">
        <v>761.0</v>
      </c>
      <c r="E645" s="19">
        <v>0.06</v>
      </c>
      <c r="F645" s="10">
        <v>4.0</v>
      </c>
      <c r="G645" s="11">
        <v>7199.0</v>
      </c>
      <c r="K645" s="23">
        <v>610.0</v>
      </c>
    </row>
    <row r="646">
      <c r="A646" s="7" t="s">
        <v>453</v>
      </c>
      <c r="B646" s="7" t="s">
        <v>454</v>
      </c>
      <c r="C646" s="8">
        <v>99.0</v>
      </c>
      <c r="D646" s="8">
        <v>999.0</v>
      </c>
      <c r="E646" s="19">
        <v>0.9</v>
      </c>
      <c r="F646" s="10">
        <v>4.0</v>
      </c>
      <c r="G646" s="11">
        <v>1396.0</v>
      </c>
      <c r="K646" s="23">
        <v>616.0</v>
      </c>
    </row>
    <row r="647">
      <c r="A647" s="7" t="s">
        <v>684</v>
      </c>
      <c r="B647" s="7" t="s">
        <v>685</v>
      </c>
      <c r="C647" s="8">
        <v>39.0</v>
      </c>
      <c r="D647" s="8">
        <v>299.0</v>
      </c>
      <c r="E647" s="19">
        <v>0.87</v>
      </c>
      <c r="F647" s="10">
        <v>3.5</v>
      </c>
      <c r="G647" s="11">
        <v>15233.0</v>
      </c>
      <c r="K647" s="23">
        <v>625.0</v>
      </c>
    </row>
    <row r="648">
      <c r="A648" s="7" t="s">
        <v>686</v>
      </c>
      <c r="B648" s="7" t="s">
        <v>622</v>
      </c>
      <c r="C648" s="8">
        <v>889.0</v>
      </c>
      <c r="D648" s="8">
        <v>2500.0</v>
      </c>
      <c r="E648" s="19">
        <v>0.64</v>
      </c>
      <c r="F648" s="10">
        <v>4.3</v>
      </c>
      <c r="G648" s="11">
        <v>55747.0</v>
      </c>
      <c r="K648" s="23">
        <v>629.0</v>
      </c>
    </row>
    <row r="649">
      <c r="A649" s="7" t="s">
        <v>687</v>
      </c>
      <c r="B649" s="7" t="s">
        <v>393</v>
      </c>
      <c r="C649" s="8">
        <v>1199.0</v>
      </c>
      <c r="D649" s="8">
        <v>4999.0</v>
      </c>
      <c r="E649" s="19">
        <v>0.76</v>
      </c>
      <c r="F649" s="10">
        <v>3.8</v>
      </c>
      <c r="G649" s="11">
        <v>14961.0</v>
      </c>
      <c r="K649" s="23">
        <v>635.0</v>
      </c>
    </row>
    <row r="650">
      <c r="A650" s="7" t="s">
        <v>688</v>
      </c>
      <c r="B650" s="7" t="s">
        <v>625</v>
      </c>
      <c r="C650" s="8">
        <v>569.0</v>
      </c>
      <c r="D650" s="8">
        <v>1299.0</v>
      </c>
      <c r="E650" s="19">
        <v>0.56</v>
      </c>
      <c r="F650" s="10">
        <v>4.4</v>
      </c>
      <c r="G650" s="11">
        <v>9275.0</v>
      </c>
      <c r="K650" s="23">
        <v>637.0</v>
      </c>
    </row>
    <row r="651">
      <c r="A651" s="7" t="s">
        <v>689</v>
      </c>
      <c r="B651" s="7" t="s">
        <v>393</v>
      </c>
      <c r="C651" s="8">
        <v>1499.0</v>
      </c>
      <c r="D651" s="8">
        <v>8999.0</v>
      </c>
      <c r="E651" s="19">
        <v>0.83</v>
      </c>
      <c r="F651" s="10">
        <v>3.7</v>
      </c>
      <c r="G651" s="11">
        <v>28324.0</v>
      </c>
      <c r="K651" s="23">
        <v>640.0</v>
      </c>
    </row>
    <row r="652">
      <c r="A652" s="7" t="s">
        <v>690</v>
      </c>
      <c r="B652" s="7" t="s">
        <v>652</v>
      </c>
      <c r="C652" s="8">
        <v>149.0</v>
      </c>
      <c r="D652" s="8">
        <v>180.0</v>
      </c>
      <c r="E652" s="19">
        <v>0.17</v>
      </c>
      <c r="F652" s="10">
        <v>4.4</v>
      </c>
      <c r="G652" s="10">
        <v>644.0</v>
      </c>
      <c r="K652" s="23">
        <v>645.0</v>
      </c>
    </row>
    <row r="653">
      <c r="A653" s="7" t="s">
        <v>691</v>
      </c>
      <c r="B653" s="7" t="s">
        <v>692</v>
      </c>
      <c r="C653" s="8">
        <v>399.0</v>
      </c>
      <c r="D653" s="8">
        <v>549.0</v>
      </c>
      <c r="E653" s="19">
        <v>0.27</v>
      </c>
      <c r="F653" s="10">
        <v>4.4</v>
      </c>
      <c r="G653" s="11">
        <v>18139.0</v>
      </c>
      <c r="K653" s="23">
        <v>649.0</v>
      </c>
    </row>
    <row r="654">
      <c r="A654" s="7" t="s">
        <v>693</v>
      </c>
      <c r="B654" s="7" t="s">
        <v>694</v>
      </c>
      <c r="C654" s="8">
        <v>191.0</v>
      </c>
      <c r="D654" s="8">
        <v>225.0</v>
      </c>
      <c r="E654" s="19">
        <v>0.15</v>
      </c>
      <c r="F654" s="10">
        <v>4.4</v>
      </c>
      <c r="G654" s="11">
        <v>7203.0</v>
      </c>
      <c r="K654" s="23">
        <v>649.0</v>
      </c>
    </row>
    <row r="655">
      <c r="A655" s="7" t="s">
        <v>695</v>
      </c>
      <c r="B655" s="7" t="s">
        <v>696</v>
      </c>
      <c r="C655" s="8">
        <v>129.0</v>
      </c>
      <c r="D655" s="8">
        <v>999.0</v>
      </c>
      <c r="E655" s="19">
        <v>0.87</v>
      </c>
      <c r="F655" s="10">
        <v>4.2</v>
      </c>
      <c r="G655" s="10">
        <v>491.0</v>
      </c>
      <c r="K655" s="23">
        <v>649.0</v>
      </c>
    </row>
    <row r="656">
      <c r="A656" s="7" t="s">
        <v>697</v>
      </c>
      <c r="B656" s="7" t="s">
        <v>698</v>
      </c>
      <c r="C656" s="8">
        <v>199.0</v>
      </c>
      <c r="D656" s="8">
        <v>599.0</v>
      </c>
      <c r="E656" s="19">
        <v>0.67</v>
      </c>
      <c r="F656" s="10">
        <v>4.5</v>
      </c>
      <c r="G656" s="11">
        <v>13568.0</v>
      </c>
      <c r="K656" s="23">
        <v>649.0</v>
      </c>
    </row>
    <row r="657">
      <c r="A657" s="7" t="s">
        <v>699</v>
      </c>
      <c r="B657" s="7" t="s">
        <v>393</v>
      </c>
      <c r="C657" s="8">
        <v>999.0</v>
      </c>
      <c r="D657" s="8">
        <v>4499.0</v>
      </c>
      <c r="E657" s="19">
        <v>0.78</v>
      </c>
      <c r="F657" s="10">
        <v>3.8</v>
      </c>
      <c r="G657" s="11">
        <v>3390.0</v>
      </c>
      <c r="K657" s="23">
        <v>649.0</v>
      </c>
    </row>
    <row r="658">
      <c r="A658" s="7" t="s">
        <v>700</v>
      </c>
      <c r="B658" s="7" t="s">
        <v>393</v>
      </c>
      <c r="C658" s="8">
        <v>899.0</v>
      </c>
      <c r="D658" s="8">
        <v>4499.0</v>
      </c>
      <c r="E658" s="19">
        <v>0.8</v>
      </c>
      <c r="F658" s="10">
        <v>3.8</v>
      </c>
      <c r="G658" s="7" t="s">
        <v>701</v>
      </c>
      <c r="K658" s="23">
        <v>649.0</v>
      </c>
    </row>
    <row r="659">
      <c r="A659" s="7" t="s">
        <v>463</v>
      </c>
      <c r="B659" s="7" t="s">
        <v>377</v>
      </c>
      <c r="C659" s="8">
        <v>1799.0</v>
      </c>
      <c r="D659" s="8">
        <v>2499.0</v>
      </c>
      <c r="E659" s="19">
        <v>0.28</v>
      </c>
      <c r="F659" s="10">
        <v>4.1</v>
      </c>
      <c r="G659" s="11">
        <v>18678.0</v>
      </c>
      <c r="K659" s="23">
        <v>649.0</v>
      </c>
    </row>
    <row r="660">
      <c r="A660" s="7" t="s">
        <v>22</v>
      </c>
      <c r="B660" s="7" t="s">
        <v>15</v>
      </c>
      <c r="C660" s="8">
        <v>176.63</v>
      </c>
      <c r="D660" s="8">
        <v>499.0</v>
      </c>
      <c r="E660" s="19">
        <v>0.65</v>
      </c>
      <c r="F660" s="10">
        <v>4.1</v>
      </c>
      <c r="G660" s="11">
        <v>15189.0</v>
      </c>
      <c r="K660" s="23">
        <v>649.0</v>
      </c>
    </row>
    <row r="661">
      <c r="A661" s="7" t="s">
        <v>702</v>
      </c>
      <c r="B661" s="7" t="s">
        <v>674</v>
      </c>
      <c r="C661" s="8">
        <v>522.0</v>
      </c>
      <c r="D661" s="8">
        <v>550.0</v>
      </c>
      <c r="E661" s="19">
        <v>0.05</v>
      </c>
      <c r="F661" s="10">
        <v>4.4</v>
      </c>
      <c r="G661" s="11">
        <v>12179.0</v>
      </c>
      <c r="K661" s="23">
        <v>649.0</v>
      </c>
    </row>
    <row r="662">
      <c r="A662" s="7" t="s">
        <v>703</v>
      </c>
      <c r="B662" s="7" t="s">
        <v>704</v>
      </c>
      <c r="C662" s="8">
        <v>799.0</v>
      </c>
      <c r="D662" s="8">
        <v>1999.0</v>
      </c>
      <c r="E662" s="19">
        <v>0.6</v>
      </c>
      <c r="F662" s="10">
        <v>3.8</v>
      </c>
      <c r="G662" s="11">
        <v>12958.0</v>
      </c>
      <c r="K662" s="23">
        <v>649.0</v>
      </c>
    </row>
    <row r="663">
      <c r="A663" s="7" t="s">
        <v>705</v>
      </c>
      <c r="B663" s="7" t="s">
        <v>625</v>
      </c>
      <c r="C663" s="8">
        <v>681.0</v>
      </c>
      <c r="D663" s="8">
        <v>1199.0</v>
      </c>
      <c r="E663" s="19">
        <v>0.43</v>
      </c>
      <c r="F663" s="10">
        <v>4.2</v>
      </c>
      <c r="G663" s="11">
        <v>8258.0</v>
      </c>
      <c r="K663" s="23">
        <v>649.0</v>
      </c>
    </row>
    <row r="664">
      <c r="A664" s="7" t="s">
        <v>706</v>
      </c>
      <c r="B664" s="7" t="s">
        <v>707</v>
      </c>
      <c r="C664" s="8">
        <v>1199.0</v>
      </c>
      <c r="D664" s="8">
        <v>3490.0</v>
      </c>
      <c r="E664" s="19">
        <v>0.66</v>
      </c>
      <c r="F664" s="10">
        <v>4.1</v>
      </c>
      <c r="G664" s="11">
        <v>11716.0</v>
      </c>
      <c r="K664" s="23">
        <v>649.0</v>
      </c>
    </row>
    <row r="665">
      <c r="A665" s="7" t="s">
        <v>708</v>
      </c>
      <c r="B665" s="7" t="s">
        <v>709</v>
      </c>
      <c r="C665" s="8">
        <v>2499.0</v>
      </c>
      <c r="D665" s="8">
        <v>4999.0</v>
      </c>
      <c r="E665" s="19">
        <v>0.5</v>
      </c>
      <c r="F665" s="10">
        <v>4.4</v>
      </c>
      <c r="G665" s="11">
        <v>35024.0</v>
      </c>
      <c r="K665" s="23">
        <v>649.0</v>
      </c>
    </row>
    <row r="666">
      <c r="A666" s="7" t="s">
        <v>710</v>
      </c>
      <c r="B666" s="7" t="s">
        <v>711</v>
      </c>
      <c r="C666" s="8">
        <v>1799.0</v>
      </c>
      <c r="D666" s="8">
        <v>4999.0</v>
      </c>
      <c r="E666" s="19">
        <v>0.64</v>
      </c>
      <c r="F666" s="10">
        <v>4.1</v>
      </c>
      <c r="G666" s="11">
        <v>55192.0</v>
      </c>
      <c r="K666" s="23">
        <v>653.0</v>
      </c>
    </row>
    <row r="667">
      <c r="A667" s="7" t="s">
        <v>712</v>
      </c>
      <c r="B667" s="7" t="s">
        <v>393</v>
      </c>
      <c r="C667" s="8">
        <v>429.0</v>
      </c>
      <c r="D667" s="8">
        <v>599.0</v>
      </c>
      <c r="E667" s="19">
        <v>0.28</v>
      </c>
      <c r="F667" s="10">
        <v>4.1</v>
      </c>
      <c r="G667" s="7" t="s">
        <v>713</v>
      </c>
      <c r="K667" s="23">
        <v>655.0</v>
      </c>
    </row>
    <row r="668">
      <c r="A668" s="7" t="s">
        <v>714</v>
      </c>
      <c r="B668" s="7" t="s">
        <v>627</v>
      </c>
      <c r="C668" s="8">
        <v>100.0</v>
      </c>
      <c r="D668" s="8">
        <v>499.0</v>
      </c>
      <c r="E668" s="19">
        <v>0.8</v>
      </c>
      <c r="F668" s="10">
        <v>3.5</v>
      </c>
      <c r="G668" s="11">
        <v>9638.0</v>
      </c>
      <c r="K668" s="23">
        <v>656.0</v>
      </c>
    </row>
    <row r="669">
      <c r="A669" s="7" t="s">
        <v>715</v>
      </c>
      <c r="B669" s="7" t="s">
        <v>647</v>
      </c>
      <c r="C669" s="8">
        <v>329.0</v>
      </c>
      <c r="D669" s="8">
        <v>399.0</v>
      </c>
      <c r="E669" s="19">
        <v>0.18</v>
      </c>
      <c r="F669" s="10">
        <v>3.6</v>
      </c>
      <c r="G669" s="11">
        <v>33735.0</v>
      </c>
      <c r="K669" s="23">
        <v>657.0</v>
      </c>
    </row>
    <row r="670">
      <c r="A670" s="7" t="s">
        <v>23</v>
      </c>
      <c r="B670" s="7" t="s">
        <v>15</v>
      </c>
      <c r="C670" s="8">
        <v>229.0</v>
      </c>
      <c r="D670" s="8">
        <v>299.0</v>
      </c>
      <c r="E670" s="19">
        <v>0.23</v>
      </c>
      <c r="F670" s="10">
        <v>4.3</v>
      </c>
      <c r="G670" s="11">
        <v>30411.0</v>
      </c>
      <c r="K670" s="23">
        <v>660.0</v>
      </c>
    </row>
    <row r="671">
      <c r="A671" s="7" t="s">
        <v>716</v>
      </c>
      <c r="B671" s="7" t="s">
        <v>625</v>
      </c>
      <c r="C671" s="8">
        <v>139.0</v>
      </c>
      <c r="D671" s="8">
        <v>299.0</v>
      </c>
      <c r="E671" s="19">
        <v>0.54</v>
      </c>
      <c r="F671" s="10">
        <v>3.8</v>
      </c>
      <c r="G671" s="11">
        <v>3044.0</v>
      </c>
      <c r="K671" s="23">
        <v>664.0</v>
      </c>
    </row>
    <row r="672">
      <c r="A672" s="7" t="s">
        <v>717</v>
      </c>
      <c r="B672" s="7" t="s">
        <v>572</v>
      </c>
      <c r="C672" s="8">
        <v>1199.0</v>
      </c>
      <c r="D672" s="8">
        <v>2499.0</v>
      </c>
      <c r="E672" s="19">
        <v>0.52</v>
      </c>
      <c r="F672" s="10">
        <v>4.0</v>
      </c>
      <c r="G672" s="11">
        <v>33584.0</v>
      </c>
      <c r="K672" s="23">
        <v>664.0</v>
      </c>
    </row>
    <row r="673">
      <c r="A673" s="7" t="s">
        <v>718</v>
      </c>
      <c r="B673" s="7" t="s">
        <v>719</v>
      </c>
      <c r="C673" s="8">
        <v>1049.0</v>
      </c>
      <c r="D673" s="8">
        <v>2299.0</v>
      </c>
      <c r="E673" s="19">
        <v>0.54</v>
      </c>
      <c r="F673" s="10">
        <v>3.9</v>
      </c>
      <c r="G673" s="11">
        <v>1779.0</v>
      </c>
      <c r="K673" s="23">
        <v>669.0</v>
      </c>
    </row>
    <row r="674">
      <c r="A674" s="7" t="s">
        <v>468</v>
      </c>
      <c r="B674" s="7" t="s">
        <v>469</v>
      </c>
      <c r="C674" s="8">
        <v>119.0</v>
      </c>
      <c r="D674" s="8">
        <v>299.0</v>
      </c>
      <c r="E674" s="19">
        <v>0.6</v>
      </c>
      <c r="F674" s="10">
        <v>4.1</v>
      </c>
      <c r="G674" s="11">
        <v>5999.0</v>
      </c>
      <c r="K674" s="23">
        <v>678.0</v>
      </c>
    </row>
    <row r="675">
      <c r="A675" s="7" t="s">
        <v>28</v>
      </c>
      <c r="B675" s="7" t="s">
        <v>15</v>
      </c>
      <c r="C675" s="8">
        <v>154.0</v>
      </c>
      <c r="D675" s="8">
        <v>339.0</v>
      </c>
      <c r="E675" s="19">
        <v>0.55</v>
      </c>
      <c r="F675" s="10">
        <v>4.3</v>
      </c>
      <c r="G675" s="11">
        <v>13391.0</v>
      </c>
      <c r="K675" s="23">
        <v>681.0</v>
      </c>
    </row>
    <row r="676">
      <c r="A676" s="7" t="s">
        <v>720</v>
      </c>
      <c r="B676" s="7" t="s">
        <v>721</v>
      </c>
      <c r="C676" s="8">
        <v>225.0</v>
      </c>
      <c r="D676" s="8">
        <v>250.0</v>
      </c>
      <c r="E676" s="19">
        <v>0.1</v>
      </c>
      <c r="F676" s="10">
        <v>4.4</v>
      </c>
      <c r="G676" s="11">
        <v>26556.0</v>
      </c>
      <c r="K676" s="23">
        <v>688.0</v>
      </c>
    </row>
    <row r="677">
      <c r="A677" s="7" t="s">
        <v>722</v>
      </c>
      <c r="B677" s="7" t="s">
        <v>631</v>
      </c>
      <c r="C677" s="8">
        <v>656.0</v>
      </c>
      <c r="D677" s="8">
        <v>1499.0</v>
      </c>
      <c r="E677" s="19">
        <v>0.56</v>
      </c>
      <c r="F677" s="10">
        <v>4.3</v>
      </c>
      <c r="G677" s="11">
        <v>25903.0</v>
      </c>
      <c r="K677" s="23">
        <v>689.0</v>
      </c>
    </row>
    <row r="678">
      <c r="A678" s="7" t="s">
        <v>723</v>
      </c>
      <c r="B678" s="7" t="s">
        <v>622</v>
      </c>
      <c r="C678" s="8">
        <v>1109.0</v>
      </c>
      <c r="D678" s="8">
        <v>2800.0</v>
      </c>
      <c r="E678" s="19">
        <v>0.6</v>
      </c>
      <c r="F678" s="10">
        <v>4.3</v>
      </c>
      <c r="G678" s="11">
        <v>53464.0</v>
      </c>
      <c r="K678" s="23">
        <v>689.0</v>
      </c>
    </row>
    <row r="679">
      <c r="A679" s="7" t="s">
        <v>465</v>
      </c>
      <c r="B679" s="7" t="s">
        <v>373</v>
      </c>
      <c r="C679" s="8">
        <v>2999.0</v>
      </c>
      <c r="D679" s="8">
        <v>7990.0</v>
      </c>
      <c r="E679" s="19">
        <v>0.62</v>
      </c>
      <c r="F679" s="10">
        <v>4.1</v>
      </c>
      <c r="G679" s="11">
        <v>48448.0</v>
      </c>
      <c r="K679" s="23">
        <v>697.0</v>
      </c>
    </row>
    <row r="680">
      <c r="A680" s="7" t="s">
        <v>724</v>
      </c>
      <c r="B680" s="7" t="s">
        <v>696</v>
      </c>
      <c r="C680" s="8">
        <v>169.0</v>
      </c>
      <c r="D680" s="8">
        <v>299.0</v>
      </c>
      <c r="E680" s="19">
        <v>0.43</v>
      </c>
      <c r="F680" s="10">
        <v>4.4</v>
      </c>
      <c r="G680" s="11">
        <v>5176.0</v>
      </c>
      <c r="K680" s="23">
        <v>698.0</v>
      </c>
    </row>
    <row r="681">
      <c r="A681" s="7" t="s">
        <v>725</v>
      </c>
      <c r="B681" s="7" t="s">
        <v>683</v>
      </c>
      <c r="C681" s="8">
        <v>309.0</v>
      </c>
      <c r="D681" s="8">
        <v>404.0</v>
      </c>
      <c r="E681" s="19">
        <v>0.24</v>
      </c>
      <c r="F681" s="10">
        <v>4.4</v>
      </c>
      <c r="G681" s="11">
        <v>8614.0</v>
      </c>
      <c r="K681" s="23">
        <v>699.0</v>
      </c>
    </row>
    <row r="682">
      <c r="A682" s="7" t="s">
        <v>726</v>
      </c>
      <c r="B682" s="7" t="s">
        <v>572</v>
      </c>
      <c r="C682" s="8">
        <v>599.0</v>
      </c>
      <c r="D682" s="8">
        <v>1399.0</v>
      </c>
      <c r="E682" s="19">
        <v>0.57</v>
      </c>
      <c r="F682" s="10">
        <v>3.8</v>
      </c>
      <c r="G682" s="11">
        <v>60026.0</v>
      </c>
      <c r="K682" s="23">
        <v>699.0</v>
      </c>
    </row>
    <row r="683">
      <c r="A683" s="15" t="s">
        <v>727</v>
      </c>
      <c r="B683" s="7" t="s">
        <v>647</v>
      </c>
      <c r="C683" s="8">
        <v>299.0</v>
      </c>
      <c r="D683" s="8">
        <v>599.0</v>
      </c>
      <c r="E683" s="19">
        <v>0.5</v>
      </c>
      <c r="F683" s="10">
        <v>3.8</v>
      </c>
      <c r="G683" s="11">
        <v>3066.0</v>
      </c>
      <c r="K683" s="23">
        <v>699.0</v>
      </c>
    </row>
    <row r="684">
      <c r="A684" s="7" t="s">
        <v>728</v>
      </c>
      <c r="B684" s="7" t="s">
        <v>631</v>
      </c>
      <c r="C684" s="8">
        <v>449.0</v>
      </c>
      <c r="D684" s="8">
        <v>999.0</v>
      </c>
      <c r="E684" s="19">
        <v>0.55</v>
      </c>
      <c r="F684" s="10">
        <v>4.0</v>
      </c>
      <c r="G684" s="11">
        <v>2102.0</v>
      </c>
      <c r="K684" s="23">
        <v>699.0</v>
      </c>
    </row>
    <row r="685">
      <c r="A685" s="7" t="s">
        <v>729</v>
      </c>
      <c r="B685" s="7" t="s">
        <v>625</v>
      </c>
      <c r="C685" s="8">
        <v>799.0</v>
      </c>
      <c r="D685" s="8">
        <v>1295.0</v>
      </c>
      <c r="E685" s="19">
        <v>0.38</v>
      </c>
      <c r="F685" s="10">
        <v>4.4</v>
      </c>
      <c r="G685" s="11">
        <v>34852.0</v>
      </c>
      <c r="K685" s="23">
        <v>699.0</v>
      </c>
    </row>
    <row r="686">
      <c r="A686" s="7" t="s">
        <v>30</v>
      </c>
      <c r="B686" s="7" t="s">
        <v>31</v>
      </c>
      <c r="C686" s="8">
        <v>219.0</v>
      </c>
      <c r="D686" s="8">
        <v>700.0</v>
      </c>
      <c r="E686" s="19">
        <v>0.69</v>
      </c>
      <c r="F686" s="10">
        <v>4.4</v>
      </c>
      <c r="G686" s="7" t="s">
        <v>730</v>
      </c>
      <c r="K686" s="23">
        <v>699.0</v>
      </c>
    </row>
    <row r="687">
      <c r="A687" s="7" t="s">
        <v>731</v>
      </c>
      <c r="B687" s="7" t="s">
        <v>732</v>
      </c>
      <c r="C687" s="8">
        <v>157.0</v>
      </c>
      <c r="D687" s="8">
        <v>160.0</v>
      </c>
      <c r="E687" s="19">
        <v>0.02</v>
      </c>
      <c r="F687" s="10">
        <v>4.5</v>
      </c>
      <c r="G687" s="11">
        <v>8618.0</v>
      </c>
      <c r="K687" s="23">
        <v>699.0</v>
      </c>
    </row>
    <row r="688">
      <c r="A688" s="7" t="s">
        <v>475</v>
      </c>
      <c r="B688" s="7" t="s">
        <v>386</v>
      </c>
      <c r="C688" s="8">
        <v>369.0</v>
      </c>
      <c r="D688" s="8">
        <v>1600.0</v>
      </c>
      <c r="E688" s="19">
        <v>0.77</v>
      </c>
      <c r="F688" s="10">
        <v>4.0</v>
      </c>
      <c r="G688" s="11">
        <v>32625.0</v>
      </c>
      <c r="K688" s="23">
        <v>699.0</v>
      </c>
    </row>
    <row r="689">
      <c r="A689" s="7" t="s">
        <v>733</v>
      </c>
      <c r="B689" s="7" t="s">
        <v>625</v>
      </c>
      <c r="C689" s="8">
        <v>599.0</v>
      </c>
      <c r="D689" s="8">
        <v>899.0</v>
      </c>
      <c r="E689" s="19">
        <v>0.33</v>
      </c>
      <c r="F689" s="10">
        <v>4.0</v>
      </c>
      <c r="G689" s="11">
        <v>4018.0</v>
      </c>
      <c r="K689" s="23">
        <v>699.0</v>
      </c>
    </row>
    <row r="690">
      <c r="A690" s="7" t="s">
        <v>734</v>
      </c>
      <c r="B690" s="7" t="s">
        <v>735</v>
      </c>
      <c r="C690" s="8">
        <v>479.0</v>
      </c>
      <c r="D690" s="8">
        <v>599.0</v>
      </c>
      <c r="E690" s="19">
        <v>0.2</v>
      </c>
      <c r="F690" s="10">
        <v>4.3</v>
      </c>
      <c r="G690" s="11">
        <v>11687.0</v>
      </c>
      <c r="K690" s="23">
        <v>699.0</v>
      </c>
    </row>
    <row r="691">
      <c r="A691" s="7" t="s">
        <v>33</v>
      </c>
      <c r="B691" s="7" t="s">
        <v>15</v>
      </c>
      <c r="C691" s="8">
        <v>350.0</v>
      </c>
      <c r="D691" s="8">
        <v>899.0</v>
      </c>
      <c r="E691" s="19">
        <v>0.61</v>
      </c>
      <c r="F691" s="10">
        <v>4.2</v>
      </c>
      <c r="G691" s="11">
        <v>2262.0</v>
      </c>
      <c r="K691" s="23">
        <v>699.0</v>
      </c>
    </row>
    <row r="692">
      <c r="A692" s="7" t="s">
        <v>736</v>
      </c>
      <c r="B692" s="7" t="s">
        <v>393</v>
      </c>
      <c r="C692" s="8">
        <v>1598.0</v>
      </c>
      <c r="D692" s="8">
        <v>2990.0</v>
      </c>
      <c r="E692" s="19">
        <v>0.47</v>
      </c>
      <c r="F692" s="10">
        <v>3.8</v>
      </c>
      <c r="G692" s="11">
        <v>11015.0</v>
      </c>
      <c r="K692" s="23">
        <v>699.0</v>
      </c>
    </row>
    <row r="693">
      <c r="A693" s="7" t="s">
        <v>737</v>
      </c>
      <c r="B693" s="7" t="s">
        <v>738</v>
      </c>
      <c r="C693" s="8">
        <v>599.0</v>
      </c>
      <c r="D693" s="8">
        <v>899.0</v>
      </c>
      <c r="E693" s="19">
        <v>0.33</v>
      </c>
      <c r="F693" s="10">
        <v>4.3</v>
      </c>
      <c r="G693" s="11">
        <v>95116.0</v>
      </c>
      <c r="K693" s="23">
        <v>699.0</v>
      </c>
    </row>
    <row r="694">
      <c r="A694" s="7" t="s">
        <v>34</v>
      </c>
      <c r="B694" s="7" t="s">
        <v>15</v>
      </c>
      <c r="C694" s="8">
        <v>159.0</v>
      </c>
      <c r="D694" s="8">
        <v>399.0</v>
      </c>
      <c r="E694" s="19">
        <v>0.6</v>
      </c>
      <c r="F694" s="10">
        <v>4.1</v>
      </c>
      <c r="G694" s="11">
        <v>4768.0</v>
      </c>
      <c r="K694" s="23">
        <v>699.0</v>
      </c>
    </row>
    <row r="695">
      <c r="A695" s="7" t="s">
        <v>739</v>
      </c>
      <c r="B695" s="7" t="s">
        <v>622</v>
      </c>
      <c r="C695" s="8">
        <v>1299.0</v>
      </c>
      <c r="D695" s="8">
        <v>3000.0</v>
      </c>
      <c r="E695" s="19">
        <v>0.57</v>
      </c>
      <c r="F695" s="10">
        <v>4.3</v>
      </c>
      <c r="G695" s="11">
        <v>23022.0</v>
      </c>
      <c r="K695" s="23">
        <v>709.0</v>
      </c>
    </row>
    <row r="696">
      <c r="A696" s="7" t="s">
        <v>491</v>
      </c>
      <c r="B696" s="7" t="s">
        <v>373</v>
      </c>
      <c r="C696" s="8">
        <v>1599.0</v>
      </c>
      <c r="D696" s="8">
        <v>4999.0</v>
      </c>
      <c r="E696" s="19">
        <v>0.68</v>
      </c>
      <c r="F696" s="10">
        <v>4.0</v>
      </c>
      <c r="G696" s="11">
        <v>67951.0</v>
      </c>
      <c r="K696" s="23">
        <v>717.0</v>
      </c>
    </row>
    <row r="697">
      <c r="A697" s="7" t="s">
        <v>740</v>
      </c>
      <c r="B697" s="7" t="s">
        <v>741</v>
      </c>
      <c r="C697" s="8">
        <v>294.0</v>
      </c>
      <c r="D697" s="8">
        <v>4999.0</v>
      </c>
      <c r="E697" s="19">
        <v>0.94</v>
      </c>
      <c r="F697" s="10">
        <v>4.3</v>
      </c>
      <c r="G697" s="11">
        <v>4426.0</v>
      </c>
      <c r="K697" s="23">
        <v>717.0</v>
      </c>
    </row>
    <row r="698">
      <c r="A698" s="7" t="s">
        <v>742</v>
      </c>
      <c r="B698" s="7" t="s">
        <v>683</v>
      </c>
      <c r="C698" s="8">
        <v>828.0</v>
      </c>
      <c r="D698" s="8">
        <v>861.0</v>
      </c>
      <c r="E698" s="19">
        <v>0.04</v>
      </c>
      <c r="F698" s="10">
        <v>4.2</v>
      </c>
      <c r="G698" s="11">
        <v>4567.0</v>
      </c>
      <c r="K698" s="23">
        <v>719.0</v>
      </c>
    </row>
    <row r="699">
      <c r="A699" s="7" t="s">
        <v>743</v>
      </c>
      <c r="B699" s="7" t="s">
        <v>572</v>
      </c>
      <c r="C699" s="8">
        <v>745.0</v>
      </c>
      <c r="D699" s="8">
        <v>795.0</v>
      </c>
      <c r="E699" s="19">
        <v>0.06</v>
      </c>
      <c r="F699" s="10">
        <v>4.0</v>
      </c>
      <c r="G699" s="11">
        <v>13797.0</v>
      </c>
      <c r="K699" s="23">
        <v>719.0</v>
      </c>
    </row>
    <row r="700">
      <c r="A700" s="7" t="s">
        <v>744</v>
      </c>
      <c r="B700" s="7" t="s">
        <v>745</v>
      </c>
      <c r="C700" s="8">
        <v>1549.0</v>
      </c>
      <c r="D700" s="8">
        <v>2495.0</v>
      </c>
      <c r="E700" s="19">
        <v>0.38</v>
      </c>
      <c r="F700" s="10">
        <v>4.4</v>
      </c>
      <c r="G700" s="11">
        <v>15137.0</v>
      </c>
      <c r="K700" s="23">
        <v>719.0</v>
      </c>
    </row>
    <row r="701">
      <c r="A701" s="7" t="s">
        <v>35</v>
      </c>
      <c r="B701" s="7" t="s">
        <v>15</v>
      </c>
      <c r="C701" s="8">
        <v>349.0</v>
      </c>
      <c r="D701" s="8">
        <v>399.0</v>
      </c>
      <c r="E701" s="19">
        <v>0.13</v>
      </c>
      <c r="F701" s="10">
        <v>4.4</v>
      </c>
      <c r="G701" s="11">
        <v>18757.0</v>
      </c>
      <c r="K701" s="23">
        <v>721.0</v>
      </c>
    </row>
    <row r="702">
      <c r="A702" s="7" t="s">
        <v>41</v>
      </c>
      <c r="B702" s="7" t="s">
        <v>15</v>
      </c>
      <c r="C702" s="8">
        <v>970.0</v>
      </c>
      <c r="D702" s="8">
        <v>1799.0</v>
      </c>
      <c r="E702" s="19">
        <v>0.46</v>
      </c>
      <c r="F702" s="10">
        <v>4.5</v>
      </c>
      <c r="G702" s="10">
        <v>815.0</v>
      </c>
      <c r="K702" s="23">
        <v>729.0</v>
      </c>
    </row>
    <row r="703">
      <c r="A703" s="7" t="s">
        <v>746</v>
      </c>
      <c r="B703" s="7" t="s">
        <v>676</v>
      </c>
      <c r="C703" s="8">
        <v>1469.0</v>
      </c>
      <c r="D703" s="8">
        <v>2499.0</v>
      </c>
      <c r="E703" s="19">
        <v>0.41</v>
      </c>
      <c r="F703" s="10">
        <v>4.2</v>
      </c>
      <c r="G703" s="7" t="s">
        <v>747</v>
      </c>
      <c r="K703" s="23">
        <v>745.0</v>
      </c>
    </row>
    <row r="704">
      <c r="A704" s="7" t="s">
        <v>748</v>
      </c>
      <c r="B704" s="7" t="s">
        <v>749</v>
      </c>
      <c r="C704" s="8">
        <v>198.0</v>
      </c>
      <c r="D704" s="8">
        <v>800.0</v>
      </c>
      <c r="E704" s="19">
        <v>0.75</v>
      </c>
      <c r="F704" s="10">
        <v>4.1</v>
      </c>
      <c r="G704" s="11">
        <v>9344.0</v>
      </c>
      <c r="K704" s="23">
        <v>749.0</v>
      </c>
    </row>
    <row r="705">
      <c r="A705" s="7" t="s">
        <v>750</v>
      </c>
      <c r="B705" s="7" t="s">
        <v>751</v>
      </c>
      <c r="C705" s="8">
        <v>549.0</v>
      </c>
      <c r="D705" s="8">
        <v>549.0</v>
      </c>
      <c r="E705" s="19">
        <v>0.0</v>
      </c>
      <c r="F705" s="10">
        <v>4.5</v>
      </c>
      <c r="G705" s="11">
        <v>4875.0</v>
      </c>
      <c r="K705" s="23">
        <v>749.0</v>
      </c>
    </row>
    <row r="706">
      <c r="A706" s="7" t="s">
        <v>514</v>
      </c>
      <c r="B706" s="7" t="s">
        <v>373</v>
      </c>
      <c r="C706" s="8">
        <v>2999.0</v>
      </c>
      <c r="D706" s="8">
        <v>9999.0</v>
      </c>
      <c r="E706" s="19">
        <v>0.7</v>
      </c>
      <c r="F706" s="10">
        <v>4.2</v>
      </c>
      <c r="G706" s="11">
        <v>20881.0</v>
      </c>
      <c r="K706" s="23">
        <v>749.0</v>
      </c>
    </row>
    <row r="707">
      <c r="A707" s="7" t="s">
        <v>752</v>
      </c>
      <c r="B707" s="7" t="s">
        <v>373</v>
      </c>
      <c r="C707" s="8">
        <v>12000.0</v>
      </c>
      <c r="D707" s="8">
        <v>29999.0</v>
      </c>
      <c r="E707" s="19">
        <v>0.6</v>
      </c>
      <c r="F707" s="10">
        <v>4.3</v>
      </c>
      <c r="G707" s="11">
        <v>4744.0</v>
      </c>
      <c r="K707" s="23">
        <v>749.0</v>
      </c>
    </row>
    <row r="708">
      <c r="A708" s="7" t="s">
        <v>753</v>
      </c>
      <c r="B708" s="7" t="s">
        <v>393</v>
      </c>
      <c r="C708" s="8">
        <v>1299.0</v>
      </c>
      <c r="D708" s="8">
        <v>3499.0</v>
      </c>
      <c r="E708" s="19">
        <v>0.63</v>
      </c>
      <c r="F708" s="10">
        <v>3.9</v>
      </c>
      <c r="G708" s="11">
        <v>12452.0</v>
      </c>
      <c r="K708" s="23">
        <v>749.0</v>
      </c>
    </row>
    <row r="709">
      <c r="A709" s="7" t="s">
        <v>754</v>
      </c>
      <c r="B709" s="7" t="s">
        <v>652</v>
      </c>
      <c r="C709" s="8">
        <v>269.0</v>
      </c>
      <c r="D709" s="8">
        <v>315.0</v>
      </c>
      <c r="E709" s="19">
        <v>0.15</v>
      </c>
      <c r="F709" s="10">
        <v>4.5</v>
      </c>
      <c r="G709" s="11">
        <v>17810.0</v>
      </c>
      <c r="K709" s="23">
        <v>749.0</v>
      </c>
    </row>
    <row r="710">
      <c r="A710" s="7" t="s">
        <v>755</v>
      </c>
      <c r="B710" s="7" t="s">
        <v>393</v>
      </c>
      <c r="C710" s="8">
        <v>799.0</v>
      </c>
      <c r="D710" s="8">
        <v>1499.0</v>
      </c>
      <c r="E710" s="19">
        <v>0.47</v>
      </c>
      <c r="F710" s="10">
        <v>4.1</v>
      </c>
      <c r="G710" s="11">
        <v>53648.0</v>
      </c>
      <c r="K710" s="23">
        <v>749.0</v>
      </c>
    </row>
    <row r="711">
      <c r="A711" s="7" t="s">
        <v>756</v>
      </c>
      <c r="B711" s="7" t="s">
        <v>757</v>
      </c>
      <c r="C711" s="8">
        <v>6299.0</v>
      </c>
      <c r="D711" s="8">
        <v>13750.0</v>
      </c>
      <c r="E711" s="19">
        <v>0.54</v>
      </c>
      <c r="F711" s="10">
        <v>4.2</v>
      </c>
      <c r="G711" s="11">
        <v>2014.0</v>
      </c>
      <c r="K711" s="23">
        <v>753.0</v>
      </c>
    </row>
    <row r="712">
      <c r="A712" s="7" t="s">
        <v>758</v>
      </c>
      <c r="B712" s="7" t="s">
        <v>759</v>
      </c>
      <c r="C712" s="8">
        <v>59.0</v>
      </c>
      <c r="D712" s="8">
        <v>59.0</v>
      </c>
      <c r="E712" s="19">
        <v>0.0</v>
      </c>
      <c r="F712" s="10">
        <v>3.8</v>
      </c>
      <c r="G712" s="11">
        <v>5958.0</v>
      </c>
      <c r="K712" s="23">
        <v>759.0</v>
      </c>
    </row>
    <row r="713">
      <c r="A713" s="7" t="s">
        <v>760</v>
      </c>
      <c r="B713" s="7" t="s">
        <v>399</v>
      </c>
      <c r="C713" s="8">
        <v>571.0</v>
      </c>
      <c r="D713" s="8">
        <v>999.0</v>
      </c>
      <c r="E713" s="19">
        <v>0.43</v>
      </c>
      <c r="F713" s="10">
        <v>4.3</v>
      </c>
      <c r="G713" s="11">
        <v>38221.0</v>
      </c>
      <c r="K713" s="23">
        <v>765.0</v>
      </c>
    </row>
    <row r="714">
      <c r="A714" s="7" t="s">
        <v>761</v>
      </c>
      <c r="B714" s="7" t="s">
        <v>719</v>
      </c>
      <c r="C714" s="8">
        <v>549.0</v>
      </c>
      <c r="D714" s="8">
        <v>999.0</v>
      </c>
      <c r="E714" s="19">
        <v>0.45</v>
      </c>
      <c r="F714" s="10">
        <v>3.9</v>
      </c>
      <c r="G714" s="11">
        <v>64705.0</v>
      </c>
      <c r="K714" s="23">
        <v>770.0</v>
      </c>
    </row>
    <row r="715">
      <c r="A715" s="7" t="s">
        <v>501</v>
      </c>
      <c r="B715" s="7" t="s">
        <v>502</v>
      </c>
      <c r="C715" s="8">
        <v>2099.0</v>
      </c>
      <c r="D715" s="8">
        <v>5999.0</v>
      </c>
      <c r="E715" s="19">
        <v>0.65</v>
      </c>
      <c r="F715" s="10">
        <v>4.3</v>
      </c>
      <c r="G715" s="11">
        <v>17129.0</v>
      </c>
      <c r="K715" s="23">
        <v>775.0</v>
      </c>
    </row>
    <row r="716">
      <c r="A716" s="7" t="s">
        <v>40</v>
      </c>
      <c r="B716" s="7" t="s">
        <v>37</v>
      </c>
      <c r="C716" s="8">
        <v>13490.0</v>
      </c>
      <c r="D716" s="8">
        <v>21990.0</v>
      </c>
      <c r="E716" s="19">
        <v>0.39</v>
      </c>
      <c r="F716" s="10">
        <v>4.3</v>
      </c>
      <c r="G716" s="11">
        <v>11976.0</v>
      </c>
      <c r="K716" s="23">
        <v>778.0</v>
      </c>
    </row>
    <row r="717">
      <c r="A717" s="7" t="s">
        <v>762</v>
      </c>
      <c r="B717" s="7" t="s">
        <v>660</v>
      </c>
      <c r="C717" s="8">
        <v>448.0</v>
      </c>
      <c r="D717" s="8">
        <v>699.0</v>
      </c>
      <c r="E717" s="19">
        <v>0.36</v>
      </c>
      <c r="F717" s="10">
        <v>3.9</v>
      </c>
      <c r="G717" s="11">
        <v>17348.0</v>
      </c>
      <c r="K717" s="23">
        <v>784.0</v>
      </c>
    </row>
    <row r="718">
      <c r="A718" s="7" t="s">
        <v>763</v>
      </c>
      <c r="B718" s="7" t="s">
        <v>393</v>
      </c>
      <c r="C718" s="8">
        <v>1499.0</v>
      </c>
      <c r="D718" s="8">
        <v>2999.0</v>
      </c>
      <c r="E718" s="19">
        <v>0.5</v>
      </c>
      <c r="F718" s="10">
        <v>3.7</v>
      </c>
      <c r="G718" s="11">
        <v>87798.0</v>
      </c>
      <c r="K718" s="23">
        <v>789.0</v>
      </c>
    </row>
    <row r="719">
      <c r="A719" s="7" t="s">
        <v>764</v>
      </c>
      <c r="B719" s="7" t="s">
        <v>765</v>
      </c>
      <c r="C719" s="8">
        <v>299.0</v>
      </c>
      <c r="D719" s="8">
        <v>499.0</v>
      </c>
      <c r="E719" s="19">
        <v>0.4</v>
      </c>
      <c r="F719" s="10">
        <v>4.2</v>
      </c>
      <c r="G719" s="11">
        <v>24432.0</v>
      </c>
      <c r="K719" s="23">
        <v>790.0</v>
      </c>
    </row>
    <row r="720">
      <c r="A720" s="7" t="s">
        <v>766</v>
      </c>
      <c r="B720" s="7" t="s">
        <v>622</v>
      </c>
      <c r="C720" s="8">
        <v>579.0</v>
      </c>
      <c r="D720" s="8">
        <v>1400.0</v>
      </c>
      <c r="E720" s="19">
        <v>0.59</v>
      </c>
      <c r="F720" s="10">
        <v>4.3</v>
      </c>
      <c r="G720" s="7" t="s">
        <v>767</v>
      </c>
      <c r="K720" s="23">
        <v>798.0</v>
      </c>
    </row>
    <row r="721">
      <c r="A721" s="7" t="s">
        <v>768</v>
      </c>
      <c r="B721" s="7" t="s">
        <v>769</v>
      </c>
      <c r="C721" s="8">
        <v>2499.0</v>
      </c>
      <c r="D721" s="8">
        <v>3299.0</v>
      </c>
      <c r="E721" s="19">
        <v>0.24</v>
      </c>
      <c r="F721" s="10">
        <v>4.2</v>
      </c>
      <c r="G721" s="11">
        <v>93112.0</v>
      </c>
      <c r="K721" s="23">
        <v>799.0</v>
      </c>
    </row>
    <row r="722">
      <c r="A722" s="7" t="s">
        <v>770</v>
      </c>
      <c r="B722" s="7" t="s">
        <v>393</v>
      </c>
      <c r="C722" s="8">
        <v>1199.0</v>
      </c>
      <c r="D722" s="8">
        <v>5999.0</v>
      </c>
      <c r="E722" s="19">
        <v>0.8</v>
      </c>
      <c r="F722" s="10">
        <v>3.9</v>
      </c>
      <c r="G722" s="11">
        <v>47521.0</v>
      </c>
      <c r="K722" s="23">
        <v>799.0</v>
      </c>
    </row>
    <row r="723">
      <c r="A723" s="7" t="s">
        <v>771</v>
      </c>
      <c r="B723" s="7" t="s">
        <v>735</v>
      </c>
      <c r="C723" s="8">
        <v>399.0</v>
      </c>
      <c r="D723" s="8">
        <v>499.0</v>
      </c>
      <c r="E723" s="19">
        <v>0.2</v>
      </c>
      <c r="F723" s="10">
        <v>4.3</v>
      </c>
      <c r="G723" s="11">
        <v>27201.0</v>
      </c>
      <c r="K723" s="23">
        <v>799.0</v>
      </c>
    </row>
    <row r="724">
      <c r="A724" s="7" t="s">
        <v>42</v>
      </c>
      <c r="B724" s="7" t="s">
        <v>31</v>
      </c>
      <c r="C724" s="8">
        <v>279.0</v>
      </c>
      <c r="D724" s="8">
        <v>499.0</v>
      </c>
      <c r="E724" s="19">
        <v>0.44</v>
      </c>
      <c r="F724" s="10">
        <v>3.7</v>
      </c>
      <c r="G724" s="11">
        <v>10962.0</v>
      </c>
      <c r="K724" s="23">
        <v>799.0</v>
      </c>
    </row>
    <row r="725">
      <c r="A725" s="7" t="s">
        <v>43</v>
      </c>
      <c r="B725" s="7" t="s">
        <v>37</v>
      </c>
      <c r="C725" s="8">
        <v>13490.0</v>
      </c>
      <c r="D725" s="8">
        <v>22900.0</v>
      </c>
      <c r="E725" s="19">
        <v>0.41</v>
      </c>
      <c r="F725" s="10">
        <v>4.3</v>
      </c>
      <c r="G725" s="11">
        <v>16299.0</v>
      </c>
      <c r="K725" s="23">
        <v>799.0</v>
      </c>
    </row>
    <row r="726">
      <c r="A726" s="7" t="s">
        <v>772</v>
      </c>
      <c r="B726" s="7" t="s">
        <v>625</v>
      </c>
      <c r="C726" s="8">
        <v>279.0</v>
      </c>
      <c r="D726" s="8">
        <v>375.0</v>
      </c>
      <c r="E726" s="19">
        <v>0.26</v>
      </c>
      <c r="F726" s="10">
        <v>4.3</v>
      </c>
      <c r="G726" s="11">
        <v>31534.0</v>
      </c>
      <c r="K726" s="23">
        <v>799.0</v>
      </c>
    </row>
    <row r="727">
      <c r="A727" s="7" t="s">
        <v>773</v>
      </c>
      <c r="B727" s="7" t="s">
        <v>373</v>
      </c>
      <c r="C727" s="8">
        <v>2499.0</v>
      </c>
      <c r="D727" s="8">
        <v>4999.0</v>
      </c>
      <c r="E727" s="19">
        <v>0.5</v>
      </c>
      <c r="F727" s="10">
        <v>3.9</v>
      </c>
      <c r="G727" s="11">
        <v>7571.0</v>
      </c>
      <c r="K727" s="23">
        <v>799.0</v>
      </c>
    </row>
    <row r="728">
      <c r="A728" s="7" t="s">
        <v>774</v>
      </c>
      <c r="B728" s="7" t="s">
        <v>732</v>
      </c>
      <c r="C728" s="8">
        <v>137.0</v>
      </c>
      <c r="D728" s="8">
        <v>160.0</v>
      </c>
      <c r="E728" s="19">
        <v>0.14</v>
      </c>
      <c r="F728" s="10">
        <v>4.4</v>
      </c>
      <c r="G728" s="11">
        <v>6537.0</v>
      </c>
      <c r="K728" s="23">
        <v>799.0</v>
      </c>
    </row>
    <row r="729">
      <c r="A729" s="7" t="s">
        <v>44</v>
      </c>
      <c r="B729" s="7" t="s">
        <v>15</v>
      </c>
      <c r="C729" s="8">
        <v>59.0</v>
      </c>
      <c r="D729" s="8">
        <v>199.0</v>
      </c>
      <c r="E729" s="19">
        <v>0.7</v>
      </c>
      <c r="F729" s="10">
        <v>4.0</v>
      </c>
      <c r="G729" s="11">
        <v>9377.0</v>
      </c>
      <c r="K729" s="23">
        <v>799.0</v>
      </c>
    </row>
    <row r="730">
      <c r="A730" s="7" t="s">
        <v>775</v>
      </c>
      <c r="B730" s="7" t="s">
        <v>698</v>
      </c>
      <c r="C730" s="8">
        <v>299.0</v>
      </c>
      <c r="D730" s="8">
        <v>499.0</v>
      </c>
      <c r="E730" s="19">
        <v>0.4</v>
      </c>
      <c r="F730" s="10">
        <v>4.5</v>
      </c>
      <c r="G730" s="11">
        <v>21010.0</v>
      </c>
      <c r="K730" s="23">
        <v>799.0</v>
      </c>
    </row>
    <row r="731">
      <c r="A731" s="7" t="s">
        <v>776</v>
      </c>
      <c r="B731" s="7" t="s">
        <v>393</v>
      </c>
      <c r="C731" s="8">
        <v>1799.0</v>
      </c>
      <c r="D731" s="8">
        <v>3999.0</v>
      </c>
      <c r="E731" s="19">
        <v>0.55</v>
      </c>
      <c r="F731" s="10">
        <v>3.9</v>
      </c>
      <c r="G731" s="11">
        <v>3517.0</v>
      </c>
      <c r="K731" s="23">
        <v>799.0</v>
      </c>
    </row>
    <row r="732">
      <c r="A732" s="7" t="s">
        <v>777</v>
      </c>
      <c r="B732" s="7" t="s">
        <v>719</v>
      </c>
      <c r="C732" s="8">
        <v>1999.0</v>
      </c>
      <c r="D732" s="8">
        <v>2999.0</v>
      </c>
      <c r="E732" s="19">
        <v>0.33</v>
      </c>
      <c r="F732" s="10">
        <v>4.3</v>
      </c>
      <c r="G732" s="11">
        <v>63899.0</v>
      </c>
      <c r="K732" s="23">
        <v>799.0</v>
      </c>
    </row>
    <row r="733">
      <c r="A733" s="7" t="s">
        <v>46</v>
      </c>
      <c r="B733" s="7" t="s">
        <v>31</v>
      </c>
      <c r="C733" s="8">
        <v>199.0</v>
      </c>
      <c r="D733" s="8">
        <v>699.0</v>
      </c>
      <c r="E733" s="19">
        <v>0.72</v>
      </c>
      <c r="F733" s="10">
        <v>4.2</v>
      </c>
      <c r="G733" s="11">
        <v>12153.0</v>
      </c>
      <c r="K733" s="23">
        <v>799.0</v>
      </c>
    </row>
    <row r="734">
      <c r="A734" s="7" t="s">
        <v>778</v>
      </c>
      <c r="B734" s="7" t="s">
        <v>779</v>
      </c>
      <c r="C734" s="8">
        <v>399.0</v>
      </c>
      <c r="D734" s="8">
        <v>1499.0</v>
      </c>
      <c r="E734" s="19">
        <v>0.73</v>
      </c>
      <c r="F734" s="10">
        <v>4.1</v>
      </c>
      <c r="G734" s="11">
        <v>5730.0</v>
      </c>
      <c r="K734" s="23">
        <v>799.0</v>
      </c>
    </row>
    <row r="735">
      <c r="A735" s="7" t="s">
        <v>780</v>
      </c>
      <c r="B735" s="7" t="s">
        <v>781</v>
      </c>
      <c r="C735" s="8">
        <v>1699.0</v>
      </c>
      <c r="D735" s="8">
        <v>3999.0</v>
      </c>
      <c r="E735" s="19">
        <v>0.58</v>
      </c>
      <c r="F735" s="10">
        <v>4.2</v>
      </c>
      <c r="G735" s="11">
        <v>25488.0</v>
      </c>
      <c r="K735" s="23">
        <v>799.0</v>
      </c>
    </row>
    <row r="736">
      <c r="A736" s="7" t="s">
        <v>782</v>
      </c>
      <c r="B736" s="7" t="s">
        <v>625</v>
      </c>
      <c r="C736" s="8">
        <v>699.0</v>
      </c>
      <c r="D736" s="8">
        <v>995.0</v>
      </c>
      <c r="E736" s="19">
        <v>0.3</v>
      </c>
      <c r="F736" s="10">
        <v>4.5</v>
      </c>
      <c r="G736" s="11">
        <v>54405.0</v>
      </c>
      <c r="K736" s="23">
        <v>799.0</v>
      </c>
    </row>
    <row r="737">
      <c r="A737" s="7" t="s">
        <v>524</v>
      </c>
      <c r="B737" s="7" t="s">
        <v>469</v>
      </c>
      <c r="C737" s="8">
        <v>95.0</v>
      </c>
      <c r="D737" s="8">
        <v>499.0</v>
      </c>
      <c r="E737" s="19">
        <v>0.81</v>
      </c>
      <c r="F737" s="10">
        <v>4.2</v>
      </c>
      <c r="G737" s="11">
        <v>1949.0</v>
      </c>
      <c r="K737" s="23">
        <v>799.0</v>
      </c>
    </row>
    <row r="738">
      <c r="A738" s="7" t="s">
        <v>783</v>
      </c>
      <c r="B738" s="7" t="s">
        <v>709</v>
      </c>
      <c r="C738" s="8">
        <v>1149.0</v>
      </c>
      <c r="D738" s="8">
        <v>1699.0</v>
      </c>
      <c r="E738" s="19">
        <v>0.32</v>
      </c>
      <c r="F738" s="10">
        <v>4.2</v>
      </c>
      <c r="G738" s="7" t="s">
        <v>784</v>
      </c>
      <c r="K738" s="23">
        <v>799.0</v>
      </c>
    </row>
    <row r="739">
      <c r="A739" s="7" t="s">
        <v>785</v>
      </c>
      <c r="B739" s="7" t="s">
        <v>660</v>
      </c>
      <c r="C739" s="8">
        <v>1495.0</v>
      </c>
      <c r="D739" s="8">
        <v>1995.0</v>
      </c>
      <c r="E739" s="19">
        <v>0.25</v>
      </c>
      <c r="F739" s="10">
        <v>4.3</v>
      </c>
      <c r="G739" s="11">
        <v>7241.0</v>
      </c>
      <c r="K739" s="23">
        <v>799.0</v>
      </c>
    </row>
    <row r="740">
      <c r="A740" s="7" t="s">
        <v>786</v>
      </c>
      <c r="B740" s="7" t="s">
        <v>631</v>
      </c>
      <c r="C740" s="8">
        <v>849.0</v>
      </c>
      <c r="D740" s="8">
        <v>4999.0</v>
      </c>
      <c r="E740" s="19">
        <v>0.83</v>
      </c>
      <c r="F740" s="10">
        <v>4.0</v>
      </c>
      <c r="G740" s="11">
        <v>20457.0</v>
      </c>
      <c r="K740" s="23">
        <v>799.0</v>
      </c>
    </row>
    <row r="741">
      <c r="A741" s="7" t="s">
        <v>787</v>
      </c>
      <c r="B741" s="7" t="s">
        <v>788</v>
      </c>
      <c r="C741" s="8">
        <v>440.0</v>
      </c>
      <c r="D741" s="8">
        <v>440.0</v>
      </c>
      <c r="E741" s="19">
        <v>0.0</v>
      </c>
      <c r="F741" s="10">
        <v>4.5</v>
      </c>
      <c r="G741" s="11">
        <v>8610.0</v>
      </c>
      <c r="K741" s="23">
        <v>809.0</v>
      </c>
    </row>
    <row r="742">
      <c r="A742" s="7" t="s">
        <v>521</v>
      </c>
      <c r="B742" s="7" t="s">
        <v>502</v>
      </c>
      <c r="C742" s="8">
        <v>349.0</v>
      </c>
      <c r="D742" s="8">
        <v>999.0</v>
      </c>
      <c r="E742" s="19">
        <v>0.65</v>
      </c>
      <c r="F742" s="10">
        <v>3.8</v>
      </c>
      <c r="G742" s="11">
        <v>16557.0</v>
      </c>
      <c r="K742" s="23">
        <v>809.0</v>
      </c>
    </row>
    <row r="743">
      <c r="A743" s="7" t="s">
        <v>789</v>
      </c>
      <c r="B743" s="7" t="s">
        <v>631</v>
      </c>
      <c r="C743" s="8">
        <v>599.0</v>
      </c>
      <c r="D743" s="8">
        <v>3999.0</v>
      </c>
      <c r="E743" s="19">
        <v>0.85</v>
      </c>
      <c r="F743" s="10">
        <v>3.9</v>
      </c>
      <c r="G743" s="11">
        <v>1087.0</v>
      </c>
      <c r="K743" s="23">
        <v>825.0</v>
      </c>
    </row>
    <row r="744">
      <c r="A744" s="7" t="s">
        <v>790</v>
      </c>
      <c r="B744" s="7" t="s">
        <v>741</v>
      </c>
      <c r="C744" s="8">
        <v>149.0</v>
      </c>
      <c r="D744" s="8">
        <v>399.0</v>
      </c>
      <c r="E744" s="19">
        <v>0.63</v>
      </c>
      <c r="F744" s="10">
        <v>4.0</v>
      </c>
      <c r="G744" s="11">
        <v>1540.0</v>
      </c>
      <c r="K744" s="23">
        <v>828.0</v>
      </c>
    </row>
    <row r="745">
      <c r="A745" s="7" t="s">
        <v>791</v>
      </c>
      <c r="B745" s="7" t="s">
        <v>627</v>
      </c>
      <c r="C745" s="8">
        <v>289.0</v>
      </c>
      <c r="D745" s="8">
        <v>999.0</v>
      </c>
      <c r="E745" s="19">
        <v>0.71</v>
      </c>
      <c r="F745" s="10">
        <v>4.1</v>
      </c>
      <c r="G745" s="10">
        <v>401.0</v>
      </c>
      <c r="K745" s="23">
        <v>848.99</v>
      </c>
    </row>
    <row r="746">
      <c r="A746" s="7" t="s">
        <v>792</v>
      </c>
      <c r="B746" s="7" t="s">
        <v>793</v>
      </c>
      <c r="C746" s="8">
        <v>179.0</v>
      </c>
      <c r="D746" s="8">
        <v>499.0</v>
      </c>
      <c r="E746" s="19">
        <v>0.64</v>
      </c>
      <c r="F746" s="10">
        <v>3.4</v>
      </c>
      <c r="G746" s="11">
        <v>9385.0</v>
      </c>
      <c r="K746" s="23">
        <v>849.0</v>
      </c>
    </row>
    <row r="747">
      <c r="A747" s="7" t="s">
        <v>794</v>
      </c>
      <c r="B747" s="7" t="s">
        <v>373</v>
      </c>
      <c r="C747" s="8">
        <v>1499.0</v>
      </c>
      <c r="D747" s="8">
        <v>4999.0</v>
      </c>
      <c r="E747" s="19">
        <v>0.7</v>
      </c>
      <c r="F747" s="10">
        <v>4.0</v>
      </c>
      <c r="G747" s="11">
        <v>92588.0</v>
      </c>
      <c r="K747" s="23">
        <v>849.0</v>
      </c>
    </row>
    <row r="748">
      <c r="A748" s="7" t="s">
        <v>795</v>
      </c>
      <c r="B748" s="7" t="s">
        <v>393</v>
      </c>
      <c r="C748" s="8">
        <v>399.0</v>
      </c>
      <c r="D748" s="8">
        <v>699.0</v>
      </c>
      <c r="E748" s="19">
        <v>0.43</v>
      </c>
      <c r="F748" s="10">
        <v>3.4</v>
      </c>
      <c r="G748" s="11">
        <v>3454.0</v>
      </c>
      <c r="K748" s="23">
        <v>849.0</v>
      </c>
    </row>
    <row r="749">
      <c r="A749" s="7" t="s">
        <v>796</v>
      </c>
      <c r="B749" s="7" t="s">
        <v>692</v>
      </c>
      <c r="C749" s="8">
        <v>599.0</v>
      </c>
      <c r="D749" s="8">
        <v>799.0</v>
      </c>
      <c r="E749" s="19">
        <v>0.25</v>
      </c>
      <c r="F749" s="10">
        <v>4.3</v>
      </c>
      <c r="G749" s="11">
        <v>15790.0</v>
      </c>
      <c r="K749" s="23">
        <v>849.0</v>
      </c>
    </row>
    <row r="750">
      <c r="A750" s="7" t="s">
        <v>797</v>
      </c>
      <c r="B750" s="7" t="s">
        <v>798</v>
      </c>
      <c r="C750" s="8">
        <v>949.0</v>
      </c>
      <c r="D750" s="8">
        <v>2000.0</v>
      </c>
      <c r="E750" s="19">
        <v>0.53</v>
      </c>
      <c r="F750" s="10">
        <v>3.9</v>
      </c>
      <c r="G750" s="11">
        <v>14969.0</v>
      </c>
      <c r="K750" s="23">
        <v>849.0</v>
      </c>
    </row>
    <row r="751">
      <c r="A751" s="7" t="s">
        <v>799</v>
      </c>
      <c r="B751" s="7" t="s">
        <v>373</v>
      </c>
      <c r="C751" s="8">
        <v>2499.0</v>
      </c>
      <c r="D751" s="8">
        <v>9999.0</v>
      </c>
      <c r="E751" s="19">
        <v>0.75</v>
      </c>
      <c r="F751" s="10">
        <v>4.1</v>
      </c>
      <c r="G751" s="11">
        <v>42139.0</v>
      </c>
      <c r="K751" s="23">
        <v>849.0</v>
      </c>
    </row>
    <row r="752">
      <c r="A752" s="7" t="s">
        <v>800</v>
      </c>
      <c r="B752" s="7" t="s">
        <v>652</v>
      </c>
      <c r="C752" s="8">
        <v>159.0</v>
      </c>
      <c r="D752" s="8">
        <v>180.0</v>
      </c>
      <c r="E752" s="19">
        <v>0.12</v>
      </c>
      <c r="F752" s="10">
        <v>4.3</v>
      </c>
      <c r="G752" s="10">
        <v>989.0</v>
      </c>
      <c r="K752" s="23">
        <v>850.0</v>
      </c>
    </row>
    <row r="753">
      <c r="A753" s="7" t="s">
        <v>801</v>
      </c>
      <c r="B753" s="7" t="s">
        <v>386</v>
      </c>
      <c r="C753" s="8">
        <v>1329.0</v>
      </c>
      <c r="D753" s="8">
        <v>2900.0</v>
      </c>
      <c r="E753" s="19">
        <v>0.54</v>
      </c>
      <c r="F753" s="10">
        <v>4.5</v>
      </c>
      <c r="G753" s="11">
        <v>19624.0</v>
      </c>
      <c r="K753" s="23">
        <v>873.0</v>
      </c>
    </row>
    <row r="754">
      <c r="A754" s="7" t="s">
        <v>802</v>
      </c>
      <c r="B754" s="7" t="s">
        <v>793</v>
      </c>
      <c r="C754" s="8">
        <v>570.0</v>
      </c>
      <c r="D754" s="8">
        <v>999.0</v>
      </c>
      <c r="E754" s="19">
        <v>0.43</v>
      </c>
      <c r="F754" s="10">
        <v>4.2</v>
      </c>
      <c r="G754" s="11">
        <v>3201.0</v>
      </c>
      <c r="K754" s="23">
        <v>879.0</v>
      </c>
    </row>
    <row r="755">
      <c r="A755" s="7" t="s">
        <v>803</v>
      </c>
      <c r="B755" s="7" t="s">
        <v>804</v>
      </c>
      <c r="C755" s="8">
        <v>899.0</v>
      </c>
      <c r="D755" s="8">
        <v>1999.0</v>
      </c>
      <c r="E755" s="19">
        <v>0.55</v>
      </c>
      <c r="F755" s="10">
        <v>4.1</v>
      </c>
      <c r="G755" s="11">
        <v>30469.0</v>
      </c>
      <c r="K755" s="23">
        <v>889.0</v>
      </c>
    </row>
    <row r="756">
      <c r="A756" s="7" t="s">
        <v>805</v>
      </c>
      <c r="B756" s="7" t="s">
        <v>806</v>
      </c>
      <c r="C756" s="8">
        <v>449.0</v>
      </c>
      <c r="D756" s="8">
        <v>999.0</v>
      </c>
      <c r="E756" s="19">
        <v>0.55</v>
      </c>
      <c r="F756" s="10">
        <v>4.4</v>
      </c>
      <c r="G756" s="11">
        <v>9940.0</v>
      </c>
      <c r="K756" s="23">
        <v>889.0</v>
      </c>
    </row>
    <row r="757">
      <c r="A757" s="7" t="s">
        <v>807</v>
      </c>
      <c r="B757" s="7" t="s">
        <v>808</v>
      </c>
      <c r="C757" s="8">
        <v>549.0</v>
      </c>
      <c r="D757" s="8">
        <v>999.0</v>
      </c>
      <c r="E757" s="19">
        <v>0.45</v>
      </c>
      <c r="F757" s="10">
        <v>4.3</v>
      </c>
      <c r="G757" s="11">
        <v>7758.0</v>
      </c>
      <c r="K757" s="23">
        <v>889.0</v>
      </c>
    </row>
    <row r="758">
      <c r="A758" s="7" t="s">
        <v>809</v>
      </c>
      <c r="B758" s="7" t="s">
        <v>709</v>
      </c>
      <c r="C758" s="8">
        <v>1529.0</v>
      </c>
      <c r="D758" s="8">
        <v>2399.0</v>
      </c>
      <c r="E758" s="19">
        <v>0.36</v>
      </c>
      <c r="F758" s="10">
        <v>4.3</v>
      </c>
      <c r="G758" s="11">
        <v>68409.0</v>
      </c>
      <c r="K758" s="23">
        <v>893.0</v>
      </c>
    </row>
    <row r="759">
      <c r="A759" s="7" t="s">
        <v>810</v>
      </c>
      <c r="B759" s="7" t="s">
        <v>811</v>
      </c>
      <c r="C759" s="8">
        <v>100.0</v>
      </c>
      <c r="D759" s="8">
        <v>100.0</v>
      </c>
      <c r="E759" s="19">
        <v>0.0</v>
      </c>
      <c r="F759" s="10">
        <v>4.3</v>
      </c>
      <c r="G759" s="11">
        <v>3095.0</v>
      </c>
      <c r="K759" s="23">
        <v>899.0</v>
      </c>
    </row>
    <row r="760">
      <c r="A760" s="7" t="s">
        <v>812</v>
      </c>
      <c r="B760" s="7" t="s">
        <v>635</v>
      </c>
      <c r="C760" s="8">
        <v>299.0</v>
      </c>
      <c r="D760" s="8">
        <v>1499.0</v>
      </c>
      <c r="E760" s="19">
        <v>0.8</v>
      </c>
      <c r="F760" s="10">
        <v>4.2</v>
      </c>
      <c r="G760" s="10">
        <v>903.0</v>
      </c>
      <c r="K760" s="23">
        <v>899.0</v>
      </c>
    </row>
    <row r="761">
      <c r="A761" s="7" t="s">
        <v>813</v>
      </c>
      <c r="B761" s="7" t="s">
        <v>660</v>
      </c>
      <c r="C761" s="8">
        <v>1295.0</v>
      </c>
      <c r="D761" s="8">
        <v>1795.0</v>
      </c>
      <c r="E761" s="19">
        <v>0.28</v>
      </c>
      <c r="F761" s="10">
        <v>4.1</v>
      </c>
      <c r="G761" s="11">
        <v>25771.0</v>
      </c>
      <c r="K761" s="23">
        <v>899.0</v>
      </c>
    </row>
    <row r="762">
      <c r="A762" s="7" t="s">
        <v>814</v>
      </c>
      <c r="B762" s="7" t="s">
        <v>393</v>
      </c>
      <c r="C762" s="8">
        <v>699.0</v>
      </c>
      <c r="D762" s="8">
        <v>999.0</v>
      </c>
      <c r="E762" s="19">
        <v>0.3</v>
      </c>
      <c r="F762" s="10">
        <v>4.1</v>
      </c>
      <c r="G762" s="7" t="s">
        <v>815</v>
      </c>
      <c r="K762" s="23">
        <v>899.0</v>
      </c>
    </row>
    <row r="763">
      <c r="A763" s="7" t="s">
        <v>816</v>
      </c>
      <c r="B763" s="7" t="s">
        <v>817</v>
      </c>
      <c r="C763" s="8">
        <v>252.0</v>
      </c>
      <c r="D763" s="8">
        <v>315.0</v>
      </c>
      <c r="E763" s="19">
        <v>0.2</v>
      </c>
      <c r="F763" s="10">
        <v>4.5</v>
      </c>
      <c r="G763" s="11">
        <v>3785.0</v>
      </c>
      <c r="K763" s="23">
        <v>899.0</v>
      </c>
    </row>
    <row r="764">
      <c r="A764" s="7" t="s">
        <v>818</v>
      </c>
      <c r="B764" s="7" t="s">
        <v>652</v>
      </c>
      <c r="C764" s="8">
        <v>190.0</v>
      </c>
      <c r="D764" s="8">
        <v>220.0</v>
      </c>
      <c r="E764" s="19">
        <v>0.14</v>
      </c>
      <c r="F764" s="10">
        <v>4.4</v>
      </c>
      <c r="G764" s="11">
        <v>2866.0</v>
      </c>
      <c r="K764" s="23">
        <v>899.0</v>
      </c>
    </row>
    <row r="765">
      <c r="A765" s="7" t="s">
        <v>819</v>
      </c>
      <c r="B765" s="7" t="s">
        <v>660</v>
      </c>
      <c r="C765" s="8">
        <v>1299.0</v>
      </c>
      <c r="D765" s="8">
        <v>1599.0</v>
      </c>
      <c r="E765" s="19">
        <v>0.19</v>
      </c>
      <c r="F765" s="10">
        <v>4.3</v>
      </c>
      <c r="G765" s="11">
        <v>27223.0</v>
      </c>
      <c r="K765" s="23">
        <v>899.0</v>
      </c>
    </row>
    <row r="766">
      <c r="A766" s="7" t="s">
        <v>820</v>
      </c>
      <c r="B766" s="7" t="s">
        <v>622</v>
      </c>
      <c r="C766" s="8">
        <v>729.0</v>
      </c>
      <c r="D766" s="8">
        <v>1650.0</v>
      </c>
      <c r="E766" s="19">
        <v>0.56</v>
      </c>
      <c r="F766" s="10">
        <v>4.3</v>
      </c>
      <c r="G766" s="11">
        <v>82356.0</v>
      </c>
      <c r="K766" s="23">
        <v>899.0</v>
      </c>
    </row>
    <row r="767">
      <c r="A767" s="7" t="s">
        <v>821</v>
      </c>
      <c r="B767" s="7" t="s">
        <v>822</v>
      </c>
      <c r="C767" s="8">
        <v>480.0</v>
      </c>
      <c r="D767" s="8">
        <v>600.0</v>
      </c>
      <c r="E767" s="19">
        <v>0.2</v>
      </c>
      <c r="F767" s="10">
        <v>4.3</v>
      </c>
      <c r="G767" s="11">
        <v>5719.0</v>
      </c>
      <c r="K767" s="23">
        <v>899.0</v>
      </c>
    </row>
    <row r="768">
      <c r="A768" s="7" t="s">
        <v>534</v>
      </c>
      <c r="B768" s="7" t="s">
        <v>373</v>
      </c>
      <c r="C768" s="8">
        <v>1799.0</v>
      </c>
      <c r="D768" s="8">
        <v>6990.0</v>
      </c>
      <c r="E768" s="19">
        <v>0.74</v>
      </c>
      <c r="F768" s="10">
        <v>4.0</v>
      </c>
      <c r="G768" s="11">
        <v>26880.0</v>
      </c>
      <c r="K768" s="23">
        <v>899.0</v>
      </c>
    </row>
    <row r="769">
      <c r="A769" s="7" t="s">
        <v>823</v>
      </c>
      <c r="B769" s="7" t="s">
        <v>631</v>
      </c>
      <c r="C769" s="8">
        <v>999.0</v>
      </c>
      <c r="D769" s="8">
        <v>2499.0</v>
      </c>
      <c r="E769" s="19">
        <v>0.6</v>
      </c>
      <c r="F769" s="10">
        <v>4.3</v>
      </c>
      <c r="G769" s="11">
        <v>1690.0</v>
      </c>
      <c r="K769" s="23">
        <v>899.0</v>
      </c>
    </row>
    <row r="770">
      <c r="A770" s="7" t="s">
        <v>48</v>
      </c>
      <c r="B770" s="7" t="s">
        <v>15</v>
      </c>
      <c r="C770" s="8">
        <v>299.0</v>
      </c>
      <c r="D770" s="8">
        <v>399.0</v>
      </c>
      <c r="E770" s="19">
        <v>0.25</v>
      </c>
      <c r="F770" s="10">
        <v>4.0</v>
      </c>
      <c r="G770" s="11">
        <v>2766.0</v>
      </c>
      <c r="K770" s="23">
        <v>899.0</v>
      </c>
    </row>
    <row r="771">
      <c r="A771" s="7" t="s">
        <v>824</v>
      </c>
      <c r="B771" s="7" t="s">
        <v>825</v>
      </c>
      <c r="C771" s="8">
        <v>238.0</v>
      </c>
      <c r="D771" s="8">
        <v>699.0</v>
      </c>
      <c r="E771" s="19">
        <v>0.66</v>
      </c>
      <c r="F771" s="10">
        <v>4.4</v>
      </c>
      <c r="G771" s="11">
        <v>8372.0</v>
      </c>
      <c r="K771" s="23">
        <v>899.0</v>
      </c>
    </row>
    <row r="772">
      <c r="A772" s="7" t="s">
        <v>826</v>
      </c>
      <c r="B772" s="7" t="s">
        <v>660</v>
      </c>
      <c r="C772" s="8">
        <v>1349.0</v>
      </c>
      <c r="D772" s="8">
        <v>2198.0</v>
      </c>
      <c r="E772" s="19">
        <v>0.39</v>
      </c>
      <c r="F772" s="10">
        <v>4.0</v>
      </c>
      <c r="G772" s="11">
        <v>7113.0</v>
      </c>
      <c r="K772" s="23">
        <v>899.0</v>
      </c>
    </row>
    <row r="773">
      <c r="A773" s="7" t="s">
        <v>50</v>
      </c>
      <c r="B773" s="7" t="s">
        <v>15</v>
      </c>
      <c r="C773" s="8">
        <v>299.0</v>
      </c>
      <c r="D773" s="8">
        <v>999.0</v>
      </c>
      <c r="E773" s="19">
        <v>0.7</v>
      </c>
      <c r="F773" s="10">
        <v>4.3</v>
      </c>
      <c r="G773" s="11">
        <v>20850.0</v>
      </c>
      <c r="K773" s="23">
        <v>899.0</v>
      </c>
    </row>
    <row r="774">
      <c r="A774" s="7" t="s">
        <v>827</v>
      </c>
      <c r="B774" s="7" t="s">
        <v>798</v>
      </c>
      <c r="C774" s="8">
        <v>199.0</v>
      </c>
      <c r="D774" s="8">
        <v>499.0</v>
      </c>
      <c r="E774" s="19">
        <v>0.6</v>
      </c>
      <c r="F774" s="10">
        <v>3.3</v>
      </c>
      <c r="G774" s="11">
        <v>2804.0</v>
      </c>
      <c r="K774" s="23">
        <v>899.0</v>
      </c>
    </row>
    <row r="775">
      <c r="A775" s="7" t="s">
        <v>828</v>
      </c>
      <c r="B775" s="7" t="s">
        <v>393</v>
      </c>
      <c r="C775" s="8">
        <v>1999.0</v>
      </c>
      <c r="D775" s="8">
        <v>9999.0</v>
      </c>
      <c r="E775" s="19">
        <v>0.8</v>
      </c>
      <c r="F775" s="10">
        <v>3.7</v>
      </c>
      <c r="G775" s="11">
        <v>1986.0</v>
      </c>
      <c r="K775" s="23">
        <v>899.0</v>
      </c>
    </row>
    <row r="776">
      <c r="A776" s="7" t="s">
        <v>829</v>
      </c>
      <c r="B776" s="7" t="s">
        <v>450</v>
      </c>
      <c r="C776" s="8">
        <v>99.0</v>
      </c>
      <c r="D776" s="8">
        <v>499.0</v>
      </c>
      <c r="E776" s="19">
        <v>0.8</v>
      </c>
      <c r="F776" s="10">
        <v>4.1</v>
      </c>
      <c r="G776" s="11">
        <v>2451.0</v>
      </c>
      <c r="K776" s="23">
        <v>900.0</v>
      </c>
    </row>
    <row r="777">
      <c r="A777" s="7" t="s">
        <v>830</v>
      </c>
      <c r="B777" s="7" t="s">
        <v>625</v>
      </c>
      <c r="C777" s="8">
        <v>499.0</v>
      </c>
      <c r="D777" s="8">
        <v>1000.0</v>
      </c>
      <c r="E777" s="19">
        <v>0.5</v>
      </c>
      <c r="F777" s="10">
        <v>5.0</v>
      </c>
      <c r="G777" s="10">
        <v>23.0</v>
      </c>
      <c r="K777" s="23">
        <v>917.0</v>
      </c>
    </row>
    <row r="778">
      <c r="A778" s="7" t="s">
        <v>831</v>
      </c>
      <c r="B778" s="7" t="s">
        <v>832</v>
      </c>
      <c r="C778" s="8">
        <v>1792.0</v>
      </c>
      <c r="D778" s="8">
        <v>3500.0</v>
      </c>
      <c r="E778" s="19">
        <v>0.49</v>
      </c>
      <c r="F778" s="10">
        <v>4.5</v>
      </c>
      <c r="G778" s="11">
        <v>26194.0</v>
      </c>
      <c r="K778" s="23">
        <v>929.0</v>
      </c>
    </row>
    <row r="779">
      <c r="A779" s="7" t="s">
        <v>833</v>
      </c>
      <c r="B779" s="7" t="s">
        <v>834</v>
      </c>
      <c r="C779" s="8">
        <v>3299.0</v>
      </c>
      <c r="D779" s="8">
        <v>4100.0</v>
      </c>
      <c r="E779" s="19">
        <v>0.2</v>
      </c>
      <c r="F779" s="10">
        <v>3.9</v>
      </c>
      <c r="G779" s="11">
        <v>15783.0</v>
      </c>
      <c r="K779" s="23">
        <v>929.0</v>
      </c>
    </row>
    <row r="780">
      <c r="A780" s="7" t="s">
        <v>835</v>
      </c>
      <c r="B780" s="7" t="s">
        <v>817</v>
      </c>
      <c r="C780" s="8">
        <v>125.0</v>
      </c>
      <c r="D780" s="8">
        <v>180.0</v>
      </c>
      <c r="E780" s="19">
        <v>0.31</v>
      </c>
      <c r="F780" s="10">
        <v>4.4</v>
      </c>
      <c r="G780" s="11">
        <v>8053.0</v>
      </c>
      <c r="K780" s="23">
        <v>939.0</v>
      </c>
    </row>
    <row r="781">
      <c r="A781" s="7" t="s">
        <v>836</v>
      </c>
      <c r="B781" s="7" t="s">
        <v>625</v>
      </c>
      <c r="C781" s="8">
        <v>399.0</v>
      </c>
      <c r="D781" s="8">
        <v>1190.0</v>
      </c>
      <c r="E781" s="19">
        <v>0.66</v>
      </c>
      <c r="F781" s="10">
        <v>4.1</v>
      </c>
      <c r="G781" s="11">
        <v>2809.0</v>
      </c>
      <c r="K781" s="23">
        <v>948.0</v>
      </c>
    </row>
    <row r="782">
      <c r="A782" s="7" t="s">
        <v>837</v>
      </c>
      <c r="B782" s="7" t="s">
        <v>393</v>
      </c>
      <c r="C782" s="8">
        <v>1199.0</v>
      </c>
      <c r="D782" s="8">
        <v>7999.0</v>
      </c>
      <c r="E782" s="19">
        <v>0.85</v>
      </c>
      <c r="F782" s="10">
        <v>3.6</v>
      </c>
      <c r="G782" s="11">
        <v>25910.0</v>
      </c>
      <c r="K782" s="23">
        <v>949.0</v>
      </c>
    </row>
    <row r="783">
      <c r="A783" s="7" t="s">
        <v>838</v>
      </c>
      <c r="B783" s="7" t="s">
        <v>627</v>
      </c>
      <c r="C783" s="8">
        <v>235.0</v>
      </c>
      <c r="D783" s="8">
        <v>1599.0</v>
      </c>
      <c r="E783" s="19">
        <v>0.85</v>
      </c>
      <c r="F783" s="10">
        <v>3.8</v>
      </c>
      <c r="G783" s="11">
        <v>1173.0</v>
      </c>
      <c r="K783" s="23">
        <v>949.0</v>
      </c>
    </row>
    <row r="784">
      <c r="A784" s="7" t="s">
        <v>839</v>
      </c>
      <c r="B784" s="7" t="s">
        <v>631</v>
      </c>
      <c r="C784" s="8">
        <v>549.0</v>
      </c>
      <c r="D784" s="8">
        <v>1999.0</v>
      </c>
      <c r="E784" s="19">
        <v>0.73</v>
      </c>
      <c r="F784" s="10">
        <v>3.6</v>
      </c>
      <c r="G784" s="11">
        <v>6422.0</v>
      </c>
      <c r="K784" s="23">
        <v>949.0</v>
      </c>
    </row>
    <row r="785">
      <c r="A785" s="7" t="s">
        <v>840</v>
      </c>
      <c r="B785" s="7" t="s">
        <v>759</v>
      </c>
      <c r="C785" s="8">
        <v>89.0</v>
      </c>
      <c r="D785" s="8">
        <v>99.0</v>
      </c>
      <c r="E785" s="19">
        <v>0.1</v>
      </c>
      <c r="F785" s="10">
        <v>4.2</v>
      </c>
      <c r="G785" s="10">
        <v>241.0</v>
      </c>
      <c r="K785" s="23">
        <v>949.0</v>
      </c>
    </row>
    <row r="786">
      <c r="A786" s="7" t="s">
        <v>49</v>
      </c>
      <c r="B786" s="7" t="s">
        <v>15</v>
      </c>
      <c r="C786" s="8">
        <v>970.0</v>
      </c>
      <c r="D786" s="8">
        <v>1999.0</v>
      </c>
      <c r="E786" s="19">
        <v>0.51</v>
      </c>
      <c r="F786" s="10">
        <v>4.4</v>
      </c>
      <c r="G786" s="10">
        <v>184.0</v>
      </c>
      <c r="K786" s="23">
        <v>949.0</v>
      </c>
    </row>
    <row r="787">
      <c r="A787" s="7" t="s">
        <v>841</v>
      </c>
      <c r="B787" s="7" t="s">
        <v>393</v>
      </c>
      <c r="C787" s="8">
        <v>1299.0</v>
      </c>
      <c r="D787" s="8">
        <v>2999.0</v>
      </c>
      <c r="E787" s="19">
        <v>0.57</v>
      </c>
      <c r="F787" s="10">
        <v>3.8</v>
      </c>
      <c r="G787" s="11">
        <v>14629.0</v>
      </c>
      <c r="K787" s="23">
        <v>949.0</v>
      </c>
    </row>
    <row r="788">
      <c r="A788" s="7" t="s">
        <v>842</v>
      </c>
      <c r="B788" s="7" t="s">
        <v>696</v>
      </c>
      <c r="C788" s="8">
        <v>230.0</v>
      </c>
      <c r="D788" s="8">
        <v>999.0</v>
      </c>
      <c r="E788" s="19">
        <v>0.77</v>
      </c>
      <c r="F788" s="10">
        <v>4.2</v>
      </c>
      <c r="G788" s="11">
        <v>1528.0</v>
      </c>
      <c r="K788" s="23">
        <v>949.0</v>
      </c>
    </row>
    <row r="789">
      <c r="A789" s="7" t="s">
        <v>843</v>
      </c>
      <c r="B789" s="7" t="s">
        <v>844</v>
      </c>
      <c r="C789" s="8">
        <v>119.0</v>
      </c>
      <c r="D789" s="8">
        <v>499.0</v>
      </c>
      <c r="E789" s="19">
        <v>0.76</v>
      </c>
      <c r="F789" s="10">
        <v>4.3</v>
      </c>
      <c r="G789" s="11">
        <v>15032.0</v>
      </c>
      <c r="K789" s="23">
        <v>949.0</v>
      </c>
    </row>
    <row r="790">
      <c r="A790" s="7" t="s">
        <v>845</v>
      </c>
      <c r="B790" s="7" t="s">
        <v>846</v>
      </c>
      <c r="C790" s="8">
        <v>449.0</v>
      </c>
      <c r="D790" s="8">
        <v>800.0</v>
      </c>
      <c r="E790" s="19">
        <v>0.44</v>
      </c>
      <c r="F790" s="10">
        <v>4.4</v>
      </c>
      <c r="G790" s="11">
        <v>69585.0</v>
      </c>
      <c r="K790" s="23">
        <v>950.0</v>
      </c>
    </row>
    <row r="791">
      <c r="A791" s="7" t="s">
        <v>847</v>
      </c>
      <c r="B791" s="7" t="s">
        <v>848</v>
      </c>
      <c r="C791" s="8">
        <v>1699.0</v>
      </c>
      <c r="D791" s="8">
        <v>3495.0</v>
      </c>
      <c r="E791" s="19">
        <v>0.51</v>
      </c>
      <c r="F791" s="10">
        <v>4.1</v>
      </c>
      <c r="G791" s="11">
        <v>14371.0</v>
      </c>
      <c r="K791" s="23">
        <v>959.0</v>
      </c>
    </row>
    <row r="792">
      <c r="A792" s="7" t="s">
        <v>849</v>
      </c>
      <c r="B792" s="7" t="s">
        <v>817</v>
      </c>
      <c r="C792" s="8">
        <v>561.0</v>
      </c>
      <c r="D792" s="8">
        <v>720.0</v>
      </c>
      <c r="E792" s="19">
        <v>0.22</v>
      </c>
      <c r="F792" s="10">
        <v>4.4</v>
      </c>
      <c r="G792" s="11">
        <v>3182.0</v>
      </c>
      <c r="K792" s="23">
        <v>970.0</v>
      </c>
    </row>
    <row r="793">
      <c r="A793" s="7" t="s">
        <v>850</v>
      </c>
      <c r="B793" s="7" t="s">
        <v>625</v>
      </c>
      <c r="C793" s="8">
        <v>289.0</v>
      </c>
      <c r="D793" s="8">
        <v>590.0</v>
      </c>
      <c r="E793" s="19">
        <v>0.51</v>
      </c>
      <c r="F793" s="10">
        <v>4.4</v>
      </c>
      <c r="G793" s="11">
        <v>25886.0</v>
      </c>
      <c r="K793" s="23">
        <v>970.0</v>
      </c>
    </row>
    <row r="794">
      <c r="A794" s="7" t="s">
        <v>851</v>
      </c>
      <c r="B794" s="7" t="s">
        <v>635</v>
      </c>
      <c r="C794" s="8">
        <v>599.0</v>
      </c>
      <c r="D794" s="8">
        <v>1999.0</v>
      </c>
      <c r="E794" s="19">
        <v>0.7</v>
      </c>
      <c r="F794" s="10">
        <v>4.4</v>
      </c>
      <c r="G794" s="11">
        <v>4736.0</v>
      </c>
      <c r="K794" s="23">
        <v>970.0</v>
      </c>
    </row>
    <row r="795">
      <c r="A795" s="7" t="s">
        <v>852</v>
      </c>
      <c r="B795" s="7" t="s">
        <v>662</v>
      </c>
      <c r="C795" s="8">
        <v>5599.0</v>
      </c>
      <c r="D795" s="8">
        <v>7350.0</v>
      </c>
      <c r="E795" s="19">
        <v>0.24</v>
      </c>
      <c r="F795" s="10">
        <v>4.4</v>
      </c>
      <c r="G795" s="11">
        <v>73005.0</v>
      </c>
      <c r="K795" s="23">
        <v>970.0</v>
      </c>
    </row>
    <row r="796">
      <c r="A796" s="7" t="s">
        <v>853</v>
      </c>
      <c r="B796" s="7" t="s">
        <v>854</v>
      </c>
      <c r="C796" s="8">
        <v>1990.0</v>
      </c>
      <c r="D796" s="8">
        <v>2595.0</v>
      </c>
      <c r="E796" s="19">
        <v>0.23</v>
      </c>
      <c r="F796" s="10">
        <v>4.3</v>
      </c>
      <c r="G796" s="11">
        <v>20398.0</v>
      </c>
      <c r="K796" s="23">
        <v>970.0</v>
      </c>
    </row>
    <row r="797">
      <c r="A797" s="7" t="s">
        <v>855</v>
      </c>
      <c r="B797" s="7" t="s">
        <v>793</v>
      </c>
      <c r="C797" s="8">
        <v>499.0</v>
      </c>
      <c r="D797" s="8">
        <v>799.0</v>
      </c>
      <c r="E797" s="19">
        <v>0.38</v>
      </c>
      <c r="F797" s="10">
        <v>4.3</v>
      </c>
      <c r="G797" s="11">
        <v>2125.0</v>
      </c>
      <c r="K797" s="23">
        <v>970.0</v>
      </c>
    </row>
    <row r="798">
      <c r="A798" s="7" t="s">
        <v>856</v>
      </c>
      <c r="B798" s="7" t="s">
        <v>806</v>
      </c>
      <c r="C798" s="8">
        <v>449.0</v>
      </c>
      <c r="D798" s="8">
        <v>999.0</v>
      </c>
      <c r="E798" s="19">
        <v>0.55</v>
      </c>
      <c r="F798" s="10">
        <v>4.3</v>
      </c>
      <c r="G798" s="11">
        <v>11330.0</v>
      </c>
      <c r="K798" s="23">
        <v>970.0</v>
      </c>
    </row>
    <row r="799">
      <c r="A799" s="7" t="s">
        <v>857</v>
      </c>
      <c r="B799" s="7" t="s">
        <v>858</v>
      </c>
      <c r="C799" s="8">
        <v>999.0</v>
      </c>
      <c r="D799" s="8">
        <v>1999.0</v>
      </c>
      <c r="E799" s="19">
        <v>0.5</v>
      </c>
      <c r="F799" s="10">
        <v>4.2</v>
      </c>
      <c r="G799" s="11">
        <v>27441.0</v>
      </c>
      <c r="K799" s="23">
        <v>970.0</v>
      </c>
    </row>
    <row r="800">
      <c r="A800" s="7" t="s">
        <v>859</v>
      </c>
      <c r="B800" s="7" t="s">
        <v>576</v>
      </c>
      <c r="C800" s="8">
        <v>69.0</v>
      </c>
      <c r="D800" s="8">
        <v>299.0</v>
      </c>
      <c r="E800" s="19">
        <v>0.77</v>
      </c>
      <c r="F800" s="10">
        <v>4.3</v>
      </c>
      <c r="G800" s="10">
        <v>255.0</v>
      </c>
      <c r="K800" s="23">
        <v>979.0</v>
      </c>
    </row>
    <row r="801">
      <c r="A801" s="7" t="s">
        <v>860</v>
      </c>
      <c r="B801" s="7" t="s">
        <v>625</v>
      </c>
      <c r="C801" s="8">
        <v>899.0</v>
      </c>
      <c r="D801" s="8">
        <v>1499.0</v>
      </c>
      <c r="E801" s="19">
        <v>0.4</v>
      </c>
      <c r="F801" s="10">
        <v>4.2</v>
      </c>
      <c r="G801" s="11">
        <v>23174.0</v>
      </c>
      <c r="K801" s="23">
        <v>979.0</v>
      </c>
    </row>
    <row r="802">
      <c r="A802" s="7" t="s">
        <v>861</v>
      </c>
      <c r="B802" s="7" t="s">
        <v>650</v>
      </c>
      <c r="C802" s="8">
        <v>478.0</v>
      </c>
      <c r="D802" s="8">
        <v>699.0</v>
      </c>
      <c r="E802" s="19">
        <v>0.32</v>
      </c>
      <c r="F802" s="10">
        <v>3.8</v>
      </c>
      <c r="G802" s="11">
        <v>20218.0</v>
      </c>
      <c r="K802" s="23">
        <v>980.0</v>
      </c>
    </row>
    <row r="803">
      <c r="A803" s="7" t="s">
        <v>862</v>
      </c>
      <c r="B803" s="7" t="s">
        <v>863</v>
      </c>
      <c r="C803" s="8">
        <v>1399.0</v>
      </c>
      <c r="D803" s="8">
        <v>2490.0</v>
      </c>
      <c r="E803" s="19">
        <v>0.44</v>
      </c>
      <c r="F803" s="10">
        <v>4.3</v>
      </c>
      <c r="G803" s="11">
        <v>11074.0</v>
      </c>
      <c r="K803" s="23">
        <v>998.0</v>
      </c>
    </row>
    <row r="804">
      <c r="A804" s="7" t="s">
        <v>51</v>
      </c>
      <c r="B804" s="7" t="s">
        <v>15</v>
      </c>
      <c r="C804" s="8">
        <v>199.0</v>
      </c>
      <c r="D804" s="8">
        <v>750.0</v>
      </c>
      <c r="E804" s="19">
        <v>0.73</v>
      </c>
      <c r="F804" s="10">
        <v>4.5</v>
      </c>
      <c r="G804" s="11">
        <v>74976.0</v>
      </c>
      <c r="K804" s="23">
        <v>998.06</v>
      </c>
    </row>
    <row r="805">
      <c r="A805" s="7" t="s">
        <v>864</v>
      </c>
      <c r="B805" s="7" t="s">
        <v>865</v>
      </c>
      <c r="C805" s="8">
        <v>149.0</v>
      </c>
      <c r="D805" s="8">
        <v>499.0</v>
      </c>
      <c r="E805" s="19">
        <v>0.7</v>
      </c>
      <c r="F805" s="10">
        <v>4.1</v>
      </c>
      <c r="G805" s="11">
        <v>25607.0</v>
      </c>
      <c r="K805" s="23">
        <v>999.0</v>
      </c>
    </row>
    <row r="806">
      <c r="A806" s="7" t="s">
        <v>866</v>
      </c>
      <c r="B806" s="7" t="s">
        <v>719</v>
      </c>
      <c r="C806" s="8">
        <v>1799.0</v>
      </c>
      <c r="D806" s="8">
        <v>4990.0</v>
      </c>
      <c r="E806" s="19">
        <v>0.64</v>
      </c>
      <c r="F806" s="10">
        <v>4.2</v>
      </c>
      <c r="G806" s="11">
        <v>41226.0</v>
      </c>
      <c r="K806" s="23">
        <v>999.0</v>
      </c>
    </row>
    <row r="807">
      <c r="A807" s="7" t="s">
        <v>867</v>
      </c>
      <c r="B807" s="7" t="s">
        <v>868</v>
      </c>
      <c r="C807" s="8">
        <v>425.0</v>
      </c>
      <c r="D807" s="8">
        <v>999.0</v>
      </c>
      <c r="E807" s="19">
        <v>0.57</v>
      </c>
      <c r="F807" s="10">
        <v>4.0</v>
      </c>
      <c r="G807" s="11">
        <v>2581.0</v>
      </c>
      <c r="K807" s="23">
        <v>999.0</v>
      </c>
    </row>
    <row r="808">
      <c r="A808" s="7" t="s">
        <v>869</v>
      </c>
      <c r="B808" s="7" t="s">
        <v>804</v>
      </c>
      <c r="C808" s="8">
        <v>999.0</v>
      </c>
      <c r="D808" s="8">
        <v>2490.0</v>
      </c>
      <c r="E808" s="19">
        <v>0.6</v>
      </c>
      <c r="F808" s="10">
        <v>4.1</v>
      </c>
      <c r="G808" s="11">
        <v>18331.0</v>
      </c>
      <c r="K808" s="23">
        <v>999.0</v>
      </c>
    </row>
    <row r="809">
      <c r="A809" s="7" t="s">
        <v>870</v>
      </c>
      <c r="B809" s="7" t="s">
        <v>627</v>
      </c>
      <c r="C809" s="8">
        <v>378.0</v>
      </c>
      <c r="D809" s="8">
        <v>999.0</v>
      </c>
      <c r="E809" s="19">
        <v>0.62</v>
      </c>
      <c r="F809" s="10">
        <v>4.1</v>
      </c>
      <c r="G809" s="11">
        <v>1779.0</v>
      </c>
      <c r="K809" s="23">
        <v>999.0</v>
      </c>
    </row>
    <row r="810">
      <c r="A810" s="7" t="s">
        <v>871</v>
      </c>
      <c r="B810" s="7" t="s">
        <v>872</v>
      </c>
      <c r="C810" s="8">
        <v>99.0</v>
      </c>
      <c r="D810" s="8">
        <v>99.0</v>
      </c>
      <c r="E810" s="19">
        <v>0.0</v>
      </c>
      <c r="F810" s="10">
        <v>4.3</v>
      </c>
      <c r="G810" s="10">
        <v>388.0</v>
      </c>
      <c r="K810" s="23">
        <v>999.0</v>
      </c>
    </row>
    <row r="811">
      <c r="A811" s="7" t="s">
        <v>873</v>
      </c>
      <c r="B811" s="7" t="s">
        <v>709</v>
      </c>
      <c r="C811" s="8">
        <v>1499.0</v>
      </c>
      <c r="D811" s="8">
        <v>2999.0</v>
      </c>
      <c r="E811" s="19">
        <v>0.5</v>
      </c>
      <c r="F811" s="10">
        <v>4.5</v>
      </c>
      <c r="G811" s="11">
        <v>8656.0</v>
      </c>
      <c r="K811" s="23">
        <v>999.0</v>
      </c>
    </row>
    <row r="812">
      <c r="A812" s="7" t="s">
        <v>874</v>
      </c>
      <c r="B812" s="7" t="s">
        <v>875</v>
      </c>
      <c r="C812" s="8">
        <v>1815.0</v>
      </c>
      <c r="D812" s="8">
        <v>3100.0</v>
      </c>
      <c r="E812" s="19">
        <v>0.41</v>
      </c>
      <c r="F812" s="10">
        <v>4.5</v>
      </c>
      <c r="G812" s="11">
        <v>92925.0</v>
      </c>
      <c r="K812" s="23">
        <v>999.0</v>
      </c>
    </row>
    <row r="813">
      <c r="A813" s="7" t="s">
        <v>876</v>
      </c>
      <c r="B813" s="7" t="s">
        <v>817</v>
      </c>
      <c r="C813" s="8">
        <v>67.0</v>
      </c>
      <c r="D813" s="8">
        <v>75.0</v>
      </c>
      <c r="E813" s="19">
        <v>0.11</v>
      </c>
      <c r="F813" s="10">
        <v>4.1</v>
      </c>
      <c r="G813" s="11">
        <v>1269.0</v>
      </c>
      <c r="K813" s="23">
        <v>999.0</v>
      </c>
    </row>
    <row r="814">
      <c r="A814" s="7" t="s">
        <v>877</v>
      </c>
      <c r="B814" s="7" t="s">
        <v>631</v>
      </c>
      <c r="C814" s="8">
        <v>1889.0</v>
      </c>
      <c r="D814" s="8">
        <v>2699.0</v>
      </c>
      <c r="E814" s="19">
        <v>0.3</v>
      </c>
      <c r="F814" s="10">
        <v>4.3</v>
      </c>
      <c r="G814" s="11">
        <v>17394.0</v>
      </c>
      <c r="K814" s="23">
        <v>999.0</v>
      </c>
    </row>
    <row r="815">
      <c r="A815" s="7" t="s">
        <v>878</v>
      </c>
      <c r="B815" s="7" t="s">
        <v>393</v>
      </c>
      <c r="C815" s="8">
        <v>499.0</v>
      </c>
      <c r="D815" s="8">
        <v>1499.0</v>
      </c>
      <c r="E815" s="19">
        <v>0.67</v>
      </c>
      <c r="F815" s="10">
        <v>3.6</v>
      </c>
      <c r="G815" s="11">
        <v>9169.0</v>
      </c>
      <c r="K815" s="23">
        <v>999.0</v>
      </c>
    </row>
    <row r="816">
      <c r="A816" s="7" t="s">
        <v>879</v>
      </c>
      <c r="B816" s="7" t="s">
        <v>696</v>
      </c>
      <c r="C816" s="8">
        <v>499.0</v>
      </c>
      <c r="D816" s="8">
        <v>999.0</v>
      </c>
      <c r="E816" s="19">
        <v>0.5</v>
      </c>
      <c r="F816" s="10">
        <v>4.4</v>
      </c>
      <c r="G816" s="11">
        <v>1030.0</v>
      </c>
      <c r="K816" s="23">
        <v>999.0</v>
      </c>
    </row>
    <row r="817">
      <c r="A817" s="7" t="s">
        <v>880</v>
      </c>
      <c r="B817" s="7" t="s">
        <v>662</v>
      </c>
      <c r="C817" s="8">
        <v>5799.0</v>
      </c>
      <c r="D817" s="8">
        <v>7999.0</v>
      </c>
      <c r="E817" s="19">
        <v>0.28</v>
      </c>
      <c r="F817" s="10">
        <v>4.5</v>
      </c>
      <c r="G817" s="11">
        <v>50273.0</v>
      </c>
      <c r="K817" s="23">
        <v>999.0</v>
      </c>
    </row>
    <row r="818">
      <c r="A818" s="7" t="s">
        <v>881</v>
      </c>
      <c r="B818" s="7" t="s">
        <v>882</v>
      </c>
      <c r="C818" s="8">
        <v>499.0</v>
      </c>
      <c r="D818" s="8">
        <v>799.0</v>
      </c>
      <c r="E818" s="19">
        <v>0.38</v>
      </c>
      <c r="F818" s="10">
        <v>3.9</v>
      </c>
      <c r="G818" s="11">
        <v>6742.0</v>
      </c>
      <c r="K818" s="23">
        <v>999.0</v>
      </c>
    </row>
    <row r="819">
      <c r="A819" s="7" t="s">
        <v>883</v>
      </c>
      <c r="B819" s="7" t="s">
        <v>627</v>
      </c>
      <c r="C819" s="8">
        <v>249.0</v>
      </c>
      <c r="D819" s="8">
        <v>600.0</v>
      </c>
      <c r="E819" s="19">
        <v>0.59</v>
      </c>
      <c r="F819" s="10">
        <v>4.0</v>
      </c>
      <c r="G819" s="11">
        <v>1208.0</v>
      </c>
      <c r="K819" s="23">
        <v>999.0</v>
      </c>
    </row>
    <row r="820">
      <c r="A820" s="7" t="s">
        <v>52</v>
      </c>
      <c r="B820" s="7" t="s">
        <v>15</v>
      </c>
      <c r="C820" s="8">
        <v>179.0</v>
      </c>
      <c r="D820" s="8">
        <v>499.0</v>
      </c>
      <c r="E820" s="19">
        <v>0.64</v>
      </c>
      <c r="F820" s="10">
        <v>4.0</v>
      </c>
      <c r="G820" s="11">
        <v>1933.0</v>
      </c>
      <c r="K820" s="23">
        <v>999.0</v>
      </c>
    </row>
    <row r="821">
      <c r="A821" s="7" t="s">
        <v>884</v>
      </c>
      <c r="B821" s="7" t="s">
        <v>662</v>
      </c>
      <c r="C821" s="8">
        <v>4449.0</v>
      </c>
      <c r="D821" s="8">
        <v>5734.0</v>
      </c>
      <c r="E821" s="19">
        <v>0.22</v>
      </c>
      <c r="F821" s="10">
        <v>4.4</v>
      </c>
      <c r="G821" s="11">
        <v>25006.0</v>
      </c>
      <c r="K821" s="23">
        <v>999.0</v>
      </c>
    </row>
    <row r="822">
      <c r="A822" s="7" t="s">
        <v>885</v>
      </c>
      <c r="B822" s="7" t="s">
        <v>781</v>
      </c>
      <c r="C822" s="8">
        <v>299.0</v>
      </c>
      <c r="D822" s="8">
        <v>550.0</v>
      </c>
      <c r="E822" s="19">
        <v>0.46</v>
      </c>
      <c r="F822" s="10">
        <v>4.6</v>
      </c>
      <c r="G822" s="11">
        <v>33434.0</v>
      </c>
      <c r="K822" s="23">
        <v>999.0</v>
      </c>
    </row>
    <row r="823">
      <c r="A823" s="7" t="s">
        <v>886</v>
      </c>
      <c r="B823" s="7" t="s">
        <v>625</v>
      </c>
      <c r="C823" s="8">
        <v>629.0</v>
      </c>
      <c r="D823" s="8">
        <v>1390.0</v>
      </c>
      <c r="E823" s="19">
        <v>0.55</v>
      </c>
      <c r="F823" s="10">
        <v>4.4</v>
      </c>
      <c r="G823" s="11">
        <v>6301.0</v>
      </c>
      <c r="K823" s="23">
        <v>999.0</v>
      </c>
    </row>
    <row r="824">
      <c r="A824" s="7" t="s">
        <v>887</v>
      </c>
      <c r="B824" s="7" t="s">
        <v>647</v>
      </c>
      <c r="C824" s="8">
        <v>2595.0</v>
      </c>
      <c r="D824" s="8">
        <v>3295.0</v>
      </c>
      <c r="E824" s="19">
        <v>0.21</v>
      </c>
      <c r="F824" s="10">
        <v>4.4</v>
      </c>
      <c r="G824" s="11">
        <v>22618.0</v>
      </c>
      <c r="K824" s="23">
        <v>999.0</v>
      </c>
    </row>
    <row r="825">
      <c r="A825" s="7" t="s">
        <v>53</v>
      </c>
      <c r="B825" s="7" t="s">
        <v>15</v>
      </c>
      <c r="C825" s="8">
        <v>389.0</v>
      </c>
      <c r="D825" s="8">
        <v>1099.0</v>
      </c>
      <c r="E825" s="19">
        <v>0.65</v>
      </c>
      <c r="F825" s="10">
        <v>4.3</v>
      </c>
      <c r="G825" s="10">
        <v>974.0</v>
      </c>
      <c r="K825" s="23">
        <v>999.0</v>
      </c>
    </row>
    <row r="826">
      <c r="A826" s="7" t="s">
        <v>888</v>
      </c>
      <c r="B826" s="7" t="s">
        <v>709</v>
      </c>
      <c r="C826" s="8">
        <v>1799.0</v>
      </c>
      <c r="D826" s="8">
        <v>2911.0</v>
      </c>
      <c r="E826" s="19">
        <v>0.38</v>
      </c>
      <c r="F826" s="10">
        <v>4.3</v>
      </c>
      <c r="G826" s="11">
        <v>20342.0</v>
      </c>
      <c r="K826" s="23">
        <v>999.0</v>
      </c>
    </row>
    <row r="827">
      <c r="A827" s="7" t="s">
        <v>889</v>
      </c>
      <c r="B827" s="7" t="s">
        <v>749</v>
      </c>
      <c r="C827" s="8">
        <v>90.0</v>
      </c>
      <c r="D827" s="8">
        <v>175.0</v>
      </c>
      <c r="E827" s="19">
        <v>0.49</v>
      </c>
      <c r="F827" s="10">
        <v>4.4</v>
      </c>
      <c r="G827" s="11">
        <v>7429.0</v>
      </c>
      <c r="K827" s="23">
        <v>999.0</v>
      </c>
    </row>
    <row r="828">
      <c r="A828" s="7" t="s">
        <v>890</v>
      </c>
      <c r="B828" s="7" t="s">
        <v>631</v>
      </c>
      <c r="C828" s="8">
        <v>599.0</v>
      </c>
      <c r="D828" s="8">
        <v>599.0</v>
      </c>
      <c r="E828" s="19">
        <v>0.0</v>
      </c>
      <c r="F828" s="10">
        <v>4.0</v>
      </c>
      <c r="G828" s="11">
        <v>26423.0</v>
      </c>
      <c r="K828" s="23">
        <v>999.0</v>
      </c>
    </row>
    <row r="829">
      <c r="A829" s="7" t="s">
        <v>891</v>
      </c>
      <c r="B829" s="7" t="s">
        <v>373</v>
      </c>
      <c r="C829" s="8">
        <v>1999.0</v>
      </c>
      <c r="D829" s="8">
        <v>7999.0</v>
      </c>
      <c r="E829" s="19">
        <v>0.75</v>
      </c>
      <c r="F829" s="10">
        <v>4.2</v>
      </c>
      <c r="G829" s="11">
        <v>31305.0</v>
      </c>
      <c r="K829" s="23">
        <v>999.0</v>
      </c>
    </row>
    <row r="830">
      <c r="A830" s="7" t="s">
        <v>892</v>
      </c>
      <c r="B830" s="7" t="s">
        <v>893</v>
      </c>
      <c r="C830" s="8">
        <v>2099.0</v>
      </c>
      <c r="D830" s="8">
        <v>3250.0</v>
      </c>
      <c r="E830" s="19">
        <v>0.35</v>
      </c>
      <c r="F830" s="10">
        <v>3.8</v>
      </c>
      <c r="G830" s="11">
        <v>11213.0</v>
      </c>
      <c r="K830" s="23">
        <v>1043.0</v>
      </c>
    </row>
    <row r="831">
      <c r="A831" s="7" t="s">
        <v>894</v>
      </c>
      <c r="B831" s="7" t="s">
        <v>895</v>
      </c>
      <c r="C831" s="8">
        <v>179.0</v>
      </c>
      <c r="D831" s="8">
        <v>499.0</v>
      </c>
      <c r="E831" s="19">
        <v>0.64</v>
      </c>
      <c r="F831" s="10">
        <v>4.1</v>
      </c>
      <c r="G831" s="11">
        <v>10174.0</v>
      </c>
      <c r="K831" s="23">
        <v>1049.0</v>
      </c>
    </row>
    <row r="832">
      <c r="A832" s="7" t="s">
        <v>896</v>
      </c>
      <c r="B832" s="7" t="s">
        <v>660</v>
      </c>
      <c r="C832" s="8">
        <v>1345.0</v>
      </c>
      <c r="D832" s="8">
        <v>2295.0</v>
      </c>
      <c r="E832" s="19">
        <v>0.41</v>
      </c>
      <c r="F832" s="10">
        <v>4.2</v>
      </c>
      <c r="G832" s="11">
        <v>17413.0</v>
      </c>
      <c r="K832" s="23">
        <v>1049.0</v>
      </c>
    </row>
    <row r="833">
      <c r="A833" s="7" t="s">
        <v>897</v>
      </c>
      <c r="B833" s="7" t="s">
        <v>680</v>
      </c>
      <c r="C833" s="8">
        <v>349.0</v>
      </c>
      <c r="D833" s="8">
        <v>995.0</v>
      </c>
      <c r="E833" s="19">
        <v>0.65</v>
      </c>
      <c r="F833" s="10">
        <v>4.2</v>
      </c>
      <c r="G833" s="11">
        <v>6676.0</v>
      </c>
      <c r="K833" s="23">
        <v>1049.0</v>
      </c>
    </row>
    <row r="834">
      <c r="A834" s="7" t="s">
        <v>898</v>
      </c>
      <c r="B834" s="7" t="s">
        <v>825</v>
      </c>
      <c r="C834" s="8">
        <v>287.0</v>
      </c>
      <c r="D834" s="8">
        <v>499.0</v>
      </c>
      <c r="E834" s="19">
        <v>0.42</v>
      </c>
      <c r="F834" s="10">
        <v>4.4</v>
      </c>
      <c r="G834" s="11">
        <v>8076.0</v>
      </c>
      <c r="K834" s="23">
        <v>1049.0</v>
      </c>
    </row>
    <row r="835">
      <c r="A835" s="7" t="s">
        <v>54</v>
      </c>
      <c r="B835" s="7" t="s">
        <v>15</v>
      </c>
      <c r="C835" s="8">
        <v>599.0</v>
      </c>
      <c r="D835" s="8">
        <v>599.0</v>
      </c>
      <c r="E835" s="19">
        <v>0.0</v>
      </c>
      <c r="F835" s="10">
        <v>4.3</v>
      </c>
      <c r="G835" s="10">
        <v>355.0</v>
      </c>
      <c r="K835" s="23">
        <v>1049.0</v>
      </c>
    </row>
    <row r="836">
      <c r="A836" s="7" t="s">
        <v>899</v>
      </c>
      <c r="B836" s="7" t="s">
        <v>622</v>
      </c>
      <c r="C836" s="8">
        <v>349.0</v>
      </c>
      <c r="D836" s="8">
        <v>450.0</v>
      </c>
      <c r="E836" s="19">
        <v>0.22</v>
      </c>
      <c r="F836" s="10">
        <v>4.1</v>
      </c>
      <c r="G836" s="11">
        <v>18656.0</v>
      </c>
      <c r="K836" s="23">
        <v>1052.0</v>
      </c>
    </row>
    <row r="837">
      <c r="A837" s="7" t="s">
        <v>900</v>
      </c>
      <c r="B837" s="7" t="s">
        <v>652</v>
      </c>
      <c r="C837" s="8">
        <v>879.0</v>
      </c>
      <c r="D837" s="8">
        <v>1109.0</v>
      </c>
      <c r="E837" s="19">
        <v>0.21</v>
      </c>
      <c r="F837" s="10">
        <v>4.4</v>
      </c>
      <c r="G837" s="11">
        <v>31599.0</v>
      </c>
      <c r="K837" s="23">
        <v>1055.0</v>
      </c>
    </row>
    <row r="838">
      <c r="A838" s="7" t="s">
        <v>55</v>
      </c>
      <c r="B838" s="7" t="s">
        <v>15</v>
      </c>
      <c r="C838" s="8">
        <v>199.0</v>
      </c>
      <c r="D838" s="8">
        <v>999.0</v>
      </c>
      <c r="E838" s="19">
        <v>0.8</v>
      </c>
      <c r="F838" s="10">
        <v>3.9</v>
      </c>
      <c r="G838" s="11">
        <v>1075.0</v>
      </c>
      <c r="K838" s="23">
        <v>1059.0</v>
      </c>
    </row>
    <row r="839">
      <c r="A839" s="7" t="s">
        <v>901</v>
      </c>
      <c r="B839" s="7" t="s">
        <v>735</v>
      </c>
      <c r="C839" s="8">
        <v>250.0</v>
      </c>
      <c r="D839" s="8">
        <v>250.0</v>
      </c>
      <c r="E839" s="19">
        <v>0.0</v>
      </c>
      <c r="F839" s="10">
        <v>3.9</v>
      </c>
      <c r="G839" s="11">
        <v>13971.0</v>
      </c>
      <c r="K839" s="23">
        <v>1069.0</v>
      </c>
    </row>
    <row r="840">
      <c r="A840" s="7" t="s">
        <v>902</v>
      </c>
      <c r="B840" s="7" t="s">
        <v>393</v>
      </c>
      <c r="C840" s="8">
        <v>199.0</v>
      </c>
      <c r="D840" s="8">
        <v>499.0</v>
      </c>
      <c r="E840" s="19">
        <v>0.6</v>
      </c>
      <c r="F840" s="10">
        <v>3.6</v>
      </c>
      <c r="G840" s="11">
        <v>2492.0</v>
      </c>
      <c r="K840" s="23">
        <v>1075.0</v>
      </c>
    </row>
    <row r="841">
      <c r="A841" s="7" t="s">
        <v>57</v>
      </c>
      <c r="B841" s="7" t="s">
        <v>15</v>
      </c>
      <c r="C841" s="8">
        <v>899.0</v>
      </c>
      <c r="D841" s="8">
        <v>1900.0</v>
      </c>
      <c r="E841" s="19">
        <v>0.53</v>
      </c>
      <c r="F841" s="10">
        <v>4.4</v>
      </c>
      <c r="G841" s="11">
        <v>13552.0</v>
      </c>
      <c r="K841" s="23">
        <v>1089.0</v>
      </c>
    </row>
    <row r="842">
      <c r="A842" s="7" t="s">
        <v>58</v>
      </c>
      <c r="B842" s="7" t="s">
        <v>15</v>
      </c>
      <c r="C842" s="8">
        <v>199.0</v>
      </c>
      <c r="D842" s="8">
        <v>999.0</v>
      </c>
      <c r="E842" s="19">
        <v>0.8</v>
      </c>
      <c r="F842" s="10">
        <v>4.0</v>
      </c>
      <c r="G842" s="10">
        <v>575.0</v>
      </c>
      <c r="K842" s="23">
        <v>1090.0</v>
      </c>
    </row>
    <row r="843">
      <c r="A843" s="7" t="s">
        <v>903</v>
      </c>
      <c r="B843" s="7" t="s">
        <v>895</v>
      </c>
      <c r="C843" s="8">
        <v>149.0</v>
      </c>
      <c r="D843" s="8">
        <v>999.0</v>
      </c>
      <c r="E843" s="19">
        <v>0.85</v>
      </c>
      <c r="F843" s="10">
        <v>3.5</v>
      </c>
      <c r="G843" s="11">
        <v>2523.0</v>
      </c>
      <c r="K843" s="23">
        <v>1099.0</v>
      </c>
    </row>
    <row r="844">
      <c r="A844" s="7" t="s">
        <v>904</v>
      </c>
      <c r="B844" s="7" t="s">
        <v>627</v>
      </c>
      <c r="C844" s="8">
        <v>469.0</v>
      </c>
      <c r="D844" s="8">
        <v>1499.0</v>
      </c>
      <c r="E844" s="19">
        <v>0.69</v>
      </c>
      <c r="F844" s="10">
        <v>4.1</v>
      </c>
      <c r="G844" s="10">
        <v>352.0</v>
      </c>
      <c r="K844" s="23">
        <v>1099.0</v>
      </c>
    </row>
    <row r="845">
      <c r="A845" s="7" t="s">
        <v>905</v>
      </c>
      <c r="B845" s="7" t="s">
        <v>793</v>
      </c>
      <c r="C845" s="8">
        <v>1187.0</v>
      </c>
      <c r="D845" s="8">
        <v>1929.0</v>
      </c>
      <c r="E845" s="19">
        <v>0.38</v>
      </c>
      <c r="F845" s="10">
        <v>4.1</v>
      </c>
      <c r="G845" s="11">
        <v>1662.0</v>
      </c>
      <c r="K845" s="23">
        <v>1099.0</v>
      </c>
    </row>
    <row r="846">
      <c r="A846" s="7" t="s">
        <v>906</v>
      </c>
      <c r="B846" s="7" t="s">
        <v>907</v>
      </c>
      <c r="C846" s="8">
        <v>849.0</v>
      </c>
      <c r="D846" s="8">
        <v>1499.0</v>
      </c>
      <c r="E846" s="19">
        <v>0.43</v>
      </c>
      <c r="F846" s="10">
        <v>4.0</v>
      </c>
      <c r="G846" s="11">
        <v>7352.0</v>
      </c>
      <c r="K846" s="23">
        <v>1099.0</v>
      </c>
    </row>
    <row r="847">
      <c r="A847" s="7" t="s">
        <v>908</v>
      </c>
      <c r="B847" s="7" t="s">
        <v>625</v>
      </c>
      <c r="C847" s="8">
        <v>328.0</v>
      </c>
      <c r="D847" s="8">
        <v>399.0</v>
      </c>
      <c r="E847" s="19">
        <v>0.18</v>
      </c>
      <c r="F847" s="10">
        <v>4.1</v>
      </c>
      <c r="G847" s="11">
        <v>3441.0</v>
      </c>
      <c r="K847" s="23">
        <v>1099.0</v>
      </c>
    </row>
    <row r="848">
      <c r="A848" s="7" t="s">
        <v>909</v>
      </c>
      <c r="B848" s="7" t="s">
        <v>631</v>
      </c>
      <c r="C848" s="8">
        <v>269.0</v>
      </c>
      <c r="D848" s="8">
        <v>699.0</v>
      </c>
      <c r="E848" s="19">
        <v>0.62</v>
      </c>
      <c r="F848" s="10">
        <v>4.0</v>
      </c>
      <c r="G848" s="10">
        <v>93.0</v>
      </c>
      <c r="K848" s="23">
        <v>1099.0</v>
      </c>
    </row>
    <row r="849">
      <c r="A849" s="7" t="s">
        <v>910</v>
      </c>
      <c r="B849" s="7" t="s">
        <v>911</v>
      </c>
      <c r="C849" s="8">
        <v>299.0</v>
      </c>
      <c r="D849" s="8">
        <v>400.0</v>
      </c>
      <c r="E849" s="19">
        <v>0.25</v>
      </c>
      <c r="F849" s="10">
        <v>3.8</v>
      </c>
      <c r="G849" s="11">
        <v>40895.0</v>
      </c>
      <c r="K849" s="23">
        <v>1099.0</v>
      </c>
    </row>
    <row r="850">
      <c r="A850" s="7" t="s">
        <v>912</v>
      </c>
      <c r="B850" s="7" t="s">
        <v>913</v>
      </c>
      <c r="C850" s="8">
        <v>549.0</v>
      </c>
      <c r="D850" s="8">
        <v>1499.0</v>
      </c>
      <c r="E850" s="19">
        <v>0.63</v>
      </c>
      <c r="F850" s="10">
        <v>4.3</v>
      </c>
      <c r="G850" s="11">
        <v>11006.0</v>
      </c>
      <c r="K850" s="23">
        <v>1099.0</v>
      </c>
    </row>
    <row r="851">
      <c r="A851" s="7" t="s">
        <v>914</v>
      </c>
      <c r="B851" s="7" t="s">
        <v>732</v>
      </c>
      <c r="C851" s="8">
        <v>114.0</v>
      </c>
      <c r="D851" s="8">
        <v>120.0</v>
      </c>
      <c r="E851" s="19">
        <v>0.05</v>
      </c>
      <c r="F851" s="10">
        <v>4.2</v>
      </c>
      <c r="G851" s="11">
        <v>8938.0</v>
      </c>
      <c r="K851" s="23">
        <v>1099.0</v>
      </c>
    </row>
    <row r="852">
      <c r="A852" s="7" t="s">
        <v>915</v>
      </c>
      <c r="B852" s="7" t="s">
        <v>916</v>
      </c>
      <c r="C852" s="8">
        <v>120.0</v>
      </c>
      <c r="D852" s="8">
        <v>120.0</v>
      </c>
      <c r="E852" s="19">
        <v>0.0</v>
      </c>
      <c r="F852" s="10">
        <v>4.1</v>
      </c>
      <c r="G852" s="11">
        <v>4308.0</v>
      </c>
      <c r="K852" s="23">
        <v>1099.0</v>
      </c>
    </row>
    <row r="853">
      <c r="A853" s="7" t="s">
        <v>60</v>
      </c>
      <c r="B853" s="7" t="s">
        <v>15</v>
      </c>
      <c r="C853" s="8">
        <v>970.0</v>
      </c>
      <c r="D853" s="8">
        <v>1999.0</v>
      </c>
      <c r="E853" s="19">
        <v>0.51</v>
      </c>
      <c r="F853" s="10">
        <v>4.2</v>
      </c>
      <c r="G853" s="10">
        <v>462.0</v>
      </c>
      <c r="K853" s="23">
        <v>1099.0</v>
      </c>
    </row>
    <row r="854">
      <c r="A854" s="7" t="s">
        <v>61</v>
      </c>
      <c r="B854" s="7" t="s">
        <v>15</v>
      </c>
      <c r="C854" s="8">
        <v>209.0</v>
      </c>
      <c r="D854" s="8">
        <v>695.0</v>
      </c>
      <c r="E854" s="19">
        <v>0.7</v>
      </c>
      <c r="F854" s="10">
        <v>4.5</v>
      </c>
      <c r="G854" s="7" t="s">
        <v>917</v>
      </c>
      <c r="K854" s="23">
        <v>1099.0</v>
      </c>
    </row>
    <row r="855">
      <c r="A855" s="7" t="s">
        <v>918</v>
      </c>
      <c r="B855" s="7" t="s">
        <v>625</v>
      </c>
      <c r="C855" s="8">
        <v>1490.0</v>
      </c>
      <c r="D855" s="8">
        <v>2295.0</v>
      </c>
      <c r="E855" s="19">
        <v>0.35</v>
      </c>
      <c r="F855" s="10">
        <v>4.6</v>
      </c>
      <c r="G855" s="11">
        <v>10652.0</v>
      </c>
      <c r="K855" s="23">
        <v>1109.0</v>
      </c>
    </row>
    <row r="856">
      <c r="A856" s="7" t="s">
        <v>919</v>
      </c>
      <c r="B856" s="7" t="s">
        <v>920</v>
      </c>
      <c r="C856" s="8">
        <v>99.0</v>
      </c>
      <c r="D856" s="8">
        <v>99.0</v>
      </c>
      <c r="E856" s="19">
        <v>0.0</v>
      </c>
      <c r="F856" s="10">
        <v>4.3</v>
      </c>
      <c r="G856" s="11">
        <v>5036.0</v>
      </c>
      <c r="K856" s="23">
        <v>1110.0</v>
      </c>
    </row>
    <row r="857">
      <c r="A857" s="7" t="s">
        <v>921</v>
      </c>
      <c r="B857" s="7" t="s">
        <v>625</v>
      </c>
      <c r="C857" s="8">
        <v>149.0</v>
      </c>
      <c r="D857" s="8">
        <v>249.0</v>
      </c>
      <c r="E857" s="19">
        <v>0.4</v>
      </c>
      <c r="F857" s="10">
        <v>4.0</v>
      </c>
      <c r="G857" s="11">
        <v>5057.0</v>
      </c>
      <c r="K857" s="23">
        <v>1130.0</v>
      </c>
    </row>
    <row r="858">
      <c r="A858" s="7" t="s">
        <v>922</v>
      </c>
      <c r="B858" s="7" t="s">
        <v>692</v>
      </c>
      <c r="C858" s="8">
        <v>575.0</v>
      </c>
      <c r="D858" s="8">
        <v>2799.0</v>
      </c>
      <c r="E858" s="19">
        <v>0.79</v>
      </c>
      <c r="F858" s="10">
        <v>4.2</v>
      </c>
      <c r="G858" s="11">
        <v>8537.0</v>
      </c>
      <c r="K858" s="23">
        <v>1149.0</v>
      </c>
    </row>
    <row r="859">
      <c r="A859" s="7" t="s">
        <v>67</v>
      </c>
      <c r="B859" s="7" t="s">
        <v>15</v>
      </c>
      <c r="C859" s="8">
        <v>333.0</v>
      </c>
      <c r="D859" s="8">
        <v>999.0</v>
      </c>
      <c r="E859" s="19">
        <v>0.67</v>
      </c>
      <c r="F859" s="10">
        <v>3.3</v>
      </c>
      <c r="G859" s="11">
        <v>9792.0</v>
      </c>
      <c r="K859" s="23">
        <v>1149.0</v>
      </c>
    </row>
    <row r="860">
      <c r="A860" s="7" t="s">
        <v>923</v>
      </c>
      <c r="B860" s="7" t="s">
        <v>822</v>
      </c>
      <c r="C860" s="8">
        <v>178.0</v>
      </c>
      <c r="D860" s="8">
        <v>210.0</v>
      </c>
      <c r="E860" s="19">
        <v>0.15</v>
      </c>
      <c r="F860" s="10">
        <v>4.3</v>
      </c>
      <c r="G860" s="11">
        <v>2450.0</v>
      </c>
      <c r="K860" s="23">
        <v>1149.0</v>
      </c>
    </row>
    <row r="861">
      <c r="A861" s="7" t="s">
        <v>924</v>
      </c>
      <c r="B861" s="7" t="s">
        <v>393</v>
      </c>
      <c r="C861" s="8">
        <v>1599.0</v>
      </c>
      <c r="D861" s="8">
        <v>3490.0</v>
      </c>
      <c r="E861" s="19">
        <v>0.54</v>
      </c>
      <c r="F861" s="10">
        <v>3.7</v>
      </c>
      <c r="G861" s="10">
        <v>676.0</v>
      </c>
      <c r="K861" s="23">
        <v>1149.0</v>
      </c>
    </row>
    <row r="862">
      <c r="A862" s="7" t="s">
        <v>925</v>
      </c>
      <c r="B862" s="7" t="s">
        <v>393</v>
      </c>
      <c r="C862" s="8">
        <v>499.0</v>
      </c>
      <c r="D862" s="8">
        <v>1299.0</v>
      </c>
      <c r="E862" s="19">
        <v>0.62</v>
      </c>
      <c r="F862" s="10">
        <v>3.9</v>
      </c>
      <c r="G862" s="11">
        <v>1173.0</v>
      </c>
      <c r="K862" s="23">
        <v>1149.0</v>
      </c>
    </row>
    <row r="863">
      <c r="A863" s="7" t="s">
        <v>926</v>
      </c>
      <c r="B863" s="7" t="s">
        <v>696</v>
      </c>
      <c r="C863" s="8">
        <v>199.0</v>
      </c>
      <c r="D863" s="8">
        <v>499.0</v>
      </c>
      <c r="E863" s="19">
        <v>0.6</v>
      </c>
      <c r="F863" s="10">
        <v>4.3</v>
      </c>
      <c r="G863" s="11">
        <v>9998.0</v>
      </c>
      <c r="K863" s="23">
        <v>1149.0</v>
      </c>
    </row>
    <row r="864">
      <c r="A864" s="7" t="s">
        <v>927</v>
      </c>
      <c r="B864" s="7" t="s">
        <v>373</v>
      </c>
      <c r="C864" s="8">
        <v>2499.0</v>
      </c>
      <c r="D864" s="8">
        <v>5999.0</v>
      </c>
      <c r="E864" s="19">
        <v>0.58</v>
      </c>
      <c r="F864" s="10">
        <v>4.1</v>
      </c>
      <c r="G864" s="11">
        <v>5852.0</v>
      </c>
      <c r="K864" s="23">
        <v>1149.0</v>
      </c>
    </row>
    <row r="865">
      <c r="A865" s="7" t="s">
        <v>928</v>
      </c>
      <c r="B865" s="7" t="s">
        <v>929</v>
      </c>
      <c r="C865" s="8">
        <v>199.0</v>
      </c>
      <c r="D865" s="8">
        <v>999.0</v>
      </c>
      <c r="E865" s="19">
        <v>0.8</v>
      </c>
      <c r="F865" s="10">
        <v>4.2</v>
      </c>
      <c r="G865" s="10">
        <v>362.0</v>
      </c>
      <c r="K865" s="23">
        <v>1149.0</v>
      </c>
    </row>
    <row r="866">
      <c r="A866" s="7" t="s">
        <v>930</v>
      </c>
      <c r="B866" s="7" t="s">
        <v>386</v>
      </c>
      <c r="C866" s="8">
        <v>939.0</v>
      </c>
      <c r="D866" s="8">
        <v>1800.0</v>
      </c>
      <c r="E866" s="19">
        <v>0.48</v>
      </c>
      <c r="F866" s="10">
        <v>4.5</v>
      </c>
      <c r="G866" s="7" t="s">
        <v>931</v>
      </c>
      <c r="K866" s="23">
        <v>1180.0</v>
      </c>
    </row>
    <row r="867">
      <c r="A867" s="7" t="s">
        <v>932</v>
      </c>
      <c r="B867" s="7" t="s">
        <v>373</v>
      </c>
      <c r="C867" s="8">
        <v>2499.0</v>
      </c>
      <c r="D867" s="8">
        <v>9999.0</v>
      </c>
      <c r="E867" s="19">
        <v>0.75</v>
      </c>
      <c r="F867" s="10">
        <v>4.0</v>
      </c>
      <c r="G867" s="11">
        <v>9090.0</v>
      </c>
      <c r="K867" s="23">
        <v>1182.0</v>
      </c>
    </row>
    <row r="868">
      <c r="A868" s="7" t="s">
        <v>933</v>
      </c>
      <c r="B868" s="7" t="s">
        <v>625</v>
      </c>
      <c r="C868" s="8">
        <v>1439.0</v>
      </c>
      <c r="D868" s="8">
        <v>2890.0</v>
      </c>
      <c r="E868" s="19">
        <v>0.5</v>
      </c>
      <c r="F868" s="10">
        <v>4.5</v>
      </c>
      <c r="G868" s="11">
        <v>4099.0</v>
      </c>
      <c r="K868" s="23">
        <v>1187.0</v>
      </c>
    </row>
    <row r="869">
      <c r="A869" s="7" t="s">
        <v>934</v>
      </c>
      <c r="B869" s="7" t="s">
        <v>393</v>
      </c>
      <c r="C869" s="8">
        <v>1099.0</v>
      </c>
      <c r="D869" s="8">
        <v>5999.0</v>
      </c>
      <c r="E869" s="19">
        <v>0.82</v>
      </c>
      <c r="F869" s="10">
        <v>3.5</v>
      </c>
      <c r="G869" s="11">
        <v>12966.0</v>
      </c>
      <c r="K869" s="23">
        <v>1189.0</v>
      </c>
    </row>
    <row r="870">
      <c r="A870" s="7" t="s">
        <v>935</v>
      </c>
      <c r="B870" s="7" t="s">
        <v>732</v>
      </c>
      <c r="C870" s="8">
        <v>157.0</v>
      </c>
      <c r="D870" s="8">
        <v>160.0</v>
      </c>
      <c r="E870" s="19">
        <v>0.02</v>
      </c>
      <c r="F870" s="10">
        <v>4.5</v>
      </c>
      <c r="G870" s="11">
        <v>4428.0</v>
      </c>
      <c r="K870" s="23">
        <v>1190.0</v>
      </c>
    </row>
    <row r="871">
      <c r="A871" s="7" t="s">
        <v>65</v>
      </c>
      <c r="B871" s="7" t="s">
        <v>25</v>
      </c>
      <c r="C871" s="8">
        <v>999.0</v>
      </c>
      <c r="D871" s="8">
        <v>1599.0</v>
      </c>
      <c r="E871" s="19">
        <v>0.38</v>
      </c>
      <c r="F871" s="10">
        <v>4.3</v>
      </c>
      <c r="G871" s="11">
        <v>12093.0</v>
      </c>
      <c r="K871" s="23">
        <v>1199.0</v>
      </c>
    </row>
    <row r="872">
      <c r="A872" s="7" t="s">
        <v>936</v>
      </c>
      <c r="B872" s="7" t="s">
        <v>685</v>
      </c>
      <c r="C872" s="8">
        <v>115.0</v>
      </c>
      <c r="D872" s="8">
        <v>999.0</v>
      </c>
      <c r="E872" s="19">
        <v>0.88</v>
      </c>
      <c r="F872" s="10">
        <v>3.3</v>
      </c>
      <c r="G872" s="11">
        <v>5692.0</v>
      </c>
      <c r="K872" s="23">
        <v>1199.0</v>
      </c>
    </row>
    <row r="873">
      <c r="A873" s="7" t="s">
        <v>937</v>
      </c>
      <c r="B873" s="7" t="s">
        <v>627</v>
      </c>
      <c r="C873" s="8">
        <v>175.0</v>
      </c>
      <c r="D873" s="8">
        <v>499.0</v>
      </c>
      <c r="E873" s="19">
        <v>0.65</v>
      </c>
      <c r="F873" s="10">
        <v>4.1</v>
      </c>
      <c r="G873" s="10">
        <v>21.0</v>
      </c>
      <c r="K873" s="23">
        <v>1199.0</v>
      </c>
    </row>
    <row r="874">
      <c r="A874" s="7" t="s">
        <v>938</v>
      </c>
      <c r="B874" s="7" t="s">
        <v>769</v>
      </c>
      <c r="C874" s="8">
        <v>1999.0</v>
      </c>
      <c r="D874" s="8">
        <v>4700.0</v>
      </c>
      <c r="E874" s="19">
        <v>0.57</v>
      </c>
      <c r="F874" s="10">
        <v>3.8</v>
      </c>
      <c r="G874" s="11">
        <v>1880.0</v>
      </c>
      <c r="K874" s="23">
        <v>1199.0</v>
      </c>
    </row>
    <row r="875">
      <c r="A875" s="7" t="s">
        <v>939</v>
      </c>
      <c r="B875" s="7" t="s">
        <v>940</v>
      </c>
      <c r="C875" s="8">
        <v>3999.0</v>
      </c>
      <c r="D875" s="8">
        <v>4332.96</v>
      </c>
      <c r="E875" s="19">
        <v>0.08</v>
      </c>
      <c r="F875" s="10">
        <v>3.5</v>
      </c>
      <c r="G875" s="11">
        <v>21762.0</v>
      </c>
      <c r="K875" s="23">
        <v>1199.0</v>
      </c>
    </row>
    <row r="876">
      <c r="A876" s="7" t="s">
        <v>941</v>
      </c>
      <c r="B876" s="7" t="s">
        <v>709</v>
      </c>
      <c r="C876" s="8">
        <v>899.0</v>
      </c>
      <c r="D876" s="8">
        <v>1800.0</v>
      </c>
      <c r="E876" s="19">
        <v>0.5</v>
      </c>
      <c r="F876" s="10">
        <v>4.1</v>
      </c>
      <c r="G876" s="11">
        <v>22375.0</v>
      </c>
      <c r="K876" s="23">
        <v>1199.0</v>
      </c>
    </row>
    <row r="877">
      <c r="A877" s="7" t="s">
        <v>942</v>
      </c>
      <c r="B877" s="7" t="s">
        <v>696</v>
      </c>
      <c r="C877" s="8">
        <v>299.0</v>
      </c>
      <c r="D877" s="8">
        <v>990.0</v>
      </c>
      <c r="E877" s="19">
        <v>0.7</v>
      </c>
      <c r="F877" s="10">
        <v>4.5</v>
      </c>
      <c r="G877" s="11">
        <v>2453.0</v>
      </c>
      <c r="K877" s="23">
        <v>1199.0</v>
      </c>
    </row>
    <row r="878">
      <c r="A878" s="7" t="s">
        <v>943</v>
      </c>
      <c r="B878" s="7" t="s">
        <v>627</v>
      </c>
      <c r="C878" s="8">
        <v>3303.0</v>
      </c>
      <c r="D878" s="8">
        <v>4699.0</v>
      </c>
      <c r="E878" s="19">
        <v>0.3</v>
      </c>
      <c r="F878" s="10">
        <v>4.4</v>
      </c>
      <c r="G878" s="11">
        <v>13544.0</v>
      </c>
      <c r="K878" s="23">
        <v>1199.0</v>
      </c>
    </row>
    <row r="879">
      <c r="A879" s="7" t="s">
        <v>944</v>
      </c>
      <c r="B879" s="7" t="s">
        <v>854</v>
      </c>
      <c r="C879" s="8">
        <v>1890.0</v>
      </c>
      <c r="D879" s="8">
        <v>5490.0</v>
      </c>
      <c r="E879" s="19">
        <v>0.66</v>
      </c>
      <c r="F879" s="10">
        <v>4.1</v>
      </c>
      <c r="G879" s="11">
        <v>10976.0</v>
      </c>
      <c r="K879" s="23">
        <v>1199.0</v>
      </c>
    </row>
    <row r="880">
      <c r="A880" s="7" t="s">
        <v>945</v>
      </c>
      <c r="B880" s="7" t="s">
        <v>811</v>
      </c>
      <c r="C880" s="8">
        <v>90.0</v>
      </c>
      <c r="D880" s="8">
        <v>100.0</v>
      </c>
      <c r="E880" s="19">
        <v>0.1</v>
      </c>
      <c r="F880" s="10">
        <v>4.3</v>
      </c>
      <c r="G880" s="11">
        <v>3061.0</v>
      </c>
      <c r="K880" s="23">
        <v>1199.0</v>
      </c>
    </row>
    <row r="881">
      <c r="A881" s="7" t="s">
        <v>946</v>
      </c>
      <c r="B881" s="7" t="s">
        <v>393</v>
      </c>
      <c r="C881" s="8">
        <v>1599.0</v>
      </c>
      <c r="D881" s="8">
        <v>2790.0</v>
      </c>
      <c r="E881" s="19">
        <v>0.43</v>
      </c>
      <c r="F881" s="10">
        <v>3.6</v>
      </c>
      <c r="G881" s="11">
        <v>2272.0</v>
      </c>
      <c r="K881" s="23">
        <v>1199.0</v>
      </c>
    </row>
    <row r="882">
      <c r="A882" s="7" t="s">
        <v>947</v>
      </c>
      <c r="B882" s="7" t="s">
        <v>858</v>
      </c>
      <c r="C882" s="8">
        <v>599.0</v>
      </c>
      <c r="D882" s="8">
        <v>999.0</v>
      </c>
      <c r="E882" s="19">
        <v>0.4</v>
      </c>
      <c r="F882" s="10">
        <v>4.0</v>
      </c>
      <c r="G882" s="11">
        <v>7601.0</v>
      </c>
      <c r="K882" s="23">
        <v>1199.0</v>
      </c>
    </row>
    <row r="883">
      <c r="A883" s="7" t="s">
        <v>68</v>
      </c>
      <c r="B883" s="7" t="s">
        <v>25</v>
      </c>
      <c r="C883" s="8">
        <v>507.0</v>
      </c>
      <c r="D883" s="8">
        <v>1208.0</v>
      </c>
      <c r="E883" s="19">
        <v>0.58</v>
      </c>
      <c r="F883" s="10">
        <v>4.1</v>
      </c>
      <c r="G883" s="11">
        <v>8131.0</v>
      </c>
      <c r="K883" s="23">
        <v>1199.0</v>
      </c>
    </row>
    <row r="884">
      <c r="A884" s="7" t="s">
        <v>948</v>
      </c>
      <c r="B884" s="7" t="s">
        <v>696</v>
      </c>
      <c r="C884" s="8">
        <v>425.0</v>
      </c>
      <c r="D884" s="8">
        <v>899.0</v>
      </c>
      <c r="E884" s="19">
        <v>0.53</v>
      </c>
      <c r="F884" s="10">
        <v>4.5</v>
      </c>
      <c r="G884" s="11">
        <v>4219.0</v>
      </c>
      <c r="K884" s="23">
        <v>1199.0</v>
      </c>
    </row>
    <row r="885">
      <c r="A885" s="7" t="s">
        <v>949</v>
      </c>
      <c r="B885" s="7" t="s">
        <v>572</v>
      </c>
      <c r="C885" s="8">
        <v>1499.0</v>
      </c>
      <c r="D885" s="8">
        <v>3999.0</v>
      </c>
      <c r="E885" s="19">
        <v>0.63</v>
      </c>
      <c r="F885" s="10">
        <v>4.2</v>
      </c>
      <c r="G885" s="11">
        <v>42775.0</v>
      </c>
      <c r="K885" s="23">
        <v>1199.0</v>
      </c>
    </row>
    <row r="886">
      <c r="A886" s="7" t="s">
        <v>950</v>
      </c>
      <c r="B886" s="7" t="s">
        <v>913</v>
      </c>
      <c r="C886" s="8">
        <v>549.0</v>
      </c>
      <c r="D886" s="8">
        <v>2499.0</v>
      </c>
      <c r="E886" s="19">
        <v>0.78</v>
      </c>
      <c r="F886" s="10">
        <v>4.3</v>
      </c>
      <c r="G886" s="11">
        <v>5556.0</v>
      </c>
      <c r="K886" s="23">
        <v>1199.0</v>
      </c>
    </row>
    <row r="887">
      <c r="A887" s="7" t="s">
        <v>72</v>
      </c>
      <c r="B887" s="7" t="s">
        <v>15</v>
      </c>
      <c r="C887" s="8">
        <v>199.0</v>
      </c>
      <c r="D887" s="8">
        <v>395.0</v>
      </c>
      <c r="E887" s="19">
        <v>0.5</v>
      </c>
      <c r="F887" s="10">
        <v>4.2</v>
      </c>
      <c r="G887" s="11">
        <v>92595.0</v>
      </c>
      <c r="K887" s="23">
        <v>1199.0</v>
      </c>
    </row>
    <row r="888">
      <c r="A888" s="7" t="s">
        <v>951</v>
      </c>
      <c r="B888" s="7" t="s">
        <v>625</v>
      </c>
      <c r="C888" s="8">
        <v>1295.0</v>
      </c>
      <c r="D888" s="8">
        <v>1645.0</v>
      </c>
      <c r="E888" s="19">
        <v>0.21</v>
      </c>
      <c r="F888" s="10">
        <v>4.6</v>
      </c>
      <c r="G888" s="11">
        <v>12375.0</v>
      </c>
      <c r="K888" s="23">
        <v>1199.0</v>
      </c>
    </row>
    <row r="889">
      <c r="A889" s="7" t="s">
        <v>952</v>
      </c>
      <c r="B889" s="7" t="s">
        <v>694</v>
      </c>
      <c r="C889" s="8">
        <v>310.0</v>
      </c>
      <c r="D889" s="8">
        <v>310.0</v>
      </c>
      <c r="E889" s="19">
        <v>0.0</v>
      </c>
      <c r="F889" s="10">
        <v>4.5</v>
      </c>
      <c r="G889" s="11">
        <v>5882.0</v>
      </c>
      <c r="K889" s="23">
        <v>1199.0</v>
      </c>
    </row>
    <row r="890">
      <c r="A890" s="7" t="s">
        <v>575</v>
      </c>
      <c r="B890" s="7" t="s">
        <v>576</v>
      </c>
      <c r="C890" s="8">
        <v>149.0</v>
      </c>
      <c r="D890" s="8">
        <v>149.0</v>
      </c>
      <c r="E890" s="19">
        <v>0.0</v>
      </c>
      <c r="F890" s="10">
        <v>4.3</v>
      </c>
      <c r="G890" s="11">
        <v>10833.0</v>
      </c>
      <c r="K890" s="23">
        <v>1199.0</v>
      </c>
    </row>
    <row r="891">
      <c r="A891" s="7" t="s">
        <v>953</v>
      </c>
      <c r="B891" s="7" t="s">
        <v>660</v>
      </c>
      <c r="C891" s="8">
        <v>1149.0</v>
      </c>
      <c r="D891" s="8">
        <v>1499.0</v>
      </c>
      <c r="E891" s="19">
        <v>0.23</v>
      </c>
      <c r="F891" s="10">
        <v>4.1</v>
      </c>
      <c r="G891" s="11">
        <v>10443.0</v>
      </c>
      <c r="K891" s="23">
        <v>1199.0</v>
      </c>
    </row>
    <row r="892">
      <c r="A892" s="7" t="s">
        <v>954</v>
      </c>
      <c r="B892" s="7" t="s">
        <v>631</v>
      </c>
      <c r="C892" s="8">
        <v>499.0</v>
      </c>
      <c r="D892" s="8">
        <v>1299.0</v>
      </c>
      <c r="E892" s="19">
        <v>0.62</v>
      </c>
      <c r="F892" s="10">
        <v>4.5</v>
      </c>
      <c r="G892" s="10">
        <v>434.0</v>
      </c>
      <c r="K892" s="23">
        <v>1199.0</v>
      </c>
    </row>
    <row r="893">
      <c r="A893" s="7" t="s">
        <v>955</v>
      </c>
      <c r="B893" s="7" t="s">
        <v>393</v>
      </c>
      <c r="C893" s="8">
        <v>999.0</v>
      </c>
      <c r="D893" s="8">
        <v>4199.0</v>
      </c>
      <c r="E893" s="19">
        <v>0.76</v>
      </c>
      <c r="F893" s="10">
        <v>3.5</v>
      </c>
      <c r="G893" s="11">
        <v>1913.0</v>
      </c>
      <c r="K893" s="23">
        <v>1199.0</v>
      </c>
    </row>
    <row r="894">
      <c r="A894" s="7" t="s">
        <v>956</v>
      </c>
      <c r="B894" s="7" t="s">
        <v>875</v>
      </c>
      <c r="C894" s="8">
        <v>1709.0</v>
      </c>
      <c r="D894" s="8">
        <v>4000.0</v>
      </c>
      <c r="E894" s="19">
        <v>0.57</v>
      </c>
      <c r="F894" s="10">
        <v>4.4</v>
      </c>
      <c r="G894" s="11">
        <v>3029.0</v>
      </c>
      <c r="K894" s="23">
        <v>1219.0</v>
      </c>
    </row>
    <row r="895">
      <c r="A895" s="7" t="s">
        <v>957</v>
      </c>
      <c r="B895" s="7" t="s">
        <v>654</v>
      </c>
      <c r="C895" s="8">
        <v>250.0</v>
      </c>
      <c r="D895" s="8">
        <v>250.0</v>
      </c>
      <c r="E895" s="19">
        <v>0.0</v>
      </c>
      <c r="F895" s="10">
        <v>4.2</v>
      </c>
      <c r="G895" s="11">
        <v>2628.0</v>
      </c>
      <c r="K895" s="23">
        <v>1220.0</v>
      </c>
    </row>
    <row r="896">
      <c r="A896" s="7" t="s">
        <v>73</v>
      </c>
      <c r="B896" s="7" t="s">
        <v>25</v>
      </c>
      <c r="C896" s="8">
        <v>1199.0</v>
      </c>
      <c r="D896" s="8">
        <v>2199.0</v>
      </c>
      <c r="E896" s="19">
        <v>0.45</v>
      </c>
      <c r="F896" s="10">
        <v>4.4</v>
      </c>
      <c r="G896" s="11">
        <v>24780.0</v>
      </c>
      <c r="K896" s="23">
        <v>1234.0</v>
      </c>
    </row>
    <row r="897">
      <c r="A897" s="7" t="s">
        <v>958</v>
      </c>
      <c r="B897" s="7" t="s">
        <v>959</v>
      </c>
      <c r="C897" s="8">
        <v>90.0</v>
      </c>
      <c r="D897" s="8">
        <v>100.0</v>
      </c>
      <c r="E897" s="19">
        <v>0.1</v>
      </c>
      <c r="F897" s="10">
        <v>4.4</v>
      </c>
      <c r="G897" s="11">
        <v>10718.0</v>
      </c>
      <c r="K897" s="23">
        <v>1235.0</v>
      </c>
    </row>
    <row r="898">
      <c r="A898" s="7" t="s">
        <v>960</v>
      </c>
      <c r="B898" s="7" t="s">
        <v>502</v>
      </c>
      <c r="C898" s="8">
        <v>2025.0</v>
      </c>
      <c r="D898" s="8">
        <v>5999.0</v>
      </c>
      <c r="E898" s="19">
        <v>0.66</v>
      </c>
      <c r="F898" s="10">
        <v>4.2</v>
      </c>
      <c r="G898" s="11">
        <v>6233.0</v>
      </c>
      <c r="K898" s="23">
        <v>1249.0</v>
      </c>
    </row>
    <row r="899">
      <c r="A899" s="7" t="s">
        <v>961</v>
      </c>
      <c r="B899" s="7" t="s">
        <v>692</v>
      </c>
      <c r="C899" s="8">
        <v>1495.0</v>
      </c>
      <c r="D899" s="8">
        <v>1995.0</v>
      </c>
      <c r="E899" s="19">
        <v>0.25</v>
      </c>
      <c r="F899" s="10">
        <v>4.5</v>
      </c>
      <c r="G899" s="11">
        <v>10541.0</v>
      </c>
      <c r="K899" s="23">
        <v>1249.0</v>
      </c>
    </row>
    <row r="900">
      <c r="A900" s="7" t="s">
        <v>75</v>
      </c>
      <c r="B900" s="7" t="s">
        <v>15</v>
      </c>
      <c r="C900" s="8">
        <v>799.0</v>
      </c>
      <c r="D900" s="8">
        <v>2100.0</v>
      </c>
      <c r="E900" s="19">
        <v>0.62</v>
      </c>
      <c r="F900" s="10">
        <v>4.3</v>
      </c>
      <c r="G900" s="11">
        <v>8188.0</v>
      </c>
      <c r="K900" s="23">
        <v>1260.0</v>
      </c>
    </row>
    <row r="901">
      <c r="A901" s="7" t="s">
        <v>962</v>
      </c>
      <c r="B901" s="7" t="s">
        <v>719</v>
      </c>
      <c r="C901" s="8">
        <v>899.0</v>
      </c>
      <c r="D901" s="8">
        <v>1199.0</v>
      </c>
      <c r="E901" s="19">
        <v>0.25</v>
      </c>
      <c r="F901" s="10">
        <v>3.8</v>
      </c>
      <c r="G901" s="11">
        <v>10751.0</v>
      </c>
      <c r="K901" s="23">
        <v>1260.0</v>
      </c>
    </row>
    <row r="902">
      <c r="A902" s="7" t="s">
        <v>963</v>
      </c>
      <c r="B902" s="7" t="s">
        <v>964</v>
      </c>
      <c r="C902" s="8">
        <v>349.0</v>
      </c>
      <c r="D902" s="8">
        <v>999.0</v>
      </c>
      <c r="E902" s="19">
        <v>0.65</v>
      </c>
      <c r="F902" s="10">
        <v>3.9</v>
      </c>
      <c r="G902" s="10">
        <v>817.0</v>
      </c>
      <c r="K902" s="23">
        <v>1289.0</v>
      </c>
    </row>
    <row r="903">
      <c r="A903" s="7" t="s">
        <v>965</v>
      </c>
      <c r="B903" s="7" t="s">
        <v>377</v>
      </c>
      <c r="C903" s="8">
        <v>900.0</v>
      </c>
      <c r="D903" s="8">
        <v>2499.0</v>
      </c>
      <c r="E903" s="19">
        <v>0.64</v>
      </c>
      <c r="F903" s="10">
        <v>4.0</v>
      </c>
      <c r="G903" s="11">
        <v>36384.0</v>
      </c>
      <c r="K903" s="23">
        <v>1289.0</v>
      </c>
    </row>
    <row r="904">
      <c r="A904" s="7" t="s">
        <v>966</v>
      </c>
      <c r="B904" s="7" t="s">
        <v>769</v>
      </c>
      <c r="C904" s="8">
        <v>2490.0</v>
      </c>
      <c r="D904" s="8">
        <v>3990.0</v>
      </c>
      <c r="E904" s="19">
        <v>0.38</v>
      </c>
      <c r="F904" s="10">
        <v>4.1</v>
      </c>
      <c r="G904" s="11">
        <v>3606.0</v>
      </c>
      <c r="K904" s="23">
        <v>1290.0</v>
      </c>
    </row>
    <row r="905">
      <c r="A905" s="7" t="s">
        <v>967</v>
      </c>
      <c r="B905" s="7" t="s">
        <v>721</v>
      </c>
      <c r="C905" s="8">
        <v>116.0</v>
      </c>
      <c r="D905" s="8">
        <v>200.0</v>
      </c>
      <c r="E905" s="19">
        <v>0.42</v>
      </c>
      <c r="F905" s="10">
        <v>4.4</v>
      </c>
      <c r="G905" s="10">
        <v>357.0</v>
      </c>
      <c r="K905" s="23">
        <v>1295.0</v>
      </c>
    </row>
    <row r="906">
      <c r="A906" s="7" t="s">
        <v>968</v>
      </c>
      <c r="B906" s="7" t="s">
        <v>694</v>
      </c>
      <c r="C906" s="8">
        <v>200.0</v>
      </c>
      <c r="D906" s="8">
        <v>230.0</v>
      </c>
      <c r="E906" s="19">
        <v>0.13</v>
      </c>
      <c r="F906" s="10">
        <v>4.4</v>
      </c>
      <c r="G906" s="11">
        <v>10170.0</v>
      </c>
      <c r="K906" s="23">
        <v>1295.0</v>
      </c>
    </row>
    <row r="907">
      <c r="A907" s="7" t="s">
        <v>969</v>
      </c>
      <c r="B907" s="7" t="s">
        <v>895</v>
      </c>
      <c r="C907" s="8">
        <v>1249.0</v>
      </c>
      <c r="D907" s="8">
        <v>2796.0</v>
      </c>
      <c r="E907" s="19">
        <v>0.55</v>
      </c>
      <c r="F907" s="10">
        <v>4.4</v>
      </c>
      <c r="G907" s="11">
        <v>4598.0</v>
      </c>
      <c r="K907" s="23">
        <v>1295.0</v>
      </c>
    </row>
    <row r="908">
      <c r="A908" s="7" t="s">
        <v>970</v>
      </c>
      <c r="B908" s="7" t="s">
        <v>971</v>
      </c>
      <c r="C908" s="8">
        <v>649.0</v>
      </c>
      <c r="D908" s="8">
        <v>999.0</v>
      </c>
      <c r="E908" s="19">
        <v>0.35</v>
      </c>
      <c r="F908" s="10">
        <v>3.5</v>
      </c>
      <c r="G908" s="11">
        <v>7222.0</v>
      </c>
      <c r="K908" s="23">
        <v>1299.0</v>
      </c>
    </row>
    <row r="909">
      <c r="A909" s="7" t="s">
        <v>972</v>
      </c>
      <c r="B909" s="7" t="s">
        <v>973</v>
      </c>
      <c r="C909" s="8">
        <v>2649.0</v>
      </c>
      <c r="D909" s="8">
        <v>3499.0</v>
      </c>
      <c r="E909" s="19">
        <v>0.24</v>
      </c>
      <c r="F909" s="10">
        <v>4.5</v>
      </c>
      <c r="G909" s="11">
        <v>1271.0</v>
      </c>
      <c r="K909" s="23">
        <v>1299.0</v>
      </c>
    </row>
    <row r="910">
      <c r="A910" s="7" t="s">
        <v>78</v>
      </c>
      <c r="B910" s="7" t="s">
        <v>15</v>
      </c>
      <c r="C910" s="8">
        <v>199.0</v>
      </c>
      <c r="D910" s="8">
        <v>349.0</v>
      </c>
      <c r="E910" s="19">
        <v>0.43</v>
      </c>
      <c r="F910" s="10">
        <v>4.1</v>
      </c>
      <c r="G910" s="10">
        <v>314.0</v>
      </c>
      <c r="K910" s="23">
        <v>1299.0</v>
      </c>
    </row>
    <row r="911">
      <c r="A911" s="7" t="s">
        <v>974</v>
      </c>
      <c r="B911" s="7" t="s">
        <v>683</v>
      </c>
      <c r="C911" s="8">
        <v>596.0</v>
      </c>
      <c r="D911" s="8">
        <v>723.0</v>
      </c>
      <c r="E911" s="19">
        <v>0.18</v>
      </c>
      <c r="F911" s="10">
        <v>4.4</v>
      </c>
      <c r="G911" s="11">
        <v>3219.0</v>
      </c>
      <c r="K911" s="23">
        <v>1299.0</v>
      </c>
    </row>
    <row r="912">
      <c r="A912" s="7" t="s">
        <v>975</v>
      </c>
      <c r="B912" s="7" t="s">
        <v>373</v>
      </c>
      <c r="C912" s="8">
        <v>2499.0</v>
      </c>
      <c r="D912" s="8">
        <v>5999.0</v>
      </c>
      <c r="E912" s="19">
        <v>0.58</v>
      </c>
      <c r="F912" s="10">
        <v>4.1</v>
      </c>
      <c r="G912" s="11">
        <v>38879.0</v>
      </c>
      <c r="K912" s="23">
        <v>1299.0</v>
      </c>
    </row>
    <row r="913">
      <c r="A913" s="7" t="s">
        <v>976</v>
      </c>
      <c r="B913" s="7" t="s">
        <v>977</v>
      </c>
      <c r="C913" s="8">
        <v>4999.0</v>
      </c>
      <c r="D913" s="8">
        <v>12499.0</v>
      </c>
      <c r="E913" s="19">
        <v>0.6</v>
      </c>
      <c r="F913" s="10">
        <v>4.2</v>
      </c>
      <c r="G913" s="11">
        <v>4541.0</v>
      </c>
      <c r="K913" s="23">
        <v>1299.0</v>
      </c>
    </row>
    <row r="914">
      <c r="A914" s="7" t="s">
        <v>978</v>
      </c>
      <c r="B914" s="7" t="s">
        <v>393</v>
      </c>
      <c r="C914" s="8">
        <v>399.0</v>
      </c>
      <c r="D914" s="8">
        <v>1290.0</v>
      </c>
      <c r="E914" s="19">
        <v>0.69</v>
      </c>
      <c r="F914" s="10">
        <v>4.2</v>
      </c>
      <c r="G914" s="11">
        <v>76042.0</v>
      </c>
      <c r="K914" s="23">
        <v>1299.0</v>
      </c>
    </row>
    <row r="915">
      <c r="A915" s="7" t="s">
        <v>979</v>
      </c>
      <c r="B915" s="7" t="s">
        <v>721</v>
      </c>
      <c r="C915" s="8">
        <v>116.0</v>
      </c>
      <c r="D915" s="8">
        <v>200.0</v>
      </c>
      <c r="E915" s="19">
        <v>0.42</v>
      </c>
      <c r="F915" s="10">
        <v>4.3</v>
      </c>
      <c r="G915" s="10">
        <v>485.0</v>
      </c>
      <c r="K915" s="23">
        <v>1299.0</v>
      </c>
    </row>
    <row r="916">
      <c r="A916" s="7" t="s">
        <v>980</v>
      </c>
      <c r="B916" s="7" t="s">
        <v>769</v>
      </c>
      <c r="C916" s="8">
        <v>4499.0</v>
      </c>
      <c r="D916" s="8">
        <v>5999.0</v>
      </c>
      <c r="E916" s="19">
        <v>0.25</v>
      </c>
      <c r="F916" s="10">
        <v>4.3</v>
      </c>
      <c r="G916" s="11">
        <v>44696.0</v>
      </c>
      <c r="K916" s="23">
        <v>1299.0</v>
      </c>
    </row>
    <row r="917">
      <c r="A917" s="7" t="s">
        <v>981</v>
      </c>
      <c r="B917" s="7" t="s">
        <v>793</v>
      </c>
      <c r="C917" s="8">
        <v>330.0</v>
      </c>
      <c r="D917" s="8">
        <v>499.0</v>
      </c>
      <c r="E917" s="19">
        <v>0.34</v>
      </c>
      <c r="F917" s="10">
        <v>3.7</v>
      </c>
      <c r="G917" s="11">
        <v>8566.0</v>
      </c>
      <c r="K917" s="23">
        <v>1299.0</v>
      </c>
    </row>
    <row r="918">
      <c r="A918" s="7" t="s">
        <v>982</v>
      </c>
      <c r="B918" s="7" t="s">
        <v>711</v>
      </c>
      <c r="C918" s="8">
        <v>649.0</v>
      </c>
      <c r="D918" s="8">
        <v>2499.0</v>
      </c>
      <c r="E918" s="19">
        <v>0.74</v>
      </c>
      <c r="F918" s="10">
        <v>3.9</v>
      </c>
      <c r="G918" s="11">
        <v>13049.0</v>
      </c>
      <c r="K918" s="23">
        <v>1299.0</v>
      </c>
    </row>
    <row r="919">
      <c r="A919" s="7" t="s">
        <v>983</v>
      </c>
      <c r="B919" s="7" t="s">
        <v>779</v>
      </c>
      <c r="C919" s="8">
        <v>1234.0</v>
      </c>
      <c r="D919" s="8">
        <v>1599.0</v>
      </c>
      <c r="E919" s="19">
        <v>0.23</v>
      </c>
      <c r="F919" s="10">
        <v>4.5</v>
      </c>
      <c r="G919" s="11">
        <v>16680.0</v>
      </c>
      <c r="K919" s="23">
        <v>1299.0</v>
      </c>
    </row>
    <row r="920">
      <c r="A920" s="7" t="s">
        <v>571</v>
      </c>
      <c r="B920" s="7" t="s">
        <v>572</v>
      </c>
      <c r="C920" s="8">
        <v>1399.0</v>
      </c>
      <c r="D920" s="8">
        <v>2990.0</v>
      </c>
      <c r="E920" s="19">
        <v>0.53</v>
      </c>
      <c r="F920" s="10">
        <v>4.1</v>
      </c>
      <c r="G920" s="11">
        <v>97174.0</v>
      </c>
      <c r="K920" s="23">
        <v>1299.0</v>
      </c>
    </row>
    <row r="921">
      <c r="A921" s="7" t="s">
        <v>984</v>
      </c>
      <c r="B921" s="7" t="s">
        <v>916</v>
      </c>
      <c r="C921" s="8">
        <v>272.0</v>
      </c>
      <c r="D921" s="8">
        <v>320.0</v>
      </c>
      <c r="E921" s="19">
        <v>0.15</v>
      </c>
      <c r="F921" s="10">
        <v>4.0</v>
      </c>
      <c r="G921" s="11">
        <v>3686.0</v>
      </c>
      <c r="K921" s="23">
        <v>1299.0</v>
      </c>
    </row>
    <row r="922">
      <c r="A922" s="7" t="s">
        <v>985</v>
      </c>
      <c r="B922" s="7" t="s">
        <v>986</v>
      </c>
      <c r="C922" s="8">
        <v>99.0</v>
      </c>
      <c r="D922" s="8">
        <v>999.0</v>
      </c>
      <c r="E922" s="19">
        <v>0.9</v>
      </c>
      <c r="F922" s="10">
        <v>3.8</v>
      </c>
      <c r="G922" s="10">
        <v>594.0</v>
      </c>
      <c r="K922" s="23">
        <v>1299.0</v>
      </c>
    </row>
    <row r="923">
      <c r="A923" s="7" t="s">
        <v>987</v>
      </c>
      <c r="B923" s="7" t="s">
        <v>988</v>
      </c>
      <c r="C923" s="8">
        <v>3498.0</v>
      </c>
      <c r="D923" s="8">
        <v>3875.0</v>
      </c>
      <c r="E923" s="19">
        <v>0.1</v>
      </c>
      <c r="F923" s="10">
        <v>3.4</v>
      </c>
      <c r="G923" s="11">
        <v>12185.0</v>
      </c>
      <c r="K923" s="23">
        <v>1299.0</v>
      </c>
    </row>
    <row r="924">
      <c r="A924" s="7" t="s">
        <v>989</v>
      </c>
      <c r="B924" s="7" t="s">
        <v>757</v>
      </c>
      <c r="C924" s="8">
        <v>10099.0</v>
      </c>
      <c r="D924" s="8">
        <v>19110.0</v>
      </c>
      <c r="E924" s="19">
        <v>0.47</v>
      </c>
      <c r="F924" s="10">
        <v>4.3</v>
      </c>
      <c r="G924" s="11">
        <v>2623.0</v>
      </c>
      <c r="K924" s="23">
        <v>1321.0</v>
      </c>
    </row>
    <row r="925">
      <c r="A925" s="7" t="s">
        <v>990</v>
      </c>
      <c r="B925" s="7" t="s">
        <v>806</v>
      </c>
      <c r="C925" s="8">
        <v>449.0</v>
      </c>
      <c r="D925" s="8">
        <v>999.0</v>
      </c>
      <c r="E925" s="19">
        <v>0.55</v>
      </c>
      <c r="F925" s="10">
        <v>4.3</v>
      </c>
      <c r="G925" s="11">
        <v>9701.0</v>
      </c>
      <c r="K925" s="23">
        <v>1324.0</v>
      </c>
    </row>
    <row r="926">
      <c r="A926" s="7" t="s">
        <v>991</v>
      </c>
      <c r="B926" s="7" t="s">
        <v>992</v>
      </c>
      <c r="C926" s="8">
        <v>150.0</v>
      </c>
      <c r="D926" s="8">
        <v>150.0</v>
      </c>
      <c r="E926" s="19">
        <v>0.0</v>
      </c>
      <c r="F926" s="10">
        <v>4.3</v>
      </c>
      <c r="G926" s="11">
        <v>15867.0</v>
      </c>
      <c r="K926" s="23">
        <v>1324.0</v>
      </c>
    </row>
    <row r="927">
      <c r="A927" s="7" t="s">
        <v>82</v>
      </c>
      <c r="B927" s="7" t="s">
        <v>15</v>
      </c>
      <c r="C927" s="8">
        <v>348.0</v>
      </c>
      <c r="D927" s="8">
        <v>1499.0</v>
      </c>
      <c r="E927" s="19">
        <v>0.77</v>
      </c>
      <c r="F927" s="10">
        <v>4.2</v>
      </c>
      <c r="G927" s="10">
        <v>656.0</v>
      </c>
      <c r="K927" s="23">
        <v>1329.0</v>
      </c>
    </row>
    <row r="928">
      <c r="A928" s="7" t="s">
        <v>993</v>
      </c>
      <c r="B928" s="7" t="s">
        <v>709</v>
      </c>
      <c r="C928" s="8">
        <v>1199.0</v>
      </c>
      <c r="D928" s="8">
        <v>2999.0</v>
      </c>
      <c r="E928" s="19">
        <v>0.6</v>
      </c>
      <c r="F928" s="10">
        <v>4.1</v>
      </c>
      <c r="G928" s="11">
        <v>10725.0</v>
      </c>
      <c r="K928" s="23">
        <v>1345.0</v>
      </c>
    </row>
    <row r="929">
      <c r="A929" s="7" t="s">
        <v>994</v>
      </c>
      <c r="B929" s="7" t="s">
        <v>698</v>
      </c>
      <c r="C929" s="8">
        <v>397.0</v>
      </c>
      <c r="D929" s="8">
        <v>899.0</v>
      </c>
      <c r="E929" s="19">
        <v>0.56</v>
      </c>
      <c r="F929" s="10">
        <v>4.0</v>
      </c>
      <c r="G929" s="11">
        <v>3025.0</v>
      </c>
      <c r="K929" s="23">
        <v>1345.0</v>
      </c>
    </row>
    <row r="930">
      <c r="A930" s="7" t="s">
        <v>83</v>
      </c>
      <c r="B930" s="7" t="s">
        <v>15</v>
      </c>
      <c r="C930" s="8">
        <v>154.0</v>
      </c>
      <c r="D930" s="8">
        <v>349.0</v>
      </c>
      <c r="E930" s="19">
        <v>0.56</v>
      </c>
      <c r="F930" s="10">
        <v>4.3</v>
      </c>
      <c r="G930" s="11">
        <v>7064.0</v>
      </c>
      <c r="K930" s="23">
        <v>1349.0</v>
      </c>
    </row>
    <row r="931">
      <c r="A931" s="7" t="s">
        <v>995</v>
      </c>
      <c r="B931" s="7" t="s">
        <v>781</v>
      </c>
      <c r="C931" s="8">
        <v>699.0</v>
      </c>
      <c r="D931" s="8">
        <v>1490.0</v>
      </c>
      <c r="E931" s="19">
        <v>0.53</v>
      </c>
      <c r="F931" s="10">
        <v>4.0</v>
      </c>
      <c r="G931" s="11">
        <v>5736.0</v>
      </c>
      <c r="K931" s="23">
        <v>1349.0</v>
      </c>
    </row>
    <row r="932">
      <c r="A932" s="7" t="s">
        <v>996</v>
      </c>
      <c r="B932" s="7" t="s">
        <v>393</v>
      </c>
      <c r="C932" s="8">
        <v>1679.0</v>
      </c>
      <c r="D932" s="8">
        <v>1999.0</v>
      </c>
      <c r="E932" s="19">
        <v>0.16</v>
      </c>
      <c r="F932" s="10">
        <v>4.1</v>
      </c>
      <c r="G932" s="11">
        <v>72563.0</v>
      </c>
      <c r="K932" s="23">
        <v>1349.0</v>
      </c>
    </row>
    <row r="933">
      <c r="A933" s="7" t="s">
        <v>997</v>
      </c>
      <c r="B933" s="7" t="s">
        <v>627</v>
      </c>
      <c r="C933" s="8">
        <v>354.0</v>
      </c>
      <c r="D933" s="8">
        <v>1500.0</v>
      </c>
      <c r="E933" s="19">
        <v>0.76</v>
      </c>
      <c r="F933" s="10">
        <v>4.0</v>
      </c>
      <c r="G933" s="11">
        <v>1026.0</v>
      </c>
      <c r="K933" s="23">
        <v>1349.0</v>
      </c>
    </row>
    <row r="934">
      <c r="A934" s="7" t="s">
        <v>998</v>
      </c>
      <c r="B934" s="7" t="s">
        <v>999</v>
      </c>
      <c r="C934" s="8">
        <v>1199.0</v>
      </c>
      <c r="D934" s="8">
        <v>5499.0</v>
      </c>
      <c r="E934" s="19">
        <v>0.78</v>
      </c>
      <c r="F934" s="10">
        <v>3.8</v>
      </c>
      <c r="G934" s="11">
        <v>2043.0</v>
      </c>
      <c r="K934" s="23">
        <v>1369.0</v>
      </c>
    </row>
    <row r="935">
      <c r="A935" s="7" t="s">
        <v>1000</v>
      </c>
      <c r="B935" s="7" t="s">
        <v>779</v>
      </c>
      <c r="C935" s="8">
        <v>379.0</v>
      </c>
      <c r="D935" s="8">
        <v>1499.0</v>
      </c>
      <c r="E935" s="19">
        <v>0.75</v>
      </c>
      <c r="F935" s="10">
        <v>4.2</v>
      </c>
      <c r="G935" s="11">
        <v>4149.0</v>
      </c>
      <c r="K935" s="23">
        <v>1399.0</v>
      </c>
    </row>
    <row r="936">
      <c r="A936" s="7" t="s">
        <v>1001</v>
      </c>
      <c r="B936" s="7" t="s">
        <v>662</v>
      </c>
      <c r="C936" s="8">
        <v>499.0</v>
      </c>
      <c r="D936" s="8">
        <v>775.0</v>
      </c>
      <c r="E936" s="19">
        <v>0.36</v>
      </c>
      <c r="F936" s="10">
        <v>4.3</v>
      </c>
      <c r="G936" s="10">
        <v>74.0</v>
      </c>
      <c r="K936" s="23">
        <v>1399.0</v>
      </c>
    </row>
    <row r="937">
      <c r="A937" s="7" t="s">
        <v>1002</v>
      </c>
      <c r="B937" s="7" t="s">
        <v>1003</v>
      </c>
      <c r="C937" s="8">
        <v>10389.0</v>
      </c>
      <c r="D937" s="8">
        <v>32000.0</v>
      </c>
      <c r="E937" s="19">
        <v>0.68</v>
      </c>
      <c r="F937" s="10">
        <v>4.4</v>
      </c>
      <c r="G937" s="11">
        <v>41398.0</v>
      </c>
      <c r="K937" s="23">
        <v>1399.0</v>
      </c>
    </row>
    <row r="938">
      <c r="A938" s="7" t="s">
        <v>1004</v>
      </c>
      <c r="B938" s="7" t="s">
        <v>907</v>
      </c>
      <c r="C938" s="8">
        <v>649.0</v>
      </c>
      <c r="D938" s="8">
        <v>1300.0</v>
      </c>
      <c r="E938" s="19">
        <v>0.5</v>
      </c>
      <c r="F938" s="10">
        <v>4.1</v>
      </c>
      <c r="G938" s="11">
        <v>5195.0</v>
      </c>
      <c r="K938" s="23">
        <v>1399.0</v>
      </c>
    </row>
    <row r="939">
      <c r="A939" s="7" t="s">
        <v>1005</v>
      </c>
      <c r="B939" s="7" t="s">
        <v>1006</v>
      </c>
      <c r="C939" s="8">
        <v>1199.0</v>
      </c>
      <c r="D939" s="8">
        <v>1999.0</v>
      </c>
      <c r="E939" s="19">
        <v>0.4</v>
      </c>
      <c r="F939" s="10">
        <v>4.5</v>
      </c>
      <c r="G939" s="11">
        <v>22420.0</v>
      </c>
      <c r="K939" s="23">
        <v>1399.0</v>
      </c>
    </row>
    <row r="940">
      <c r="A940" s="7" t="s">
        <v>86</v>
      </c>
      <c r="B940" s="7" t="s">
        <v>15</v>
      </c>
      <c r="C940" s="8">
        <v>139.0</v>
      </c>
      <c r="D940" s="8">
        <v>999.0</v>
      </c>
      <c r="E940" s="19">
        <v>0.86</v>
      </c>
      <c r="F940" s="10">
        <v>4.0</v>
      </c>
      <c r="G940" s="11">
        <v>1313.0</v>
      </c>
      <c r="K940" s="23">
        <v>1399.0</v>
      </c>
    </row>
    <row r="941">
      <c r="A941" s="7" t="s">
        <v>1007</v>
      </c>
      <c r="B941" s="7" t="s">
        <v>393</v>
      </c>
      <c r="C941" s="8">
        <v>889.0</v>
      </c>
      <c r="D941" s="8">
        <v>1999.0</v>
      </c>
      <c r="E941" s="19">
        <v>0.56</v>
      </c>
      <c r="F941" s="10">
        <v>4.2</v>
      </c>
      <c r="G941" s="11">
        <v>2284.0</v>
      </c>
      <c r="K941" s="23">
        <v>1399.0</v>
      </c>
    </row>
    <row r="942">
      <c r="A942" s="7" t="s">
        <v>1008</v>
      </c>
      <c r="B942" s="7" t="s">
        <v>660</v>
      </c>
      <c r="C942" s="8">
        <v>1409.0</v>
      </c>
      <c r="D942" s="8">
        <v>2199.0</v>
      </c>
      <c r="E942" s="19">
        <v>0.36</v>
      </c>
      <c r="F942" s="10">
        <v>3.9</v>
      </c>
      <c r="G942" s="10">
        <v>427.0</v>
      </c>
      <c r="K942" s="23">
        <v>1399.0</v>
      </c>
    </row>
    <row r="943">
      <c r="A943" s="7" t="s">
        <v>1009</v>
      </c>
      <c r="B943" s="7" t="s">
        <v>1010</v>
      </c>
      <c r="C943" s="8">
        <v>549.0</v>
      </c>
      <c r="D943" s="8">
        <v>1999.0</v>
      </c>
      <c r="E943" s="19">
        <v>0.73</v>
      </c>
      <c r="F943" s="10">
        <v>4.3</v>
      </c>
      <c r="G943" s="11">
        <v>1367.0</v>
      </c>
      <c r="K943" s="23">
        <v>1399.0</v>
      </c>
    </row>
    <row r="944">
      <c r="A944" s="7" t="s">
        <v>1011</v>
      </c>
      <c r="B944" s="7" t="s">
        <v>999</v>
      </c>
      <c r="C944" s="8">
        <v>749.0</v>
      </c>
      <c r="D944" s="8">
        <v>1799.0</v>
      </c>
      <c r="E944" s="19">
        <v>0.58</v>
      </c>
      <c r="F944" s="10">
        <v>4.0</v>
      </c>
      <c r="G944" s="11">
        <v>13199.0</v>
      </c>
      <c r="K944" s="23">
        <v>1399.0</v>
      </c>
    </row>
    <row r="945">
      <c r="A945" s="7" t="s">
        <v>87</v>
      </c>
      <c r="B945" s="7" t="s">
        <v>15</v>
      </c>
      <c r="C945" s="8">
        <v>329.0</v>
      </c>
      <c r="D945" s="8">
        <v>845.0</v>
      </c>
      <c r="E945" s="19">
        <v>0.61</v>
      </c>
      <c r="F945" s="10">
        <v>4.2</v>
      </c>
      <c r="G945" s="11">
        <v>29746.0</v>
      </c>
      <c r="K945" s="23">
        <v>1399.0</v>
      </c>
    </row>
    <row r="946">
      <c r="A946" s="7" t="s">
        <v>1012</v>
      </c>
      <c r="B946" s="7" t="s">
        <v>15</v>
      </c>
      <c r="C946" s="8">
        <v>379.0</v>
      </c>
      <c r="D946" s="8">
        <v>1099.0</v>
      </c>
      <c r="E946" s="19">
        <v>0.66</v>
      </c>
      <c r="F946" s="10">
        <v>4.3</v>
      </c>
      <c r="G946" s="11">
        <v>2806.0</v>
      </c>
      <c r="K946" s="23">
        <v>1399.0</v>
      </c>
    </row>
    <row r="947">
      <c r="A947" s="7" t="s">
        <v>1013</v>
      </c>
      <c r="B947" s="7" t="s">
        <v>373</v>
      </c>
      <c r="C947" s="8">
        <v>5998.0</v>
      </c>
      <c r="D947" s="8">
        <v>7999.0</v>
      </c>
      <c r="E947" s="19">
        <v>0.25</v>
      </c>
      <c r="F947" s="10">
        <v>4.2</v>
      </c>
      <c r="G947" s="11">
        <v>30355.0</v>
      </c>
      <c r="K947" s="23">
        <v>1399.0</v>
      </c>
    </row>
    <row r="948">
      <c r="A948" s="7" t="s">
        <v>1014</v>
      </c>
      <c r="B948" s="7" t="s">
        <v>806</v>
      </c>
      <c r="C948" s="8">
        <v>299.0</v>
      </c>
      <c r="D948" s="8">
        <v>1499.0</v>
      </c>
      <c r="E948" s="19">
        <v>0.8</v>
      </c>
      <c r="F948" s="10">
        <v>4.2</v>
      </c>
      <c r="G948" s="11">
        <v>2868.0</v>
      </c>
      <c r="K948" s="23">
        <v>1399.0</v>
      </c>
    </row>
    <row r="949">
      <c r="A949" s="7" t="s">
        <v>1015</v>
      </c>
      <c r="B949" s="7" t="s">
        <v>779</v>
      </c>
      <c r="C949" s="8">
        <v>379.0</v>
      </c>
      <c r="D949" s="8">
        <v>1499.0</v>
      </c>
      <c r="E949" s="19">
        <v>0.75</v>
      </c>
      <c r="F949" s="10">
        <v>4.1</v>
      </c>
      <c r="G949" s="10">
        <v>670.0</v>
      </c>
      <c r="K949" s="23">
        <v>1399.0</v>
      </c>
    </row>
    <row r="950">
      <c r="A950" s="7" t="s">
        <v>1016</v>
      </c>
      <c r="B950" s="7" t="s">
        <v>1017</v>
      </c>
      <c r="C950" s="8">
        <v>1399.0</v>
      </c>
      <c r="D950" s="8">
        <v>2999.0</v>
      </c>
      <c r="E950" s="19">
        <v>0.53</v>
      </c>
      <c r="F950" s="10">
        <v>4.3</v>
      </c>
      <c r="G950" s="11">
        <v>3530.0</v>
      </c>
      <c r="K950" s="23">
        <v>1400.0</v>
      </c>
    </row>
    <row r="951">
      <c r="A951" s="7" t="s">
        <v>1018</v>
      </c>
      <c r="B951" s="7" t="s">
        <v>1019</v>
      </c>
      <c r="C951" s="8">
        <v>699.0</v>
      </c>
      <c r="D951" s="8">
        <v>1299.0</v>
      </c>
      <c r="E951" s="19">
        <v>0.46</v>
      </c>
      <c r="F951" s="10">
        <v>4.3</v>
      </c>
      <c r="G951" s="11">
        <v>6183.0</v>
      </c>
      <c r="K951" s="23">
        <v>1409.0</v>
      </c>
    </row>
    <row r="952">
      <c r="A952" s="7" t="s">
        <v>1020</v>
      </c>
      <c r="B952" s="7" t="s">
        <v>817</v>
      </c>
      <c r="C952" s="8">
        <v>300.0</v>
      </c>
      <c r="D952" s="8">
        <v>300.0</v>
      </c>
      <c r="E952" s="19">
        <v>0.0</v>
      </c>
      <c r="F952" s="10">
        <v>4.2</v>
      </c>
      <c r="G952" s="10">
        <v>419.0</v>
      </c>
      <c r="K952" s="23">
        <v>1409.0</v>
      </c>
    </row>
    <row r="953">
      <c r="A953" s="7" t="s">
        <v>1021</v>
      </c>
      <c r="B953" s="7" t="s">
        <v>696</v>
      </c>
      <c r="C953" s="8">
        <v>999.0</v>
      </c>
      <c r="D953" s="8">
        <v>1995.0</v>
      </c>
      <c r="E953" s="19">
        <v>0.5</v>
      </c>
      <c r="F953" s="10">
        <v>4.5</v>
      </c>
      <c r="G953" s="11">
        <v>7317.0</v>
      </c>
      <c r="K953" s="23">
        <v>1414.0</v>
      </c>
    </row>
    <row r="954">
      <c r="A954" s="7" t="s">
        <v>1022</v>
      </c>
      <c r="B954" s="7" t="s">
        <v>1023</v>
      </c>
      <c r="C954" s="8">
        <v>535.0</v>
      </c>
      <c r="D954" s="8">
        <v>535.0</v>
      </c>
      <c r="E954" s="19">
        <v>0.0</v>
      </c>
      <c r="F954" s="10">
        <v>4.4</v>
      </c>
      <c r="G954" s="11">
        <v>4426.0</v>
      </c>
      <c r="K954" s="23">
        <v>1434.0</v>
      </c>
    </row>
    <row r="955">
      <c r="A955" s="7" t="s">
        <v>88</v>
      </c>
      <c r="B955" s="7" t="s">
        <v>37</v>
      </c>
      <c r="C955" s="8">
        <v>13999.0</v>
      </c>
      <c r="D955" s="8">
        <v>24999.0</v>
      </c>
      <c r="E955" s="19">
        <v>0.44</v>
      </c>
      <c r="F955" s="10">
        <v>4.2</v>
      </c>
      <c r="G955" s="11">
        <v>45237.0</v>
      </c>
      <c r="K955" s="23">
        <v>1439.0</v>
      </c>
    </row>
    <row r="956">
      <c r="A956" s="7" t="s">
        <v>1024</v>
      </c>
      <c r="B956" s="7" t="s">
        <v>806</v>
      </c>
      <c r="C956" s="8">
        <v>269.0</v>
      </c>
      <c r="D956" s="8">
        <v>1099.0</v>
      </c>
      <c r="E956" s="19">
        <v>0.76</v>
      </c>
      <c r="F956" s="10">
        <v>4.1</v>
      </c>
      <c r="G956" s="11">
        <v>1092.0</v>
      </c>
      <c r="K956" s="23">
        <v>1439.0</v>
      </c>
    </row>
    <row r="957">
      <c r="A957" s="7" t="s">
        <v>1025</v>
      </c>
      <c r="B957" s="7" t="s">
        <v>916</v>
      </c>
      <c r="C957" s="8">
        <v>341.0</v>
      </c>
      <c r="D957" s="8">
        <v>450.0</v>
      </c>
      <c r="E957" s="19">
        <v>0.24</v>
      </c>
      <c r="F957" s="10">
        <v>4.3</v>
      </c>
      <c r="G957" s="11">
        <v>2493.0</v>
      </c>
      <c r="K957" s="23">
        <v>1448.0</v>
      </c>
    </row>
    <row r="958">
      <c r="A958" s="7" t="s">
        <v>1026</v>
      </c>
      <c r="B958" s="7" t="s">
        <v>709</v>
      </c>
      <c r="C958" s="8">
        <v>2499.0</v>
      </c>
      <c r="D958" s="8">
        <v>3999.0</v>
      </c>
      <c r="E958" s="19">
        <v>0.38</v>
      </c>
      <c r="F958" s="10">
        <v>4.4</v>
      </c>
      <c r="G958" s="11">
        <v>12679.0</v>
      </c>
      <c r="K958" s="23">
        <v>1449.0</v>
      </c>
    </row>
    <row r="959">
      <c r="A959" s="7" t="s">
        <v>96</v>
      </c>
      <c r="B959" s="7" t="s">
        <v>15</v>
      </c>
      <c r="C959" s="8">
        <v>349.0</v>
      </c>
      <c r="D959" s="8">
        <v>599.0</v>
      </c>
      <c r="E959" s="19">
        <v>0.42</v>
      </c>
      <c r="F959" s="10">
        <v>4.1</v>
      </c>
      <c r="G959" s="10">
        <v>210.0</v>
      </c>
      <c r="K959" s="23">
        <v>1449.0</v>
      </c>
    </row>
    <row r="960">
      <c r="A960" s="7" t="s">
        <v>1027</v>
      </c>
      <c r="B960" s="7" t="s">
        <v>940</v>
      </c>
      <c r="C960" s="8">
        <v>5899.0</v>
      </c>
      <c r="D960" s="8">
        <v>7005.0</v>
      </c>
      <c r="E960" s="19">
        <v>0.16</v>
      </c>
      <c r="F960" s="10">
        <v>3.6</v>
      </c>
      <c r="G960" s="11">
        <v>4199.0</v>
      </c>
      <c r="K960" s="23">
        <v>1456.0</v>
      </c>
    </row>
    <row r="961">
      <c r="A961" s="7" t="s">
        <v>592</v>
      </c>
      <c r="B961" s="7" t="s">
        <v>409</v>
      </c>
      <c r="C961" s="8">
        <v>699.0</v>
      </c>
      <c r="D961" s="8">
        <v>1199.0</v>
      </c>
      <c r="E961" s="19">
        <v>0.42</v>
      </c>
      <c r="F961" s="10">
        <v>4.0</v>
      </c>
      <c r="G961" s="11">
        <v>14403.0</v>
      </c>
      <c r="K961" s="23">
        <v>1464.0</v>
      </c>
    </row>
    <row r="962">
      <c r="A962" s="7" t="s">
        <v>1028</v>
      </c>
      <c r="B962" s="7" t="s">
        <v>709</v>
      </c>
      <c r="C962" s="8">
        <v>1565.0</v>
      </c>
      <c r="D962" s="8">
        <v>2999.0</v>
      </c>
      <c r="E962" s="19">
        <v>0.48</v>
      </c>
      <c r="F962" s="10">
        <v>4.0</v>
      </c>
      <c r="G962" s="11">
        <v>11113.0</v>
      </c>
      <c r="K962" s="23">
        <v>1469.0</v>
      </c>
    </row>
    <row r="963">
      <c r="A963" s="7" t="s">
        <v>1029</v>
      </c>
      <c r="B963" s="7" t="s">
        <v>668</v>
      </c>
      <c r="C963" s="8">
        <v>326.0</v>
      </c>
      <c r="D963" s="8">
        <v>799.0</v>
      </c>
      <c r="E963" s="19">
        <v>0.59</v>
      </c>
      <c r="F963" s="10">
        <v>4.4</v>
      </c>
      <c r="G963" s="11">
        <v>10773.0</v>
      </c>
      <c r="K963" s="23">
        <v>1474.0</v>
      </c>
    </row>
    <row r="964">
      <c r="A964" s="7" t="s">
        <v>588</v>
      </c>
      <c r="B964" s="7" t="s">
        <v>589</v>
      </c>
      <c r="C964" s="8">
        <v>120.0</v>
      </c>
      <c r="D964" s="8">
        <v>999.0</v>
      </c>
      <c r="E964" s="19">
        <v>0.88</v>
      </c>
      <c r="F964" s="10">
        <v>3.9</v>
      </c>
      <c r="G964" s="11">
        <v>6491.0</v>
      </c>
      <c r="K964" s="23">
        <v>1484.0</v>
      </c>
    </row>
    <row r="965">
      <c r="A965" s="7" t="s">
        <v>1030</v>
      </c>
      <c r="B965" s="7" t="s">
        <v>662</v>
      </c>
      <c r="C965" s="8">
        <v>657.0</v>
      </c>
      <c r="D965" s="8">
        <v>999.0</v>
      </c>
      <c r="E965" s="19">
        <v>0.34</v>
      </c>
      <c r="F965" s="10">
        <v>4.3</v>
      </c>
      <c r="G965" s="11">
        <v>13944.0</v>
      </c>
      <c r="K965" s="23">
        <v>1490.0</v>
      </c>
    </row>
    <row r="966">
      <c r="A966" s="7" t="s">
        <v>1031</v>
      </c>
      <c r="B966" s="7" t="s">
        <v>692</v>
      </c>
      <c r="C966" s="8">
        <v>1995.0</v>
      </c>
      <c r="D966" s="8">
        <v>2895.0</v>
      </c>
      <c r="E966" s="19">
        <v>0.31</v>
      </c>
      <c r="F966" s="10">
        <v>4.6</v>
      </c>
      <c r="G966" s="11">
        <v>10760.0</v>
      </c>
      <c r="K966" s="23">
        <v>1490.0</v>
      </c>
    </row>
    <row r="967">
      <c r="A967" s="7" t="s">
        <v>1032</v>
      </c>
      <c r="B967" s="7" t="s">
        <v>721</v>
      </c>
      <c r="C967" s="8">
        <v>1500.0</v>
      </c>
      <c r="D967" s="8">
        <v>1500.0</v>
      </c>
      <c r="E967" s="19">
        <v>0.0</v>
      </c>
      <c r="F967" s="10">
        <v>4.4</v>
      </c>
      <c r="G967" s="11">
        <v>25996.0</v>
      </c>
      <c r="K967" s="23">
        <v>1490.0</v>
      </c>
    </row>
    <row r="968">
      <c r="A968" s="7" t="s">
        <v>1033</v>
      </c>
      <c r="B968" s="7" t="s">
        <v>647</v>
      </c>
      <c r="C968" s="8">
        <v>2640.0</v>
      </c>
      <c r="D968" s="8">
        <v>3195.0</v>
      </c>
      <c r="E968" s="19">
        <v>0.17</v>
      </c>
      <c r="F968" s="10">
        <v>4.5</v>
      </c>
      <c r="G968" s="11">
        <v>16146.0</v>
      </c>
      <c r="K968" s="23">
        <v>1495.0</v>
      </c>
    </row>
    <row r="969">
      <c r="A969" s="7" t="s">
        <v>1034</v>
      </c>
      <c r="B969" s="7" t="s">
        <v>940</v>
      </c>
      <c r="C969" s="8">
        <v>5299.0</v>
      </c>
      <c r="D969" s="8">
        <v>6355.0</v>
      </c>
      <c r="E969" s="19">
        <v>0.17</v>
      </c>
      <c r="F969" s="10">
        <v>3.9</v>
      </c>
      <c r="G969" s="11">
        <v>8280.0</v>
      </c>
      <c r="K969" s="23">
        <v>1495.0</v>
      </c>
    </row>
    <row r="970">
      <c r="A970" s="7" t="s">
        <v>90</v>
      </c>
      <c r="B970" s="7" t="s">
        <v>15</v>
      </c>
      <c r="C970" s="8">
        <v>263.0</v>
      </c>
      <c r="D970" s="8">
        <v>699.0</v>
      </c>
      <c r="E970" s="19">
        <v>0.62</v>
      </c>
      <c r="F970" s="10">
        <v>4.1</v>
      </c>
      <c r="G970" s="10">
        <v>450.0</v>
      </c>
      <c r="K970" s="23">
        <v>1498.0</v>
      </c>
    </row>
    <row r="971">
      <c r="A971" s="7" t="s">
        <v>1035</v>
      </c>
      <c r="B971" s="7" t="s">
        <v>999</v>
      </c>
      <c r="C971" s="8">
        <v>1990.0</v>
      </c>
      <c r="D971" s="8">
        <v>2999.0</v>
      </c>
      <c r="E971" s="19">
        <v>0.34</v>
      </c>
      <c r="F971" s="10">
        <v>4.3</v>
      </c>
      <c r="G971" s="11">
        <v>14237.0</v>
      </c>
      <c r="K971" s="23">
        <v>1499.0</v>
      </c>
    </row>
    <row r="972">
      <c r="A972" s="7" t="s">
        <v>1036</v>
      </c>
      <c r="B972" s="7" t="s">
        <v>1037</v>
      </c>
      <c r="C972" s="8">
        <v>1289.0</v>
      </c>
      <c r="D972" s="8">
        <v>1499.0</v>
      </c>
      <c r="E972" s="19">
        <v>0.14</v>
      </c>
      <c r="F972" s="10">
        <v>4.5</v>
      </c>
      <c r="G972" s="11">
        <v>20668.0</v>
      </c>
      <c r="K972" s="23">
        <v>1499.0</v>
      </c>
    </row>
    <row r="973">
      <c r="A973" s="7" t="s">
        <v>1038</v>
      </c>
      <c r="B973" s="7" t="s">
        <v>817</v>
      </c>
      <c r="C973" s="8">
        <v>165.0</v>
      </c>
      <c r="D973" s="8">
        <v>165.0</v>
      </c>
      <c r="E973" s="19">
        <v>0.0</v>
      </c>
      <c r="F973" s="10">
        <v>4.5</v>
      </c>
      <c r="G973" s="11">
        <v>1674.0</v>
      </c>
      <c r="K973" s="23">
        <v>1499.0</v>
      </c>
    </row>
    <row r="974">
      <c r="A974" s="7" t="s">
        <v>1039</v>
      </c>
      <c r="B974" s="7" t="s">
        <v>895</v>
      </c>
      <c r="C974" s="8">
        <v>1699.0</v>
      </c>
      <c r="D974" s="8">
        <v>3499.0</v>
      </c>
      <c r="E974" s="19">
        <v>0.51</v>
      </c>
      <c r="F974" s="10">
        <v>3.6</v>
      </c>
      <c r="G974" s="11">
        <v>7689.0</v>
      </c>
      <c r="K974" s="23">
        <v>1499.0</v>
      </c>
    </row>
    <row r="975">
      <c r="A975" s="7" t="s">
        <v>1040</v>
      </c>
      <c r="B975" s="7" t="s">
        <v>769</v>
      </c>
      <c r="C975" s="8">
        <v>2299.0</v>
      </c>
      <c r="D975" s="8">
        <v>7500.0</v>
      </c>
      <c r="E975" s="19">
        <v>0.69</v>
      </c>
      <c r="F975" s="10">
        <v>4.1</v>
      </c>
      <c r="G975" s="11">
        <v>5554.0</v>
      </c>
      <c r="K975" s="23">
        <v>1499.0</v>
      </c>
    </row>
    <row r="976">
      <c r="A976" s="7" t="s">
        <v>94</v>
      </c>
      <c r="B976" s="7" t="s">
        <v>15</v>
      </c>
      <c r="C976" s="8">
        <v>219.0</v>
      </c>
      <c r="D976" s="8">
        <v>700.0</v>
      </c>
      <c r="E976" s="19">
        <v>0.69</v>
      </c>
      <c r="F976" s="10">
        <v>4.3</v>
      </c>
      <c r="G976" s="11">
        <v>20053.0</v>
      </c>
      <c r="K976" s="23">
        <v>1499.0</v>
      </c>
    </row>
    <row r="977">
      <c r="A977" s="7" t="s">
        <v>1041</v>
      </c>
      <c r="B977" s="7" t="s">
        <v>759</v>
      </c>
      <c r="C977" s="8">
        <v>39.0</v>
      </c>
      <c r="D977" s="8">
        <v>39.0</v>
      </c>
      <c r="E977" s="19">
        <v>0.0</v>
      </c>
      <c r="F977" s="10">
        <v>3.8</v>
      </c>
      <c r="G977" s="11">
        <v>3344.0</v>
      </c>
      <c r="K977" s="23">
        <v>1499.0</v>
      </c>
    </row>
    <row r="978">
      <c r="A978" s="7" t="s">
        <v>1042</v>
      </c>
      <c r="B978" s="7" t="s">
        <v>1043</v>
      </c>
      <c r="C978" s="8">
        <v>26999.0</v>
      </c>
      <c r="D978" s="8">
        <v>37999.0</v>
      </c>
      <c r="E978" s="19">
        <v>0.29</v>
      </c>
      <c r="F978" s="10">
        <v>4.6</v>
      </c>
      <c r="G978" s="11">
        <v>2886.0</v>
      </c>
      <c r="K978" s="23">
        <v>1499.0</v>
      </c>
    </row>
    <row r="979">
      <c r="A979" s="7" t="s">
        <v>1044</v>
      </c>
      <c r="B979" s="7" t="s">
        <v>393</v>
      </c>
      <c r="C979" s="8">
        <v>1490.0</v>
      </c>
      <c r="D979" s="8">
        <v>1990.0</v>
      </c>
      <c r="E979" s="19">
        <v>0.25</v>
      </c>
      <c r="F979" s="10">
        <v>4.1</v>
      </c>
      <c r="G979" s="11">
        <v>98250.0</v>
      </c>
      <c r="K979" s="23">
        <v>1499.0</v>
      </c>
    </row>
    <row r="980">
      <c r="A980" s="7" t="s">
        <v>1045</v>
      </c>
      <c r="B980" s="7" t="s">
        <v>631</v>
      </c>
      <c r="C980" s="8">
        <v>398.0</v>
      </c>
      <c r="D980" s="8">
        <v>1949.0</v>
      </c>
      <c r="E980" s="19">
        <v>0.8</v>
      </c>
      <c r="F980" s="10">
        <v>4.0</v>
      </c>
      <c r="G980" s="10">
        <v>75.0</v>
      </c>
      <c r="K980" s="23">
        <v>1499.0</v>
      </c>
    </row>
    <row r="981">
      <c r="A981" s="7" t="s">
        <v>95</v>
      </c>
      <c r="B981" s="7" t="s">
        <v>15</v>
      </c>
      <c r="C981" s="8">
        <v>349.0</v>
      </c>
      <c r="D981" s="8">
        <v>899.0</v>
      </c>
      <c r="E981" s="19">
        <v>0.61</v>
      </c>
      <c r="F981" s="10">
        <v>4.5</v>
      </c>
      <c r="G981" s="10">
        <v>149.0</v>
      </c>
      <c r="K981" s="23">
        <v>1499.0</v>
      </c>
    </row>
    <row r="982">
      <c r="A982" s="7" t="s">
        <v>1046</v>
      </c>
      <c r="B982" s="7" t="s">
        <v>895</v>
      </c>
      <c r="C982" s="8">
        <v>770.0</v>
      </c>
      <c r="D982" s="8">
        <v>1547.0</v>
      </c>
      <c r="E982" s="19">
        <v>0.5</v>
      </c>
      <c r="F982" s="10">
        <v>4.3</v>
      </c>
      <c r="G982" s="11">
        <v>2585.0</v>
      </c>
      <c r="K982" s="23">
        <v>1499.0</v>
      </c>
    </row>
    <row r="983">
      <c r="A983" s="7" t="s">
        <v>1047</v>
      </c>
      <c r="B983" s="7" t="s">
        <v>450</v>
      </c>
      <c r="C983" s="8">
        <v>279.0</v>
      </c>
      <c r="D983" s="8">
        <v>1299.0</v>
      </c>
      <c r="E983" s="19">
        <v>0.79</v>
      </c>
      <c r="F983" s="10">
        <v>4.0</v>
      </c>
      <c r="G983" s="11">
        <v>5072.0</v>
      </c>
      <c r="K983" s="23">
        <v>1499.0</v>
      </c>
    </row>
    <row r="984">
      <c r="A984" s="7" t="s">
        <v>1048</v>
      </c>
      <c r="B984" s="7" t="s">
        <v>1049</v>
      </c>
      <c r="C984" s="8">
        <v>249.0</v>
      </c>
      <c r="D984" s="8">
        <v>599.0</v>
      </c>
      <c r="E984" s="19">
        <v>0.58</v>
      </c>
      <c r="F984" s="10">
        <v>4.5</v>
      </c>
      <c r="G984" s="11">
        <v>5985.0</v>
      </c>
      <c r="K984" s="23">
        <v>1499.0</v>
      </c>
    </row>
    <row r="985">
      <c r="A985" s="7" t="s">
        <v>98</v>
      </c>
      <c r="B985" s="7" t="s">
        <v>15</v>
      </c>
      <c r="C985" s="8">
        <v>115.0</v>
      </c>
      <c r="D985" s="8">
        <v>499.0</v>
      </c>
      <c r="E985" s="19">
        <v>0.77</v>
      </c>
      <c r="F985" s="10">
        <v>4.0</v>
      </c>
      <c r="G985" s="11">
        <v>7732.0</v>
      </c>
      <c r="K985" s="23">
        <v>1499.0</v>
      </c>
    </row>
    <row r="986">
      <c r="A986" s="7" t="s">
        <v>1050</v>
      </c>
      <c r="B986" s="7" t="s">
        <v>1051</v>
      </c>
      <c r="C986" s="8">
        <v>230.0</v>
      </c>
      <c r="D986" s="8">
        <v>230.0</v>
      </c>
      <c r="E986" s="19">
        <v>0.0</v>
      </c>
      <c r="F986" s="10">
        <v>4.5</v>
      </c>
      <c r="G986" s="11">
        <v>9427.0</v>
      </c>
      <c r="K986" s="23">
        <v>1499.0</v>
      </c>
    </row>
    <row r="987">
      <c r="A987" s="7" t="s">
        <v>99</v>
      </c>
      <c r="B987" s="7" t="s">
        <v>15</v>
      </c>
      <c r="C987" s="8">
        <v>399.0</v>
      </c>
      <c r="D987" s="8">
        <v>999.0</v>
      </c>
      <c r="E987" s="19">
        <v>0.6</v>
      </c>
      <c r="F987" s="10">
        <v>4.1</v>
      </c>
      <c r="G987" s="11">
        <v>1780.0</v>
      </c>
      <c r="K987" s="23">
        <v>1499.0</v>
      </c>
    </row>
    <row r="988">
      <c r="A988" s="7" t="s">
        <v>1052</v>
      </c>
      <c r="B988" s="7" t="s">
        <v>692</v>
      </c>
      <c r="C988" s="8">
        <v>599.0</v>
      </c>
      <c r="D988" s="8">
        <v>700.0</v>
      </c>
      <c r="E988" s="19">
        <v>0.14</v>
      </c>
      <c r="F988" s="10">
        <v>4.3</v>
      </c>
      <c r="G988" s="11">
        <v>2301.0</v>
      </c>
      <c r="K988" s="23">
        <v>1499.0</v>
      </c>
    </row>
    <row r="989">
      <c r="A989" s="7" t="s">
        <v>1053</v>
      </c>
      <c r="B989" s="7" t="s">
        <v>1054</v>
      </c>
      <c r="C989" s="8">
        <v>598.0</v>
      </c>
      <c r="D989" s="8">
        <v>1150.0</v>
      </c>
      <c r="E989" s="19">
        <v>0.48</v>
      </c>
      <c r="F989" s="10">
        <v>4.1</v>
      </c>
      <c r="G989" s="11">
        <v>2535.0</v>
      </c>
      <c r="K989" s="23">
        <v>1499.0</v>
      </c>
    </row>
    <row r="990">
      <c r="A990" s="7" t="s">
        <v>1055</v>
      </c>
      <c r="B990" s="7" t="s">
        <v>779</v>
      </c>
      <c r="C990" s="8">
        <v>399.0</v>
      </c>
      <c r="D990" s="8">
        <v>1499.0</v>
      </c>
      <c r="E990" s="19">
        <v>0.73</v>
      </c>
      <c r="F990" s="10">
        <v>4.0</v>
      </c>
      <c r="G990" s="10">
        <v>691.0</v>
      </c>
      <c r="K990" s="23">
        <v>1499.0</v>
      </c>
    </row>
    <row r="991">
      <c r="A991" s="7" t="s">
        <v>1056</v>
      </c>
      <c r="B991" s="7" t="s">
        <v>631</v>
      </c>
      <c r="C991" s="8">
        <v>499.0</v>
      </c>
      <c r="D991" s="8">
        <v>1299.0</v>
      </c>
      <c r="E991" s="19">
        <v>0.62</v>
      </c>
      <c r="F991" s="10">
        <v>4.1</v>
      </c>
      <c r="G991" s="11">
        <v>2740.0</v>
      </c>
      <c r="K991" s="23">
        <v>1499.0</v>
      </c>
    </row>
    <row r="992">
      <c r="A992" s="7" t="s">
        <v>100</v>
      </c>
      <c r="B992" s="7" t="s">
        <v>15</v>
      </c>
      <c r="C992" s="8">
        <v>199.0</v>
      </c>
      <c r="D992" s="8">
        <v>499.0</v>
      </c>
      <c r="E992" s="19">
        <v>0.6</v>
      </c>
      <c r="F992" s="10">
        <v>4.1</v>
      </c>
      <c r="G992" s="10">
        <v>602.0</v>
      </c>
      <c r="K992" s="23">
        <v>1499.0</v>
      </c>
    </row>
    <row r="993">
      <c r="A993" s="7" t="s">
        <v>1057</v>
      </c>
      <c r="B993" s="7" t="s">
        <v>625</v>
      </c>
      <c r="C993" s="8">
        <v>579.0</v>
      </c>
      <c r="D993" s="8">
        <v>1090.0</v>
      </c>
      <c r="E993" s="19">
        <v>0.47</v>
      </c>
      <c r="F993" s="10">
        <v>4.4</v>
      </c>
      <c r="G993" s="11">
        <v>3482.0</v>
      </c>
      <c r="K993" s="23">
        <v>1499.0</v>
      </c>
    </row>
    <row r="994">
      <c r="A994" s="7" t="s">
        <v>101</v>
      </c>
      <c r="B994" s="7" t="s">
        <v>15</v>
      </c>
      <c r="C994" s="8">
        <v>179.0</v>
      </c>
      <c r="D994" s="8">
        <v>399.0</v>
      </c>
      <c r="E994" s="19">
        <v>0.55</v>
      </c>
      <c r="F994" s="10">
        <v>4.0</v>
      </c>
      <c r="G994" s="11">
        <v>1423.0</v>
      </c>
      <c r="K994" s="23">
        <v>1499.0</v>
      </c>
    </row>
    <row r="995">
      <c r="A995" s="7" t="s">
        <v>1058</v>
      </c>
      <c r="B995" s="7" t="s">
        <v>1059</v>
      </c>
      <c r="C995" s="8">
        <v>90.0</v>
      </c>
      <c r="D995" s="8">
        <v>100.0</v>
      </c>
      <c r="E995" s="19">
        <v>0.1</v>
      </c>
      <c r="F995" s="10">
        <v>4.1</v>
      </c>
      <c r="G995" s="11">
        <v>6199.0</v>
      </c>
      <c r="K995" s="23">
        <v>1499.0</v>
      </c>
    </row>
    <row r="996">
      <c r="A996" s="7" t="s">
        <v>1060</v>
      </c>
      <c r="B996" s="7" t="s">
        <v>631</v>
      </c>
      <c r="C996" s="8">
        <v>899.0</v>
      </c>
      <c r="D996" s="8">
        <v>1999.0</v>
      </c>
      <c r="E996" s="19">
        <v>0.55</v>
      </c>
      <c r="F996" s="10">
        <v>4.4</v>
      </c>
      <c r="G996" s="11">
        <v>1667.0</v>
      </c>
      <c r="K996" s="23">
        <v>1499.0</v>
      </c>
    </row>
    <row r="997">
      <c r="A997" s="7" t="s">
        <v>1061</v>
      </c>
      <c r="B997" s="7" t="s">
        <v>973</v>
      </c>
      <c r="C997" s="8">
        <v>1149.0</v>
      </c>
      <c r="D997" s="8">
        <v>1800.0</v>
      </c>
      <c r="E997" s="19">
        <v>0.36</v>
      </c>
      <c r="F997" s="10">
        <v>4.3</v>
      </c>
      <c r="G997" s="11">
        <v>4723.0</v>
      </c>
      <c r="K997" s="23">
        <v>1500.0</v>
      </c>
    </row>
    <row r="998">
      <c r="A998" s="7" t="s">
        <v>1062</v>
      </c>
      <c r="B998" s="7" t="s">
        <v>806</v>
      </c>
      <c r="C998" s="8">
        <v>249.0</v>
      </c>
      <c r="D998" s="8">
        <v>499.0</v>
      </c>
      <c r="E998" s="19">
        <v>0.5</v>
      </c>
      <c r="F998" s="10">
        <v>4.2</v>
      </c>
      <c r="G998" s="11">
        <v>22860.0</v>
      </c>
      <c r="K998" s="23">
        <v>1519.0</v>
      </c>
    </row>
    <row r="999">
      <c r="A999" s="7" t="s">
        <v>1063</v>
      </c>
      <c r="B999" s="7" t="s">
        <v>759</v>
      </c>
      <c r="C999" s="8">
        <v>39.0</v>
      </c>
      <c r="D999" s="8">
        <v>39.0</v>
      </c>
      <c r="E999" s="19">
        <v>0.0</v>
      </c>
      <c r="F999" s="10">
        <v>3.6</v>
      </c>
      <c r="G999" s="11">
        <v>13572.0</v>
      </c>
      <c r="K999" s="23">
        <v>1519.0</v>
      </c>
    </row>
    <row r="1000">
      <c r="A1000" s="7" t="s">
        <v>1064</v>
      </c>
      <c r="B1000" s="7" t="s">
        <v>676</v>
      </c>
      <c r="C1000" s="8">
        <v>1599.0</v>
      </c>
      <c r="D1000" s="8">
        <v>3599.0</v>
      </c>
      <c r="E1000" s="19">
        <v>0.56</v>
      </c>
      <c r="F1000" s="10">
        <v>4.2</v>
      </c>
      <c r="G1000" s="11">
        <v>16182.0</v>
      </c>
      <c r="K1000" s="23">
        <v>1529.0</v>
      </c>
    </row>
    <row r="1001">
      <c r="A1001" s="7" t="s">
        <v>1065</v>
      </c>
      <c r="B1001" s="7" t="s">
        <v>719</v>
      </c>
      <c r="C1001" s="8">
        <v>1199.0</v>
      </c>
      <c r="D1001" s="8">
        <v>3990.0</v>
      </c>
      <c r="E1001" s="19">
        <v>0.7</v>
      </c>
      <c r="F1001" s="10">
        <v>4.2</v>
      </c>
      <c r="G1001" s="11">
        <v>2908.0</v>
      </c>
      <c r="K1001" s="23">
        <v>1529.0</v>
      </c>
    </row>
    <row r="1002">
      <c r="A1002" s="7" t="s">
        <v>103</v>
      </c>
      <c r="B1002" s="7" t="s">
        <v>15</v>
      </c>
      <c r="C1002" s="8">
        <v>209.0</v>
      </c>
      <c r="D1002" s="8">
        <v>499.0</v>
      </c>
      <c r="E1002" s="19">
        <v>0.58</v>
      </c>
      <c r="F1002" s="10">
        <v>3.9</v>
      </c>
      <c r="G1002" s="10">
        <v>536.0</v>
      </c>
      <c r="K1002" s="23">
        <v>1547.0</v>
      </c>
    </row>
    <row r="1003">
      <c r="A1003" s="7" t="s">
        <v>1066</v>
      </c>
      <c r="B1003" s="7" t="s">
        <v>625</v>
      </c>
      <c r="C1003" s="8">
        <v>1099.0</v>
      </c>
      <c r="D1003" s="8">
        <v>1499.0</v>
      </c>
      <c r="E1003" s="19">
        <v>0.27</v>
      </c>
      <c r="F1003" s="10">
        <v>4.2</v>
      </c>
      <c r="G1003" s="11">
        <v>2375.0</v>
      </c>
      <c r="K1003" s="23">
        <v>1549.0</v>
      </c>
    </row>
    <row r="1004">
      <c r="A1004" s="7" t="s">
        <v>1067</v>
      </c>
      <c r="B1004" s="7" t="s">
        <v>817</v>
      </c>
      <c r="C1004" s="8">
        <v>120.0</v>
      </c>
      <c r="D1004" s="8">
        <v>120.0</v>
      </c>
      <c r="E1004" s="19">
        <v>0.0</v>
      </c>
      <c r="F1004" s="10">
        <v>4.5</v>
      </c>
      <c r="G1004" s="11">
        <v>4951.0</v>
      </c>
      <c r="K1004" s="23">
        <v>1563.0</v>
      </c>
    </row>
    <row r="1005">
      <c r="A1005" s="7" t="s">
        <v>1068</v>
      </c>
      <c r="B1005" s="7" t="s">
        <v>973</v>
      </c>
      <c r="C1005" s="8">
        <v>1519.0</v>
      </c>
      <c r="D1005" s="8">
        <v>3499.0</v>
      </c>
      <c r="E1005" s="19">
        <v>0.57</v>
      </c>
      <c r="F1005" s="10">
        <v>4.3</v>
      </c>
      <c r="G1005" s="10">
        <v>408.0</v>
      </c>
      <c r="K1005" s="23">
        <v>1565.0</v>
      </c>
    </row>
    <row r="1006">
      <c r="A1006" s="7" t="s">
        <v>1069</v>
      </c>
      <c r="B1006" s="7" t="s">
        <v>1059</v>
      </c>
      <c r="C1006" s="8">
        <v>420.0</v>
      </c>
      <c r="D1006" s="8">
        <v>420.0</v>
      </c>
      <c r="E1006" s="19">
        <v>0.0</v>
      </c>
      <c r="F1006" s="10">
        <v>4.2</v>
      </c>
      <c r="G1006" s="11">
        <v>1926.0</v>
      </c>
      <c r="K1006" s="23">
        <v>1595.0</v>
      </c>
    </row>
    <row r="1007">
      <c r="A1007" s="7" t="s">
        <v>1070</v>
      </c>
      <c r="B1007" s="7" t="s">
        <v>1071</v>
      </c>
      <c r="C1007" s="8">
        <v>225.0</v>
      </c>
      <c r="D1007" s="8">
        <v>225.0</v>
      </c>
      <c r="E1007" s="19">
        <v>0.0</v>
      </c>
      <c r="F1007" s="10">
        <v>4.1</v>
      </c>
      <c r="G1007" s="11">
        <v>4798.0</v>
      </c>
      <c r="K1007" s="23">
        <v>1598.0</v>
      </c>
    </row>
    <row r="1008">
      <c r="A1008" s="7" t="s">
        <v>1072</v>
      </c>
      <c r="B1008" s="7" t="s">
        <v>1073</v>
      </c>
      <c r="C1008" s="8">
        <v>199.0</v>
      </c>
      <c r="D1008" s="8">
        <v>799.0</v>
      </c>
      <c r="E1008" s="19">
        <v>0.75</v>
      </c>
      <c r="F1008" s="10">
        <v>4.1</v>
      </c>
      <c r="G1008" s="11">
        <v>7333.0</v>
      </c>
      <c r="K1008" s="23">
        <v>1599.0</v>
      </c>
    </row>
    <row r="1009">
      <c r="A1009" s="7" t="s">
        <v>604</v>
      </c>
      <c r="B1009" s="7" t="s">
        <v>441</v>
      </c>
      <c r="C1009" s="8">
        <v>1799.0</v>
      </c>
      <c r="D1009" s="8">
        <v>3999.0</v>
      </c>
      <c r="E1009" s="19">
        <v>0.55</v>
      </c>
      <c r="F1009" s="10">
        <v>4.6</v>
      </c>
      <c r="G1009" s="10">
        <v>245.0</v>
      </c>
      <c r="K1009" s="23">
        <v>1599.0</v>
      </c>
    </row>
    <row r="1010">
      <c r="A1010" s="7" t="s">
        <v>1074</v>
      </c>
      <c r="B1010" s="7" t="s">
        <v>988</v>
      </c>
      <c r="C1010" s="8">
        <v>8349.0</v>
      </c>
      <c r="D1010" s="8">
        <v>9625.0</v>
      </c>
      <c r="E1010" s="19">
        <v>0.13</v>
      </c>
      <c r="F1010" s="10">
        <v>3.8</v>
      </c>
      <c r="G1010" s="11">
        <v>3652.0</v>
      </c>
      <c r="K1010" s="23">
        <v>1599.0</v>
      </c>
    </row>
    <row r="1011">
      <c r="A1011" s="7" t="s">
        <v>1075</v>
      </c>
      <c r="B1011" s="7" t="s">
        <v>875</v>
      </c>
      <c r="C1011" s="8">
        <v>3307.0</v>
      </c>
      <c r="D1011" s="8">
        <v>6100.0</v>
      </c>
      <c r="E1011" s="19">
        <v>0.46</v>
      </c>
      <c r="F1011" s="10">
        <v>4.3</v>
      </c>
      <c r="G1011" s="11">
        <v>2515.0</v>
      </c>
      <c r="K1011" s="23">
        <v>1599.0</v>
      </c>
    </row>
    <row r="1012">
      <c r="A1012" s="7" t="s">
        <v>109</v>
      </c>
      <c r="B1012" s="7" t="s">
        <v>15</v>
      </c>
      <c r="C1012" s="8">
        <v>325.0</v>
      </c>
      <c r="D1012" s="8">
        <v>1299.0</v>
      </c>
      <c r="E1012" s="19">
        <v>0.75</v>
      </c>
      <c r="F1012" s="10">
        <v>4.2</v>
      </c>
      <c r="G1012" s="11">
        <v>10576.0</v>
      </c>
      <c r="K1012" s="23">
        <v>1599.0</v>
      </c>
    </row>
    <row r="1013">
      <c r="A1013" s="7" t="s">
        <v>1076</v>
      </c>
      <c r="B1013" s="7" t="s">
        <v>622</v>
      </c>
      <c r="C1013" s="8">
        <v>449.0</v>
      </c>
      <c r="D1013" s="8">
        <v>1300.0</v>
      </c>
      <c r="E1013" s="19">
        <v>0.65</v>
      </c>
      <c r="F1013" s="10">
        <v>4.2</v>
      </c>
      <c r="G1013" s="11">
        <v>4959.0</v>
      </c>
      <c r="K1013" s="23">
        <v>1599.0</v>
      </c>
    </row>
    <row r="1014">
      <c r="A1014" s="7" t="s">
        <v>1077</v>
      </c>
      <c r="B1014" s="7" t="s">
        <v>652</v>
      </c>
      <c r="C1014" s="8">
        <v>380.0</v>
      </c>
      <c r="D1014" s="8">
        <v>400.0</v>
      </c>
      <c r="E1014" s="19">
        <v>0.05</v>
      </c>
      <c r="F1014" s="10">
        <v>4.4</v>
      </c>
      <c r="G1014" s="11">
        <v>2111.0</v>
      </c>
      <c r="K1014" s="23">
        <v>1599.0</v>
      </c>
    </row>
    <row r="1015">
      <c r="A1015" s="7" t="s">
        <v>1078</v>
      </c>
      <c r="B1015" s="7" t="s">
        <v>627</v>
      </c>
      <c r="C1015" s="8">
        <v>499.0</v>
      </c>
      <c r="D1015" s="8">
        <v>1399.0</v>
      </c>
      <c r="E1015" s="19">
        <v>0.64</v>
      </c>
      <c r="F1015" s="10">
        <v>3.9</v>
      </c>
      <c r="G1015" s="11">
        <v>1462.0</v>
      </c>
      <c r="K1015" s="23">
        <v>1599.0</v>
      </c>
    </row>
    <row r="1016">
      <c r="A1016" s="7" t="s">
        <v>1079</v>
      </c>
      <c r="B1016" s="7" t="s">
        <v>1080</v>
      </c>
      <c r="C1016" s="8">
        <v>37247.0</v>
      </c>
      <c r="D1016" s="8">
        <v>59890.0</v>
      </c>
      <c r="E1016" s="19">
        <v>0.38</v>
      </c>
      <c r="F1016" s="10">
        <v>4.0</v>
      </c>
      <c r="G1016" s="10">
        <v>323.0</v>
      </c>
      <c r="K1016" s="23">
        <v>1599.0</v>
      </c>
    </row>
    <row r="1017">
      <c r="A1017" s="7" t="s">
        <v>1081</v>
      </c>
      <c r="B1017" s="7" t="s">
        <v>572</v>
      </c>
      <c r="C1017" s="8">
        <v>849.0</v>
      </c>
      <c r="D1017" s="8">
        <v>2490.0</v>
      </c>
      <c r="E1017" s="19">
        <v>0.66</v>
      </c>
      <c r="F1017" s="10">
        <v>4.2</v>
      </c>
      <c r="G1017" s="11">
        <v>91188.0</v>
      </c>
      <c r="K1017" s="23">
        <v>1599.0</v>
      </c>
    </row>
    <row r="1018">
      <c r="A1018" s="7" t="s">
        <v>1082</v>
      </c>
      <c r="B1018" s="7" t="s">
        <v>804</v>
      </c>
      <c r="C1018" s="8">
        <v>799.0</v>
      </c>
      <c r="D1018" s="8">
        <v>1999.0</v>
      </c>
      <c r="E1018" s="19">
        <v>0.6</v>
      </c>
      <c r="F1018" s="10">
        <v>3.7</v>
      </c>
      <c r="G1018" s="10">
        <v>418.0</v>
      </c>
      <c r="K1018" s="23">
        <v>1599.0</v>
      </c>
    </row>
    <row r="1019">
      <c r="A1019" s="7" t="s">
        <v>616</v>
      </c>
      <c r="B1019" s="7" t="s">
        <v>502</v>
      </c>
      <c r="C1019" s="8">
        <v>2599.0</v>
      </c>
      <c r="D1019" s="8">
        <v>6999.0</v>
      </c>
      <c r="E1019" s="19">
        <v>0.63</v>
      </c>
      <c r="F1019" s="10">
        <v>4.5</v>
      </c>
      <c r="G1019" s="11">
        <v>1526.0</v>
      </c>
      <c r="K1019" s="23">
        <v>1599.0</v>
      </c>
    </row>
    <row r="1020">
      <c r="A1020" s="7" t="s">
        <v>113</v>
      </c>
      <c r="B1020" s="7" t="s">
        <v>15</v>
      </c>
      <c r="C1020" s="8">
        <v>199.0</v>
      </c>
      <c r="D1020" s="8">
        <v>999.0</v>
      </c>
      <c r="E1020" s="19">
        <v>0.8</v>
      </c>
      <c r="F1020" s="10">
        <v>4.5</v>
      </c>
      <c r="G1020" s="10">
        <v>127.0</v>
      </c>
      <c r="K1020" s="23">
        <v>1599.0</v>
      </c>
    </row>
    <row r="1021">
      <c r="A1021" s="7" t="s">
        <v>115</v>
      </c>
      <c r="B1021" s="7" t="s">
        <v>25</v>
      </c>
      <c r="C1021" s="8">
        <v>269.0</v>
      </c>
      <c r="D1021" s="8">
        <v>800.0</v>
      </c>
      <c r="E1021" s="19">
        <v>0.66</v>
      </c>
      <c r="F1021" s="10">
        <v>3.6</v>
      </c>
      <c r="G1021" s="11">
        <v>10134.0</v>
      </c>
      <c r="K1021" s="23">
        <v>1601.0</v>
      </c>
    </row>
    <row r="1022">
      <c r="A1022" s="7" t="s">
        <v>1083</v>
      </c>
      <c r="B1022" s="7" t="s">
        <v>759</v>
      </c>
      <c r="C1022" s="8">
        <v>298.0</v>
      </c>
      <c r="D1022" s="8">
        <v>999.0</v>
      </c>
      <c r="E1022" s="19">
        <v>0.7</v>
      </c>
      <c r="F1022" s="10">
        <v>4.3</v>
      </c>
      <c r="G1022" s="11">
        <v>1552.0</v>
      </c>
      <c r="K1022" s="23">
        <v>1614.0</v>
      </c>
    </row>
    <row r="1023">
      <c r="A1023" s="7" t="s">
        <v>1084</v>
      </c>
      <c r="B1023" s="7" t="s">
        <v>804</v>
      </c>
      <c r="C1023" s="8">
        <v>1499.0</v>
      </c>
      <c r="D1023" s="8">
        <v>2999.0</v>
      </c>
      <c r="E1023" s="19">
        <v>0.5</v>
      </c>
      <c r="F1023" s="10">
        <v>4.1</v>
      </c>
      <c r="G1023" s="11">
        <v>25262.0</v>
      </c>
      <c r="K1023" s="23">
        <v>1624.0</v>
      </c>
    </row>
    <row r="1024">
      <c r="A1024" s="7" t="s">
        <v>1085</v>
      </c>
      <c r="B1024" s="7" t="s">
        <v>1086</v>
      </c>
      <c r="C1024" s="8">
        <v>649.0</v>
      </c>
      <c r="D1024" s="8">
        <v>1245.0</v>
      </c>
      <c r="E1024" s="19">
        <v>0.48</v>
      </c>
      <c r="F1024" s="10">
        <v>3.9</v>
      </c>
      <c r="G1024" s="7" t="s">
        <v>1087</v>
      </c>
      <c r="K1024" s="23">
        <v>1625.0</v>
      </c>
    </row>
    <row r="1025">
      <c r="A1025" s="7" t="s">
        <v>1088</v>
      </c>
      <c r="B1025" s="7" t="s">
        <v>1089</v>
      </c>
      <c r="C1025" s="8">
        <v>1199.0</v>
      </c>
      <c r="D1025" s="8">
        <v>1695.0</v>
      </c>
      <c r="E1025" s="19">
        <v>0.29</v>
      </c>
      <c r="F1025" s="10">
        <v>3.6</v>
      </c>
      <c r="G1025" s="11">
        <v>13300.0</v>
      </c>
      <c r="K1025" s="23">
        <v>1649.0</v>
      </c>
    </row>
    <row r="1026">
      <c r="A1026" s="7" t="s">
        <v>1090</v>
      </c>
      <c r="B1026" s="7" t="s">
        <v>1091</v>
      </c>
      <c r="C1026" s="8">
        <v>1199.0</v>
      </c>
      <c r="D1026" s="8">
        <v>2000.0</v>
      </c>
      <c r="E1026" s="19">
        <v>0.4</v>
      </c>
      <c r="F1026" s="10">
        <v>4.0</v>
      </c>
      <c r="G1026" s="11">
        <v>18543.0</v>
      </c>
      <c r="K1026" s="23">
        <v>1656.0</v>
      </c>
    </row>
    <row r="1027">
      <c r="A1027" s="7" t="s">
        <v>1092</v>
      </c>
      <c r="B1027" s="7" t="s">
        <v>1093</v>
      </c>
      <c r="C1027" s="8">
        <v>455.0</v>
      </c>
      <c r="D1027" s="8">
        <v>999.0</v>
      </c>
      <c r="E1027" s="19">
        <v>0.54</v>
      </c>
      <c r="F1027" s="10">
        <v>4.1</v>
      </c>
      <c r="G1027" s="11">
        <v>3578.0</v>
      </c>
      <c r="K1027" s="23">
        <v>1665.0</v>
      </c>
    </row>
    <row r="1028">
      <c r="A1028" s="7" t="s">
        <v>1094</v>
      </c>
      <c r="B1028" s="7" t="s">
        <v>1095</v>
      </c>
      <c r="C1028" s="8">
        <v>199.0</v>
      </c>
      <c r="D1028" s="8">
        <v>1999.0</v>
      </c>
      <c r="E1028" s="19">
        <v>0.9</v>
      </c>
      <c r="F1028" s="10">
        <v>3.7</v>
      </c>
      <c r="G1028" s="11">
        <v>2031.0</v>
      </c>
      <c r="K1028" s="23">
        <v>1679.0</v>
      </c>
    </row>
    <row r="1029">
      <c r="A1029" s="7" t="s">
        <v>1096</v>
      </c>
      <c r="B1029" s="7" t="s">
        <v>1095</v>
      </c>
      <c r="C1029" s="8">
        <v>293.0</v>
      </c>
      <c r="D1029" s="8">
        <v>499.0</v>
      </c>
      <c r="E1029" s="19">
        <v>0.41</v>
      </c>
      <c r="F1029" s="10">
        <v>3.9</v>
      </c>
      <c r="G1029" s="11">
        <v>44994.0</v>
      </c>
      <c r="K1029" s="23">
        <v>1695.0</v>
      </c>
    </row>
    <row r="1030">
      <c r="A1030" s="7" t="s">
        <v>1097</v>
      </c>
      <c r="B1030" s="7" t="s">
        <v>1098</v>
      </c>
      <c r="C1030" s="8">
        <v>199.0</v>
      </c>
      <c r="D1030" s="8">
        <v>495.0</v>
      </c>
      <c r="E1030" s="19">
        <v>0.6</v>
      </c>
      <c r="F1030" s="10">
        <v>4.1</v>
      </c>
      <c r="G1030" s="7" t="s">
        <v>1099</v>
      </c>
      <c r="K1030" s="23">
        <v>1699.0</v>
      </c>
    </row>
    <row r="1031">
      <c r="A1031" s="7" t="s">
        <v>1100</v>
      </c>
      <c r="B1031" s="7" t="s">
        <v>1086</v>
      </c>
      <c r="C1031" s="8">
        <v>749.0</v>
      </c>
      <c r="D1031" s="8">
        <v>1245.0</v>
      </c>
      <c r="E1031" s="19">
        <v>0.4</v>
      </c>
      <c r="F1031" s="10">
        <v>3.9</v>
      </c>
      <c r="G1031" s="11">
        <v>31783.0</v>
      </c>
      <c r="K1031" s="23">
        <v>1699.0</v>
      </c>
    </row>
    <row r="1032">
      <c r="A1032" s="7" t="s">
        <v>1101</v>
      </c>
      <c r="B1032" s="7" t="s">
        <v>1089</v>
      </c>
      <c r="C1032" s="8">
        <v>1399.0</v>
      </c>
      <c r="D1032" s="8">
        <v>1549.0</v>
      </c>
      <c r="E1032" s="19">
        <v>0.1</v>
      </c>
      <c r="F1032" s="10">
        <v>3.9</v>
      </c>
      <c r="G1032" s="11">
        <v>2602.0</v>
      </c>
      <c r="K1032" s="23">
        <v>1699.0</v>
      </c>
    </row>
    <row r="1033">
      <c r="A1033" s="7" t="s">
        <v>1102</v>
      </c>
      <c r="B1033" s="7" t="s">
        <v>1086</v>
      </c>
      <c r="C1033" s="8">
        <v>749.0</v>
      </c>
      <c r="D1033" s="8">
        <v>1445.0</v>
      </c>
      <c r="E1033" s="19">
        <v>0.48</v>
      </c>
      <c r="F1033" s="10">
        <v>3.9</v>
      </c>
      <c r="G1033" s="11">
        <v>63350.0</v>
      </c>
      <c r="K1033" s="23">
        <v>1699.0</v>
      </c>
    </row>
    <row r="1034">
      <c r="A1034" s="7" t="s">
        <v>1103</v>
      </c>
      <c r="B1034" s="7" t="s">
        <v>1104</v>
      </c>
      <c r="C1034" s="8">
        <v>1699.0</v>
      </c>
      <c r="D1034" s="8">
        <v>3193.0</v>
      </c>
      <c r="E1034" s="19">
        <v>0.47</v>
      </c>
      <c r="F1034" s="10">
        <v>3.8</v>
      </c>
      <c r="G1034" s="11">
        <v>54032.0</v>
      </c>
      <c r="K1034" s="23">
        <v>1699.0</v>
      </c>
    </row>
    <row r="1035">
      <c r="A1035" s="7" t="s">
        <v>1105</v>
      </c>
      <c r="B1035" s="7" t="s">
        <v>1086</v>
      </c>
      <c r="C1035" s="8">
        <v>1043.0</v>
      </c>
      <c r="D1035" s="8">
        <v>1345.0</v>
      </c>
      <c r="E1035" s="19">
        <v>0.22</v>
      </c>
      <c r="F1035" s="10">
        <v>3.8</v>
      </c>
      <c r="G1035" s="11">
        <v>15592.0</v>
      </c>
      <c r="K1035" s="23">
        <v>1699.0</v>
      </c>
    </row>
    <row r="1036">
      <c r="A1036" s="7" t="s">
        <v>1106</v>
      </c>
      <c r="B1036" s="7" t="s">
        <v>1093</v>
      </c>
      <c r="C1036" s="8">
        <v>499.0</v>
      </c>
      <c r="D1036" s="8">
        <v>999.0</v>
      </c>
      <c r="E1036" s="19">
        <v>0.5</v>
      </c>
      <c r="F1036" s="10">
        <v>4.1</v>
      </c>
      <c r="G1036" s="11">
        <v>4859.0</v>
      </c>
      <c r="K1036" s="23">
        <v>1699.0</v>
      </c>
    </row>
    <row r="1037">
      <c r="A1037" s="7" t="s">
        <v>1107</v>
      </c>
      <c r="B1037" s="7" t="s">
        <v>1091</v>
      </c>
      <c r="C1037" s="8">
        <v>1464.0</v>
      </c>
      <c r="D1037" s="8">
        <v>1650.0</v>
      </c>
      <c r="E1037" s="19">
        <v>0.11</v>
      </c>
      <c r="F1037" s="10">
        <v>4.1</v>
      </c>
      <c r="G1037" s="11">
        <v>14120.0</v>
      </c>
      <c r="K1037" s="23">
        <v>1699.0</v>
      </c>
    </row>
    <row r="1038">
      <c r="A1038" s="7" t="s">
        <v>1108</v>
      </c>
      <c r="B1038" s="7" t="s">
        <v>1109</v>
      </c>
      <c r="C1038" s="8">
        <v>249.0</v>
      </c>
      <c r="D1038" s="8">
        <v>499.0</v>
      </c>
      <c r="E1038" s="19">
        <v>0.5</v>
      </c>
      <c r="F1038" s="10">
        <v>3.3</v>
      </c>
      <c r="G1038" s="11">
        <v>8427.0</v>
      </c>
      <c r="K1038" s="23">
        <v>1699.0</v>
      </c>
    </row>
    <row r="1039">
      <c r="A1039" s="7" t="s">
        <v>1110</v>
      </c>
      <c r="B1039" s="7" t="s">
        <v>1111</v>
      </c>
      <c r="C1039" s="8">
        <v>625.0</v>
      </c>
      <c r="D1039" s="8">
        <v>1400.0</v>
      </c>
      <c r="E1039" s="19">
        <v>0.55</v>
      </c>
      <c r="F1039" s="10">
        <v>4.2</v>
      </c>
      <c r="G1039" s="11">
        <v>23316.0</v>
      </c>
      <c r="K1039" s="23">
        <v>1709.0</v>
      </c>
    </row>
    <row r="1040">
      <c r="A1040" s="7" t="s">
        <v>1112</v>
      </c>
      <c r="B1040" s="7" t="s">
        <v>1113</v>
      </c>
      <c r="C1040" s="8">
        <v>1290.0</v>
      </c>
      <c r="D1040" s="8">
        <v>2500.0</v>
      </c>
      <c r="E1040" s="19">
        <v>0.48</v>
      </c>
      <c r="F1040" s="10">
        <v>4.0</v>
      </c>
      <c r="G1040" s="11">
        <v>6530.0</v>
      </c>
      <c r="K1040" s="23">
        <v>1745.0</v>
      </c>
    </row>
    <row r="1041">
      <c r="A1041" s="7" t="s">
        <v>1114</v>
      </c>
      <c r="B1041" s="7" t="s">
        <v>1115</v>
      </c>
      <c r="C1041" s="8">
        <v>3600.0</v>
      </c>
      <c r="D1041" s="8">
        <v>6190.0</v>
      </c>
      <c r="E1041" s="19">
        <v>0.42</v>
      </c>
      <c r="F1041" s="10">
        <v>4.3</v>
      </c>
      <c r="G1041" s="11">
        <v>11924.0</v>
      </c>
      <c r="K1041" s="23">
        <v>1792.0</v>
      </c>
    </row>
    <row r="1042">
      <c r="A1042" s="7" t="s">
        <v>1116</v>
      </c>
      <c r="B1042" s="7" t="s">
        <v>1117</v>
      </c>
      <c r="C1042" s="8">
        <v>6549.0</v>
      </c>
      <c r="D1042" s="8">
        <v>13999.0</v>
      </c>
      <c r="E1042" s="19">
        <v>0.53</v>
      </c>
      <c r="F1042" s="10">
        <v>4.0</v>
      </c>
      <c r="G1042" s="11">
        <v>2961.0</v>
      </c>
      <c r="K1042" s="23">
        <v>1799.0</v>
      </c>
    </row>
    <row r="1043">
      <c r="A1043" s="7" t="s">
        <v>1118</v>
      </c>
      <c r="B1043" s="7" t="s">
        <v>1086</v>
      </c>
      <c r="C1043" s="8">
        <v>1625.0</v>
      </c>
      <c r="D1043" s="8">
        <v>2995.0</v>
      </c>
      <c r="E1043" s="19">
        <v>0.46</v>
      </c>
      <c r="F1043" s="10">
        <v>4.5</v>
      </c>
      <c r="G1043" s="11">
        <v>23484.0</v>
      </c>
      <c r="K1043" s="23">
        <v>1799.0</v>
      </c>
    </row>
    <row r="1044">
      <c r="A1044" s="7" t="s">
        <v>1119</v>
      </c>
      <c r="B1044" s="7" t="s">
        <v>1115</v>
      </c>
      <c r="C1044" s="8">
        <v>2599.0</v>
      </c>
      <c r="D1044" s="8">
        <v>5890.0</v>
      </c>
      <c r="E1044" s="19">
        <v>0.56</v>
      </c>
      <c r="F1044" s="10">
        <v>4.1</v>
      </c>
      <c r="G1044" s="11">
        <v>21783.0</v>
      </c>
      <c r="K1044" s="23">
        <v>1799.0</v>
      </c>
    </row>
    <row r="1045">
      <c r="A1045" s="7" t="s">
        <v>1120</v>
      </c>
      <c r="B1045" s="7" t="s">
        <v>1121</v>
      </c>
      <c r="C1045" s="8">
        <v>1199.0</v>
      </c>
      <c r="D1045" s="8">
        <v>2000.0</v>
      </c>
      <c r="E1045" s="19">
        <v>0.4</v>
      </c>
      <c r="F1045" s="10">
        <v>4.0</v>
      </c>
      <c r="G1045" s="11">
        <v>14030.0</v>
      </c>
      <c r="K1045" s="23">
        <v>1799.0</v>
      </c>
    </row>
    <row r="1046">
      <c r="A1046" s="7" t="s">
        <v>1122</v>
      </c>
      <c r="B1046" s="7" t="s">
        <v>1123</v>
      </c>
      <c r="C1046" s="8">
        <v>5499.0</v>
      </c>
      <c r="D1046" s="8">
        <v>13150.0</v>
      </c>
      <c r="E1046" s="19">
        <v>0.58</v>
      </c>
      <c r="F1046" s="10">
        <v>4.2</v>
      </c>
      <c r="G1046" s="11">
        <v>6398.0</v>
      </c>
      <c r="K1046" s="23">
        <v>1799.0</v>
      </c>
    </row>
    <row r="1047">
      <c r="A1047" s="7" t="s">
        <v>1124</v>
      </c>
      <c r="B1047" s="7" t="s">
        <v>1113</v>
      </c>
      <c r="C1047" s="8">
        <v>1299.0</v>
      </c>
      <c r="D1047" s="8">
        <v>3500.0</v>
      </c>
      <c r="E1047" s="19">
        <v>0.63</v>
      </c>
      <c r="F1047" s="10">
        <v>3.8</v>
      </c>
      <c r="G1047" s="11">
        <v>44050.0</v>
      </c>
      <c r="K1047" s="23">
        <v>1799.0</v>
      </c>
    </row>
    <row r="1048">
      <c r="A1048" s="7" t="s">
        <v>1125</v>
      </c>
      <c r="B1048" s="7" t="s">
        <v>1111</v>
      </c>
      <c r="C1048" s="8">
        <v>599.0</v>
      </c>
      <c r="D1048" s="8">
        <v>785.0</v>
      </c>
      <c r="E1048" s="19">
        <v>0.24</v>
      </c>
      <c r="F1048" s="10">
        <v>4.2</v>
      </c>
      <c r="G1048" s="11">
        <v>24247.0</v>
      </c>
      <c r="K1048" s="23">
        <v>1799.0</v>
      </c>
    </row>
    <row r="1049">
      <c r="A1049" s="7" t="s">
        <v>1126</v>
      </c>
      <c r="B1049" s="7" t="s">
        <v>1113</v>
      </c>
      <c r="C1049" s="8">
        <v>1999.0</v>
      </c>
      <c r="D1049" s="8">
        <v>3210.0</v>
      </c>
      <c r="E1049" s="19">
        <v>0.38</v>
      </c>
      <c r="F1049" s="10">
        <v>4.2</v>
      </c>
      <c r="G1049" s="11">
        <v>41349.0</v>
      </c>
      <c r="K1049" s="23">
        <v>1799.0</v>
      </c>
    </row>
    <row r="1050">
      <c r="A1050" s="7" t="s">
        <v>1127</v>
      </c>
      <c r="B1050" s="7" t="s">
        <v>1121</v>
      </c>
      <c r="C1050" s="8">
        <v>549.0</v>
      </c>
      <c r="D1050" s="8">
        <v>1000.0</v>
      </c>
      <c r="E1050" s="19">
        <v>0.45</v>
      </c>
      <c r="F1050" s="10">
        <v>3.6</v>
      </c>
      <c r="G1050" s="11">
        <v>1074.0</v>
      </c>
      <c r="K1050" s="23">
        <v>1799.0</v>
      </c>
    </row>
    <row r="1051">
      <c r="A1051" s="7" t="s">
        <v>1128</v>
      </c>
      <c r="B1051" s="7" t="s">
        <v>1089</v>
      </c>
      <c r="C1051" s="8">
        <v>999.0</v>
      </c>
      <c r="D1051" s="8">
        <v>2000.0</v>
      </c>
      <c r="E1051" s="19">
        <v>0.5</v>
      </c>
      <c r="F1051" s="10">
        <v>3.8</v>
      </c>
      <c r="G1051" s="11">
        <v>1163.0</v>
      </c>
      <c r="K1051" s="23">
        <v>1799.0</v>
      </c>
    </row>
    <row r="1052">
      <c r="A1052" s="7" t="s">
        <v>1129</v>
      </c>
      <c r="B1052" s="7" t="s">
        <v>1093</v>
      </c>
      <c r="C1052" s="8">
        <v>398.0</v>
      </c>
      <c r="D1052" s="8">
        <v>1999.0</v>
      </c>
      <c r="E1052" s="19">
        <v>0.8</v>
      </c>
      <c r="F1052" s="10">
        <v>4.1</v>
      </c>
      <c r="G1052" s="10">
        <v>257.0</v>
      </c>
      <c r="K1052" s="23">
        <v>1799.0</v>
      </c>
    </row>
    <row r="1053">
      <c r="A1053" s="7" t="s">
        <v>1130</v>
      </c>
      <c r="B1053" s="7" t="s">
        <v>1131</v>
      </c>
      <c r="C1053" s="8">
        <v>539.0</v>
      </c>
      <c r="D1053" s="8">
        <v>720.0</v>
      </c>
      <c r="E1053" s="19">
        <v>0.25</v>
      </c>
      <c r="F1053" s="10">
        <v>4.1</v>
      </c>
      <c r="G1053" s="11">
        <v>36017.0</v>
      </c>
      <c r="K1053" s="23">
        <v>1799.0</v>
      </c>
    </row>
    <row r="1054">
      <c r="A1054" s="7" t="s">
        <v>1132</v>
      </c>
      <c r="B1054" s="7" t="s">
        <v>1086</v>
      </c>
      <c r="C1054" s="8">
        <v>699.0</v>
      </c>
      <c r="D1054" s="8">
        <v>1595.0</v>
      </c>
      <c r="E1054" s="19">
        <v>0.56</v>
      </c>
      <c r="F1054" s="10">
        <v>4.1</v>
      </c>
      <c r="G1054" s="11">
        <v>8090.0</v>
      </c>
      <c r="K1054" s="23">
        <v>1799.0</v>
      </c>
    </row>
    <row r="1055">
      <c r="A1055" s="7" t="s">
        <v>1133</v>
      </c>
      <c r="B1055" s="7" t="s">
        <v>1104</v>
      </c>
      <c r="C1055" s="8">
        <v>2148.0</v>
      </c>
      <c r="D1055" s="8">
        <v>3645.0</v>
      </c>
      <c r="E1055" s="19">
        <v>0.41</v>
      </c>
      <c r="F1055" s="10">
        <v>4.1</v>
      </c>
      <c r="G1055" s="11">
        <v>31388.0</v>
      </c>
      <c r="K1055" s="23">
        <v>1799.0</v>
      </c>
    </row>
    <row r="1056">
      <c r="A1056" s="7" t="s">
        <v>1134</v>
      </c>
      <c r="B1056" s="7" t="s">
        <v>1135</v>
      </c>
      <c r="C1056" s="8">
        <v>3599.0</v>
      </c>
      <c r="D1056" s="8">
        <v>7950.0</v>
      </c>
      <c r="E1056" s="19">
        <v>0.55</v>
      </c>
      <c r="F1056" s="10">
        <v>4.2</v>
      </c>
      <c r="G1056" s="10">
        <v>136.0</v>
      </c>
      <c r="K1056" s="23">
        <v>1799.0</v>
      </c>
    </row>
    <row r="1057">
      <c r="A1057" s="7" t="s">
        <v>1136</v>
      </c>
      <c r="B1057" s="7" t="s">
        <v>1137</v>
      </c>
      <c r="C1057" s="8">
        <v>351.0</v>
      </c>
      <c r="D1057" s="8">
        <v>999.0</v>
      </c>
      <c r="E1057" s="19">
        <v>0.65</v>
      </c>
      <c r="F1057" s="10">
        <v>4.0</v>
      </c>
      <c r="G1057" s="11">
        <v>5380.0</v>
      </c>
      <c r="K1057" s="23">
        <v>1799.0</v>
      </c>
    </row>
    <row r="1058">
      <c r="A1058" s="7" t="s">
        <v>1138</v>
      </c>
      <c r="B1058" s="7" t="s">
        <v>1139</v>
      </c>
      <c r="C1058" s="8">
        <v>1614.0</v>
      </c>
      <c r="D1058" s="8">
        <v>1745.0</v>
      </c>
      <c r="E1058" s="19">
        <v>0.08</v>
      </c>
      <c r="F1058" s="10">
        <v>4.3</v>
      </c>
      <c r="G1058" s="11">
        <v>37974.0</v>
      </c>
      <c r="K1058" s="23">
        <v>1799.0</v>
      </c>
    </row>
    <row r="1059">
      <c r="A1059" s="7" t="s">
        <v>1140</v>
      </c>
      <c r="B1059" s="7" t="s">
        <v>1131</v>
      </c>
      <c r="C1059" s="8">
        <v>719.0</v>
      </c>
      <c r="D1059" s="8">
        <v>1295.0</v>
      </c>
      <c r="E1059" s="19">
        <v>0.44</v>
      </c>
      <c r="F1059" s="10">
        <v>4.2</v>
      </c>
      <c r="G1059" s="11">
        <v>17218.0</v>
      </c>
      <c r="K1059" s="23">
        <v>1799.0</v>
      </c>
    </row>
    <row r="1060">
      <c r="A1060" s="7" t="s">
        <v>1141</v>
      </c>
      <c r="B1060" s="7" t="s">
        <v>1093</v>
      </c>
      <c r="C1060" s="8">
        <v>678.0</v>
      </c>
      <c r="D1060" s="8">
        <v>1499.0</v>
      </c>
      <c r="E1060" s="19">
        <v>0.55</v>
      </c>
      <c r="F1060" s="10">
        <v>4.2</v>
      </c>
      <c r="G1060" s="10">
        <v>900.0</v>
      </c>
      <c r="K1060" s="23">
        <v>1799.0</v>
      </c>
    </row>
    <row r="1061">
      <c r="A1061" s="7" t="s">
        <v>1142</v>
      </c>
      <c r="B1061" s="7" t="s">
        <v>1121</v>
      </c>
      <c r="C1061" s="8">
        <v>809.0</v>
      </c>
      <c r="D1061" s="8">
        <v>1545.0</v>
      </c>
      <c r="E1061" s="19">
        <v>0.48</v>
      </c>
      <c r="F1061" s="10">
        <v>3.7</v>
      </c>
      <c r="G1061" s="10">
        <v>976.0</v>
      </c>
      <c r="K1061" s="23">
        <v>1799.0</v>
      </c>
    </row>
    <row r="1062">
      <c r="A1062" s="7" t="s">
        <v>1143</v>
      </c>
      <c r="B1062" s="7" t="s">
        <v>1144</v>
      </c>
      <c r="C1062" s="8">
        <v>1969.0</v>
      </c>
      <c r="D1062" s="8">
        <v>5000.0</v>
      </c>
      <c r="E1062" s="19">
        <v>0.61</v>
      </c>
      <c r="F1062" s="10">
        <v>4.1</v>
      </c>
      <c r="G1062" s="11">
        <v>4927.0</v>
      </c>
      <c r="K1062" s="23">
        <v>1799.0</v>
      </c>
    </row>
    <row r="1063">
      <c r="A1063" s="7" t="s">
        <v>1145</v>
      </c>
      <c r="B1063" s="7" t="s">
        <v>1093</v>
      </c>
      <c r="C1063" s="8">
        <v>1490.0</v>
      </c>
      <c r="D1063" s="8">
        <v>1695.0</v>
      </c>
      <c r="E1063" s="19">
        <v>0.12</v>
      </c>
      <c r="F1063" s="10">
        <v>4.4</v>
      </c>
      <c r="G1063" s="11">
        <v>3543.0</v>
      </c>
      <c r="K1063" s="23">
        <v>1804.0</v>
      </c>
    </row>
    <row r="1064">
      <c r="A1064" s="7" t="s">
        <v>1146</v>
      </c>
      <c r="B1064" s="7" t="s">
        <v>1089</v>
      </c>
      <c r="C1064" s="8">
        <v>2499.0</v>
      </c>
      <c r="D1064" s="8">
        <v>3945.0</v>
      </c>
      <c r="E1064" s="19">
        <v>0.37</v>
      </c>
      <c r="F1064" s="10">
        <v>3.8</v>
      </c>
      <c r="G1064" s="11">
        <v>2732.0</v>
      </c>
      <c r="K1064" s="23">
        <v>1815.0</v>
      </c>
    </row>
    <row r="1065">
      <c r="A1065" s="7" t="s">
        <v>1147</v>
      </c>
      <c r="B1065" s="7" t="s">
        <v>1148</v>
      </c>
      <c r="C1065" s="8">
        <v>1665.0</v>
      </c>
      <c r="D1065" s="8">
        <v>2099.0</v>
      </c>
      <c r="E1065" s="19">
        <v>0.21</v>
      </c>
      <c r="F1065" s="10">
        <v>4.0</v>
      </c>
      <c r="G1065" s="11">
        <v>14368.0</v>
      </c>
      <c r="K1065" s="23">
        <v>1819.0</v>
      </c>
    </row>
    <row r="1066">
      <c r="A1066" s="7" t="s">
        <v>1149</v>
      </c>
      <c r="B1066" s="7" t="s">
        <v>1104</v>
      </c>
      <c r="C1066" s="8">
        <v>3229.0</v>
      </c>
      <c r="D1066" s="8">
        <v>5295.0</v>
      </c>
      <c r="E1066" s="19">
        <v>0.39</v>
      </c>
      <c r="F1066" s="10">
        <v>4.2</v>
      </c>
      <c r="G1066" s="11">
        <v>39724.0</v>
      </c>
      <c r="K1066" s="23">
        <v>1849.0</v>
      </c>
    </row>
    <row r="1067">
      <c r="A1067" s="7" t="s">
        <v>1150</v>
      </c>
      <c r="B1067" s="7" t="s">
        <v>1104</v>
      </c>
      <c r="C1067" s="8">
        <v>1799.0</v>
      </c>
      <c r="D1067" s="8">
        <v>3595.0</v>
      </c>
      <c r="E1067" s="19">
        <v>0.5</v>
      </c>
      <c r="F1067" s="10">
        <v>3.8</v>
      </c>
      <c r="G1067" s="11">
        <v>9791.0</v>
      </c>
      <c r="K1067" s="23">
        <v>1850.0</v>
      </c>
    </row>
    <row r="1068">
      <c r="A1068" s="7" t="s">
        <v>1151</v>
      </c>
      <c r="B1068" s="7" t="s">
        <v>1086</v>
      </c>
      <c r="C1068" s="8">
        <v>1260.0</v>
      </c>
      <c r="D1068" s="8">
        <v>1699.0</v>
      </c>
      <c r="E1068" s="19">
        <v>0.26</v>
      </c>
      <c r="F1068" s="10">
        <v>4.2</v>
      </c>
      <c r="G1068" s="11">
        <v>2891.0</v>
      </c>
      <c r="K1068" s="23">
        <v>1889.0</v>
      </c>
    </row>
    <row r="1069">
      <c r="A1069" s="7" t="s">
        <v>1152</v>
      </c>
      <c r="B1069" s="7" t="s">
        <v>1089</v>
      </c>
      <c r="C1069" s="8">
        <v>749.0</v>
      </c>
      <c r="D1069" s="8">
        <v>1129.0</v>
      </c>
      <c r="E1069" s="19">
        <v>0.34</v>
      </c>
      <c r="F1069" s="10">
        <v>4.0</v>
      </c>
      <c r="G1069" s="11">
        <v>2446.0</v>
      </c>
      <c r="K1069" s="23">
        <v>1889.0</v>
      </c>
    </row>
    <row r="1070">
      <c r="A1070" s="7" t="s">
        <v>1153</v>
      </c>
      <c r="B1070" s="7" t="s">
        <v>1113</v>
      </c>
      <c r="C1070" s="8">
        <v>3499.0</v>
      </c>
      <c r="D1070" s="8">
        <v>5795.0</v>
      </c>
      <c r="E1070" s="19">
        <v>0.4</v>
      </c>
      <c r="F1070" s="10">
        <v>3.9</v>
      </c>
      <c r="G1070" s="11">
        <v>25340.0</v>
      </c>
      <c r="K1070" s="23">
        <v>1890.0</v>
      </c>
    </row>
    <row r="1071">
      <c r="A1071" s="7" t="s">
        <v>1154</v>
      </c>
      <c r="B1071" s="7" t="s">
        <v>1155</v>
      </c>
      <c r="C1071" s="8">
        <v>379.0</v>
      </c>
      <c r="D1071" s="8">
        <v>999.0</v>
      </c>
      <c r="E1071" s="19">
        <v>0.62</v>
      </c>
      <c r="F1071" s="10">
        <v>4.3</v>
      </c>
      <c r="G1071" s="11">
        <v>3096.0</v>
      </c>
      <c r="K1071" s="23">
        <v>1898.0</v>
      </c>
    </row>
    <row r="1072">
      <c r="A1072" s="7" t="s">
        <v>1156</v>
      </c>
      <c r="B1072" s="7" t="s">
        <v>1089</v>
      </c>
      <c r="C1072" s="8">
        <v>1099.0</v>
      </c>
      <c r="D1072" s="8">
        <v>2400.0</v>
      </c>
      <c r="E1072" s="19">
        <v>0.54</v>
      </c>
      <c r="F1072" s="10">
        <v>3.8</v>
      </c>
      <c r="G1072" s="10">
        <v>4.0</v>
      </c>
      <c r="K1072" s="23">
        <v>1899.0</v>
      </c>
    </row>
    <row r="1073">
      <c r="A1073" s="7" t="s">
        <v>1157</v>
      </c>
      <c r="B1073" s="7" t="s">
        <v>1121</v>
      </c>
      <c r="C1073" s="8">
        <v>749.0</v>
      </c>
      <c r="D1073" s="8">
        <v>1299.0</v>
      </c>
      <c r="E1073" s="19">
        <v>0.42</v>
      </c>
      <c r="F1073" s="10">
        <v>4.0</v>
      </c>
      <c r="G1073" s="10">
        <v>119.0</v>
      </c>
      <c r="K1073" s="23">
        <v>1928.0</v>
      </c>
    </row>
    <row r="1074">
      <c r="A1074" s="7" t="s">
        <v>1158</v>
      </c>
      <c r="B1074" s="7" t="s">
        <v>1159</v>
      </c>
      <c r="C1074" s="8">
        <v>1299.0</v>
      </c>
      <c r="D1074" s="8">
        <v>1299.0</v>
      </c>
      <c r="E1074" s="19">
        <v>0.0</v>
      </c>
      <c r="F1074" s="10">
        <v>4.2</v>
      </c>
      <c r="G1074" s="11">
        <v>40106.0</v>
      </c>
      <c r="K1074" s="23">
        <v>1959.0</v>
      </c>
    </row>
    <row r="1075">
      <c r="A1075" s="7" t="s">
        <v>1160</v>
      </c>
      <c r="B1075" s="7" t="s">
        <v>1111</v>
      </c>
      <c r="C1075" s="8">
        <v>549.0</v>
      </c>
      <c r="D1075" s="8">
        <v>1090.0</v>
      </c>
      <c r="E1075" s="19">
        <v>0.5</v>
      </c>
      <c r="F1075" s="10">
        <v>4.2</v>
      </c>
      <c r="G1075" s="11">
        <v>13029.0</v>
      </c>
      <c r="K1075" s="23">
        <v>1969.0</v>
      </c>
    </row>
    <row r="1076">
      <c r="A1076" s="7" t="s">
        <v>1161</v>
      </c>
      <c r="B1076" s="7" t="s">
        <v>1091</v>
      </c>
      <c r="C1076" s="8">
        <v>899.0</v>
      </c>
      <c r="D1076" s="8">
        <v>2000.0</v>
      </c>
      <c r="E1076" s="19">
        <v>0.55</v>
      </c>
      <c r="F1076" s="10">
        <v>3.6</v>
      </c>
      <c r="G1076" s="10">
        <v>291.0</v>
      </c>
      <c r="K1076" s="23">
        <v>1982.84</v>
      </c>
    </row>
    <row r="1077">
      <c r="A1077" s="7" t="s">
        <v>1162</v>
      </c>
      <c r="B1077" s="7" t="s">
        <v>1111</v>
      </c>
      <c r="C1077" s="8">
        <v>1321.0</v>
      </c>
      <c r="D1077" s="8">
        <v>1545.0</v>
      </c>
      <c r="E1077" s="19">
        <v>0.14</v>
      </c>
      <c r="F1077" s="10">
        <v>4.3</v>
      </c>
      <c r="G1077" s="11">
        <v>15453.0</v>
      </c>
      <c r="K1077" s="23">
        <v>1989.0</v>
      </c>
    </row>
    <row r="1078">
      <c r="A1078" s="7" t="s">
        <v>1163</v>
      </c>
      <c r="B1078" s="7" t="s">
        <v>1093</v>
      </c>
      <c r="C1078" s="8">
        <v>1099.0</v>
      </c>
      <c r="D1078" s="8">
        <v>1999.0</v>
      </c>
      <c r="E1078" s="19">
        <v>0.45</v>
      </c>
      <c r="F1078" s="10">
        <v>4.0</v>
      </c>
      <c r="G1078" s="10">
        <v>604.0</v>
      </c>
      <c r="K1078" s="23">
        <v>1990.0</v>
      </c>
    </row>
    <row r="1079">
      <c r="A1079" s="7" t="s">
        <v>1164</v>
      </c>
      <c r="B1079" s="7" t="s">
        <v>1111</v>
      </c>
      <c r="C1079" s="8">
        <v>775.0</v>
      </c>
      <c r="D1079" s="8">
        <v>875.0</v>
      </c>
      <c r="E1079" s="19">
        <v>0.11</v>
      </c>
      <c r="F1079" s="10">
        <v>4.2</v>
      </c>
      <c r="G1079" s="11">
        <v>46647.0</v>
      </c>
      <c r="K1079" s="23">
        <v>1990.0</v>
      </c>
    </row>
    <row r="1080">
      <c r="A1080" s="7" t="s">
        <v>1165</v>
      </c>
      <c r="B1080" s="7" t="s">
        <v>1123</v>
      </c>
      <c r="C1080" s="8">
        <v>6299.0</v>
      </c>
      <c r="D1080" s="8">
        <v>15270.0</v>
      </c>
      <c r="E1080" s="19">
        <v>0.59</v>
      </c>
      <c r="F1080" s="10">
        <v>4.1</v>
      </c>
      <c r="G1080" s="11">
        <v>3233.0</v>
      </c>
      <c r="K1080" s="23">
        <v>1990.0</v>
      </c>
    </row>
    <row r="1081">
      <c r="A1081" s="7" t="s">
        <v>1166</v>
      </c>
      <c r="B1081" s="7" t="s">
        <v>1139</v>
      </c>
      <c r="C1081" s="8">
        <v>3190.0</v>
      </c>
      <c r="D1081" s="8">
        <v>4195.0</v>
      </c>
      <c r="E1081" s="19">
        <v>0.24</v>
      </c>
      <c r="F1081" s="10">
        <v>4.0</v>
      </c>
      <c r="G1081" s="11">
        <v>1282.0</v>
      </c>
      <c r="K1081" s="23">
        <v>1995.0</v>
      </c>
    </row>
    <row r="1082">
      <c r="A1082" s="7" t="s">
        <v>1167</v>
      </c>
      <c r="B1082" s="7" t="s">
        <v>1089</v>
      </c>
      <c r="C1082" s="8">
        <v>799.0</v>
      </c>
      <c r="D1082" s="8">
        <v>1989.0</v>
      </c>
      <c r="E1082" s="19">
        <v>0.6</v>
      </c>
      <c r="F1082" s="10">
        <v>4.3</v>
      </c>
      <c r="G1082" s="10">
        <v>70.0</v>
      </c>
      <c r="K1082" s="23">
        <v>1998.0</v>
      </c>
    </row>
    <row r="1083">
      <c r="A1083" s="7" t="s">
        <v>1168</v>
      </c>
      <c r="B1083" s="7" t="s">
        <v>1144</v>
      </c>
      <c r="C1083" s="8">
        <v>2699.0</v>
      </c>
      <c r="D1083" s="8">
        <v>5000.0</v>
      </c>
      <c r="E1083" s="19">
        <v>0.46</v>
      </c>
      <c r="F1083" s="10">
        <v>4.0</v>
      </c>
      <c r="G1083" s="11">
        <v>26164.0</v>
      </c>
      <c r="K1083" s="23">
        <v>1998.0</v>
      </c>
    </row>
    <row r="1084">
      <c r="A1084" s="7" t="s">
        <v>1169</v>
      </c>
      <c r="B1084" s="7" t="s">
        <v>1111</v>
      </c>
      <c r="C1084" s="8">
        <v>599.0</v>
      </c>
      <c r="D1084" s="8">
        <v>990.0</v>
      </c>
      <c r="E1084" s="19">
        <v>0.39</v>
      </c>
      <c r="F1084" s="10">
        <v>3.9</v>
      </c>
      <c r="G1084" s="11">
        <v>16166.0</v>
      </c>
      <c r="K1084" s="23">
        <v>1999.0</v>
      </c>
    </row>
    <row r="1085">
      <c r="A1085" s="7" t="s">
        <v>1170</v>
      </c>
      <c r="B1085" s="7" t="s">
        <v>1121</v>
      </c>
      <c r="C1085" s="8">
        <v>749.0</v>
      </c>
      <c r="D1085" s="8">
        <v>1111.0</v>
      </c>
      <c r="E1085" s="19">
        <v>0.33</v>
      </c>
      <c r="F1085" s="10">
        <v>4.2</v>
      </c>
      <c r="G1085" s="11">
        <v>35693.0</v>
      </c>
      <c r="K1085" s="23">
        <v>1999.0</v>
      </c>
    </row>
    <row r="1086">
      <c r="A1086" s="7" t="s">
        <v>1171</v>
      </c>
      <c r="B1086" s="7" t="s">
        <v>1123</v>
      </c>
      <c r="C1086" s="8">
        <v>6199.0</v>
      </c>
      <c r="D1086" s="8">
        <v>10400.0</v>
      </c>
      <c r="E1086" s="19">
        <v>0.4</v>
      </c>
      <c r="F1086" s="10">
        <v>4.1</v>
      </c>
      <c r="G1086" s="11">
        <v>14391.0</v>
      </c>
      <c r="K1086" s="23">
        <v>1999.0</v>
      </c>
    </row>
    <row r="1087">
      <c r="A1087" s="7" t="s">
        <v>1172</v>
      </c>
      <c r="B1087" s="7" t="s">
        <v>1173</v>
      </c>
      <c r="C1087" s="8">
        <v>1819.0</v>
      </c>
      <c r="D1087" s="8">
        <v>2490.0</v>
      </c>
      <c r="E1087" s="19">
        <v>0.27</v>
      </c>
      <c r="F1087" s="10">
        <v>4.4</v>
      </c>
      <c r="G1087" s="11">
        <v>7946.0</v>
      </c>
      <c r="K1087" s="23">
        <v>1999.0</v>
      </c>
    </row>
    <row r="1088">
      <c r="A1088" s="7" t="s">
        <v>1174</v>
      </c>
      <c r="B1088" s="7" t="s">
        <v>1121</v>
      </c>
      <c r="C1088" s="8">
        <v>1199.0</v>
      </c>
      <c r="D1088" s="8">
        <v>1900.0</v>
      </c>
      <c r="E1088" s="19">
        <v>0.37</v>
      </c>
      <c r="F1088" s="10">
        <v>4.0</v>
      </c>
      <c r="G1088" s="11">
        <v>1765.0</v>
      </c>
      <c r="K1088" s="23">
        <v>1999.0</v>
      </c>
    </row>
    <row r="1089">
      <c r="A1089" s="7" t="s">
        <v>1175</v>
      </c>
      <c r="B1089" s="7" t="s">
        <v>1113</v>
      </c>
      <c r="C1089" s="8">
        <v>3249.0</v>
      </c>
      <c r="D1089" s="8">
        <v>6295.0</v>
      </c>
      <c r="E1089" s="19">
        <v>0.48</v>
      </c>
      <c r="F1089" s="10">
        <v>3.8</v>
      </c>
      <c r="G1089" s="11">
        <v>14062.0</v>
      </c>
      <c r="K1089" s="23">
        <v>1999.0</v>
      </c>
    </row>
    <row r="1090">
      <c r="A1090" s="7" t="s">
        <v>1176</v>
      </c>
      <c r="B1090" s="7" t="s">
        <v>1155</v>
      </c>
      <c r="C1090" s="8">
        <v>349.0</v>
      </c>
      <c r="D1090" s="8">
        <v>999.0</v>
      </c>
      <c r="E1090" s="19">
        <v>0.65</v>
      </c>
      <c r="F1090" s="10">
        <v>4.0</v>
      </c>
      <c r="G1090" s="11">
        <v>15646.0</v>
      </c>
      <c r="K1090" s="23">
        <v>1999.0</v>
      </c>
    </row>
    <row r="1091">
      <c r="A1091" s="7" t="s">
        <v>1177</v>
      </c>
      <c r="B1091" s="7" t="s">
        <v>1091</v>
      </c>
      <c r="C1091" s="8">
        <v>1049.0</v>
      </c>
      <c r="D1091" s="8">
        <v>1699.0</v>
      </c>
      <c r="E1091" s="19">
        <v>0.38</v>
      </c>
      <c r="F1091" s="10">
        <v>3.1</v>
      </c>
      <c r="G1091" s="10">
        <v>111.0</v>
      </c>
      <c r="K1091" s="23">
        <v>1999.0</v>
      </c>
    </row>
    <row r="1092">
      <c r="A1092" s="7" t="s">
        <v>1178</v>
      </c>
      <c r="B1092" s="7" t="s">
        <v>1179</v>
      </c>
      <c r="C1092" s="8">
        <v>799.0</v>
      </c>
      <c r="D1092" s="8">
        <v>1500.0</v>
      </c>
      <c r="E1092" s="19">
        <v>0.47</v>
      </c>
      <c r="F1092" s="10">
        <v>4.3</v>
      </c>
      <c r="G1092" s="11">
        <v>9695.0</v>
      </c>
      <c r="K1092" s="23">
        <v>1999.0</v>
      </c>
    </row>
    <row r="1093">
      <c r="A1093" s="7" t="s">
        <v>1180</v>
      </c>
      <c r="B1093" s="7" t="s">
        <v>1123</v>
      </c>
      <c r="C1093" s="8">
        <v>4999.0</v>
      </c>
      <c r="D1093" s="8">
        <v>9650.0</v>
      </c>
      <c r="E1093" s="19">
        <v>0.48</v>
      </c>
      <c r="F1093" s="10">
        <v>4.2</v>
      </c>
      <c r="G1093" s="11">
        <v>1772.0</v>
      </c>
      <c r="K1093" s="23">
        <v>1999.0</v>
      </c>
    </row>
    <row r="1094">
      <c r="A1094" s="7" t="s">
        <v>1181</v>
      </c>
      <c r="B1094" s="7" t="s">
        <v>1113</v>
      </c>
      <c r="C1094" s="8">
        <v>6999.0</v>
      </c>
      <c r="D1094" s="8">
        <v>10590.0</v>
      </c>
      <c r="E1094" s="19">
        <v>0.34</v>
      </c>
      <c r="F1094" s="10">
        <v>4.4</v>
      </c>
      <c r="G1094" s="11">
        <v>11499.0</v>
      </c>
      <c r="K1094" s="23">
        <v>1999.0</v>
      </c>
    </row>
    <row r="1095">
      <c r="A1095" s="7" t="s">
        <v>1182</v>
      </c>
      <c r="B1095" s="7" t="s">
        <v>1095</v>
      </c>
      <c r="C1095" s="8">
        <v>799.0</v>
      </c>
      <c r="D1095" s="8">
        <v>1999.0</v>
      </c>
      <c r="E1095" s="19">
        <v>0.6</v>
      </c>
      <c r="F1095" s="10">
        <v>4.1</v>
      </c>
      <c r="G1095" s="11">
        <v>2162.0</v>
      </c>
      <c r="K1095" s="23">
        <v>1999.0</v>
      </c>
    </row>
    <row r="1096">
      <c r="A1096" s="7" t="s">
        <v>1183</v>
      </c>
      <c r="B1096" s="7" t="s">
        <v>1184</v>
      </c>
      <c r="C1096" s="8">
        <v>89.0</v>
      </c>
      <c r="D1096" s="8">
        <v>89.0</v>
      </c>
      <c r="E1096" s="19">
        <v>0.0</v>
      </c>
      <c r="F1096" s="10">
        <v>4.2</v>
      </c>
      <c r="G1096" s="11">
        <v>19621.0</v>
      </c>
      <c r="K1096" s="23">
        <v>1999.0</v>
      </c>
    </row>
    <row r="1097">
      <c r="A1097" s="7" t="s">
        <v>1185</v>
      </c>
      <c r="B1097" s="7" t="s">
        <v>1186</v>
      </c>
      <c r="C1097" s="8">
        <v>1400.0</v>
      </c>
      <c r="D1097" s="8">
        <v>2485.0</v>
      </c>
      <c r="E1097" s="19">
        <v>0.44</v>
      </c>
      <c r="F1097" s="10">
        <v>4.1</v>
      </c>
      <c r="G1097" s="11">
        <v>19998.0</v>
      </c>
      <c r="K1097" s="23">
        <v>1999.0</v>
      </c>
    </row>
    <row r="1098">
      <c r="A1098" s="7" t="s">
        <v>1187</v>
      </c>
      <c r="B1098" s="7" t="s">
        <v>1137</v>
      </c>
      <c r="C1098" s="8">
        <v>355.0</v>
      </c>
      <c r="D1098" s="8">
        <v>899.0</v>
      </c>
      <c r="E1098" s="19">
        <v>0.61</v>
      </c>
      <c r="F1098" s="10">
        <v>4.1</v>
      </c>
      <c r="G1098" s="11">
        <v>1051.0</v>
      </c>
      <c r="K1098" s="23">
        <v>1999.0</v>
      </c>
    </row>
    <row r="1099">
      <c r="A1099" s="7" t="s">
        <v>1188</v>
      </c>
      <c r="B1099" s="7" t="s">
        <v>1089</v>
      </c>
      <c r="C1099" s="8">
        <v>2169.0</v>
      </c>
      <c r="D1099" s="8">
        <v>3279.0</v>
      </c>
      <c r="E1099" s="19">
        <v>0.34</v>
      </c>
      <c r="F1099" s="10">
        <v>4.1</v>
      </c>
      <c r="G1099" s="11">
        <v>1716.0</v>
      </c>
      <c r="K1099" s="23">
        <v>1999.0</v>
      </c>
    </row>
    <row r="1100">
      <c r="A1100" s="7" t="s">
        <v>1189</v>
      </c>
      <c r="B1100" s="7" t="s">
        <v>1190</v>
      </c>
      <c r="C1100" s="8">
        <v>2799.0</v>
      </c>
      <c r="D1100" s="8">
        <v>3799.0</v>
      </c>
      <c r="E1100" s="19">
        <v>0.26</v>
      </c>
      <c r="F1100" s="10">
        <v>3.9</v>
      </c>
      <c r="G1100" s="11">
        <v>32931.0</v>
      </c>
      <c r="K1100" s="23">
        <v>1999.0</v>
      </c>
    </row>
    <row r="1101">
      <c r="A1101" s="7" t="s">
        <v>1191</v>
      </c>
      <c r="B1101" s="7" t="s">
        <v>1086</v>
      </c>
      <c r="C1101" s="8">
        <v>899.0</v>
      </c>
      <c r="D1101" s="8">
        <v>1249.0</v>
      </c>
      <c r="E1101" s="19">
        <v>0.28</v>
      </c>
      <c r="F1101" s="10">
        <v>3.9</v>
      </c>
      <c r="G1101" s="11">
        <v>17424.0</v>
      </c>
      <c r="K1101" s="23">
        <v>1999.0</v>
      </c>
    </row>
    <row r="1102">
      <c r="A1102" s="7" t="s">
        <v>1192</v>
      </c>
      <c r="B1102" s="7" t="s">
        <v>1117</v>
      </c>
      <c r="C1102" s="8">
        <v>2499.0</v>
      </c>
      <c r="D1102" s="8">
        <v>5000.0</v>
      </c>
      <c r="E1102" s="19">
        <v>0.5</v>
      </c>
      <c r="F1102" s="10">
        <v>3.8</v>
      </c>
      <c r="G1102" s="11">
        <v>1889.0</v>
      </c>
      <c r="K1102" s="23">
        <v>1999.0</v>
      </c>
    </row>
    <row r="1103">
      <c r="A1103" s="7" t="s">
        <v>1193</v>
      </c>
      <c r="B1103" s="7" t="s">
        <v>1115</v>
      </c>
      <c r="C1103" s="8">
        <v>3599.0</v>
      </c>
      <c r="D1103" s="8">
        <v>7299.0</v>
      </c>
      <c r="E1103" s="19">
        <v>0.51</v>
      </c>
      <c r="F1103" s="10">
        <v>4.0</v>
      </c>
      <c r="G1103" s="11">
        <v>10324.0</v>
      </c>
      <c r="K1103" s="23">
        <v>1999.0</v>
      </c>
    </row>
    <row r="1104">
      <c r="A1104" s="7" t="s">
        <v>1194</v>
      </c>
      <c r="B1104" s="7" t="s">
        <v>1111</v>
      </c>
      <c r="C1104" s="8">
        <v>499.0</v>
      </c>
      <c r="D1104" s="8">
        <v>625.0</v>
      </c>
      <c r="E1104" s="19">
        <v>0.2</v>
      </c>
      <c r="F1104" s="10">
        <v>4.2</v>
      </c>
      <c r="G1104" s="11">
        <v>5355.0</v>
      </c>
      <c r="K1104" s="23">
        <v>1999.0</v>
      </c>
    </row>
    <row r="1105">
      <c r="A1105" s="7" t="s">
        <v>1195</v>
      </c>
      <c r="B1105" s="7" t="s">
        <v>1131</v>
      </c>
      <c r="C1105" s="8">
        <v>653.0</v>
      </c>
      <c r="D1105" s="8">
        <v>1020.0</v>
      </c>
      <c r="E1105" s="19">
        <v>0.36</v>
      </c>
      <c r="F1105" s="10">
        <v>4.1</v>
      </c>
      <c r="G1105" s="11">
        <v>3366.0</v>
      </c>
      <c r="K1105" s="23">
        <v>2025.0</v>
      </c>
    </row>
    <row r="1106">
      <c r="A1106" s="7" t="s">
        <v>1196</v>
      </c>
      <c r="B1106" s="7" t="s">
        <v>1197</v>
      </c>
      <c r="C1106" s="8">
        <v>4789.0</v>
      </c>
      <c r="D1106" s="8">
        <v>8990.0</v>
      </c>
      <c r="E1106" s="19">
        <v>0.47</v>
      </c>
      <c r="F1106" s="10">
        <v>4.3</v>
      </c>
      <c r="G1106" s="11">
        <v>1017.0</v>
      </c>
      <c r="K1106" s="23">
        <v>2033.0</v>
      </c>
    </row>
    <row r="1107">
      <c r="A1107" s="7" t="s">
        <v>1198</v>
      </c>
      <c r="B1107" s="7" t="s">
        <v>1199</v>
      </c>
      <c r="C1107" s="8">
        <v>1409.0</v>
      </c>
      <c r="D1107" s="8">
        <v>1639.0</v>
      </c>
      <c r="E1107" s="19">
        <v>0.14</v>
      </c>
      <c r="F1107" s="10">
        <v>3.7</v>
      </c>
      <c r="G1107" s="10">
        <v>787.0</v>
      </c>
      <c r="K1107" s="23">
        <v>2049.0</v>
      </c>
    </row>
    <row r="1108">
      <c r="A1108" s="7" t="s">
        <v>1200</v>
      </c>
      <c r="B1108" s="7" t="s">
        <v>1109</v>
      </c>
      <c r="C1108" s="8">
        <v>753.0</v>
      </c>
      <c r="D1108" s="8">
        <v>899.0</v>
      </c>
      <c r="E1108" s="19">
        <v>0.16</v>
      </c>
      <c r="F1108" s="10">
        <v>4.2</v>
      </c>
      <c r="G1108" s="11">
        <v>18462.0</v>
      </c>
      <c r="K1108" s="23">
        <v>2079.0</v>
      </c>
    </row>
    <row r="1109">
      <c r="A1109" s="7" t="s">
        <v>1201</v>
      </c>
      <c r="B1109" s="7" t="s">
        <v>1155</v>
      </c>
      <c r="C1109" s="8">
        <v>353.0</v>
      </c>
      <c r="D1109" s="8">
        <v>1199.0</v>
      </c>
      <c r="E1109" s="19">
        <v>0.71</v>
      </c>
      <c r="F1109" s="10">
        <v>4.3</v>
      </c>
      <c r="G1109" s="10">
        <v>629.0</v>
      </c>
      <c r="K1109" s="23">
        <v>2088.0</v>
      </c>
    </row>
    <row r="1110">
      <c r="A1110" s="7" t="s">
        <v>1202</v>
      </c>
      <c r="B1110" s="7" t="s">
        <v>1095</v>
      </c>
      <c r="C1110" s="8">
        <v>1099.0</v>
      </c>
      <c r="D1110" s="8">
        <v>1899.0</v>
      </c>
      <c r="E1110" s="19">
        <v>0.42</v>
      </c>
      <c r="F1110" s="10">
        <v>4.3</v>
      </c>
      <c r="G1110" s="11">
        <v>15276.0</v>
      </c>
      <c r="K1110" s="23">
        <v>2089.0</v>
      </c>
    </row>
    <row r="1111">
      <c r="A1111" s="7" t="s">
        <v>1203</v>
      </c>
      <c r="B1111" s="7" t="s">
        <v>1135</v>
      </c>
      <c r="C1111" s="8">
        <v>8799.0</v>
      </c>
      <c r="D1111" s="8">
        <v>11595.0</v>
      </c>
      <c r="E1111" s="19">
        <v>0.24</v>
      </c>
      <c r="F1111" s="10">
        <v>4.4</v>
      </c>
      <c r="G1111" s="11">
        <v>2981.0</v>
      </c>
      <c r="K1111" s="23">
        <v>2092.0</v>
      </c>
    </row>
    <row r="1112">
      <c r="A1112" s="7" t="s">
        <v>1204</v>
      </c>
      <c r="B1112" s="7" t="s">
        <v>1086</v>
      </c>
      <c r="C1112" s="8">
        <v>1345.0</v>
      </c>
      <c r="D1112" s="8">
        <v>1750.0</v>
      </c>
      <c r="E1112" s="19">
        <v>0.23</v>
      </c>
      <c r="F1112" s="10">
        <v>3.8</v>
      </c>
      <c r="G1112" s="11">
        <v>2466.0</v>
      </c>
      <c r="K1112" s="23">
        <v>2095.0</v>
      </c>
    </row>
    <row r="1113">
      <c r="A1113" s="7" t="s">
        <v>1205</v>
      </c>
      <c r="B1113" s="7" t="s">
        <v>1206</v>
      </c>
      <c r="C1113" s="8">
        <v>2095.0</v>
      </c>
      <c r="D1113" s="8">
        <v>2095.0</v>
      </c>
      <c r="E1113" s="19">
        <v>0.0</v>
      </c>
      <c r="F1113" s="10">
        <v>4.5</v>
      </c>
      <c r="G1113" s="11">
        <v>7949.0</v>
      </c>
      <c r="K1113" s="23">
        <v>2099.0</v>
      </c>
    </row>
    <row r="1114">
      <c r="A1114" s="7" t="s">
        <v>1207</v>
      </c>
      <c r="B1114" s="7" t="s">
        <v>1089</v>
      </c>
      <c r="C1114" s="8">
        <v>1498.0</v>
      </c>
      <c r="D1114" s="8">
        <v>2300.0</v>
      </c>
      <c r="E1114" s="19">
        <v>0.35</v>
      </c>
      <c r="F1114" s="10">
        <v>3.8</v>
      </c>
      <c r="G1114" s="10">
        <v>95.0</v>
      </c>
      <c r="K1114" s="23">
        <v>2099.0</v>
      </c>
    </row>
    <row r="1115">
      <c r="A1115" s="7" t="s">
        <v>1208</v>
      </c>
      <c r="B1115" s="7" t="s">
        <v>1209</v>
      </c>
      <c r="C1115" s="8">
        <v>2199.0</v>
      </c>
      <c r="D1115" s="8">
        <v>2990.0</v>
      </c>
      <c r="E1115" s="19">
        <v>0.26</v>
      </c>
      <c r="F1115" s="10">
        <v>3.8</v>
      </c>
      <c r="G1115" s="11">
        <v>1558.0</v>
      </c>
      <c r="K1115" s="23">
        <v>2099.0</v>
      </c>
    </row>
    <row r="1116">
      <c r="A1116" s="7" t="s">
        <v>1210</v>
      </c>
      <c r="B1116" s="7" t="s">
        <v>1113</v>
      </c>
      <c r="C1116" s="8">
        <v>3699.0</v>
      </c>
      <c r="D1116" s="8">
        <v>4295.0</v>
      </c>
      <c r="E1116" s="19">
        <v>0.14</v>
      </c>
      <c r="F1116" s="10">
        <v>4.1</v>
      </c>
      <c r="G1116" s="11">
        <v>26543.0</v>
      </c>
      <c r="K1116" s="23">
        <v>2099.0</v>
      </c>
    </row>
    <row r="1117">
      <c r="A1117" s="7" t="s">
        <v>1211</v>
      </c>
      <c r="B1117" s="7" t="s">
        <v>1137</v>
      </c>
      <c r="C1117" s="8">
        <v>177.0</v>
      </c>
      <c r="D1117" s="8">
        <v>199.0</v>
      </c>
      <c r="E1117" s="19">
        <v>0.11</v>
      </c>
      <c r="F1117" s="10">
        <v>4.1</v>
      </c>
      <c r="G1117" s="11">
        <v>3688.0</v>
      </c>
      <c r="K1117" s="23">
        <v>2148.0</v>
      </c>
    </row>
    <row r="1118">
      <c r="A1118" s="7" t="s">
        <v>1212</v>
      </c>
      <c r="B1118" s="7" t="s">
        <v>1113</v>
      </c>
      <c r="C1118" s="8">
        <v>1149.0</v>
      </c>
      <c r="D1118" s="8">
        <v>2499.0</v>
      </c>
      <c r="E1118" s="19">
        <v>0.54</v>
      </c>
      <c r="F1118" s="10">
        <v>3.8</v>
      </c>
      <c r="G1118" s="11">
        <v>4383.0</v>
      </c>
      <c r="K1118" s="23">
        <v>2169.0</v>
      </c>
    </row>
    <row r="1119">
      <c r="A1119" s="7" t="s">
        <v>1213</v>
      </c>
      <c r="B1119" s="7" t="s">
        <v>1214</v>
      </c>
      <c r="C1119" s="8">
        <v>244.0</v>
      </c>
      <c r="D1119" s="8">
        <v>499.0</v>
      </c>
      <c r="E1119" s="19">
        <v>0.51</v>
      </c>
      <c r="F1119" s="10">
        <v>3.3</v>
      </c>
      <c r="G1119" s="10">
        <v>478.0</v>
      </c>
      <c r="K1119" s="23">
        <v>2179.0</v>
      </c>
    </row>
    <row r="1120">
      <c r="A1120" s="7" t="s">
        <v>1215</v>
      </c>
      <c r="B1120" s="7" t="s">
        <v>1089</v>
      </c>
      <c r="C1120" s="8">
        <v>1959.0</v>
      </c>
      <c r="D1120" s="8">
        <v>2400.0</v>
      </c>
      <c r="E1120" s="19">
        <v>0.18</v>
      </c>
      <c r="F1120" s="10">
        <v>4.0</v>
      </c>
      <c r="G1120" s="10">
        <v>237.0</v>
      </c>
      <c r="K1120" s="23">
        <v>2199.0</v>
      </c>
    </row>
    <row r="1121">
      <c r="A1121" s="7" t="s">
        <v>1216</v>
      </c>
      <c r="B1121" s="7" t="s">
        <v>1093</v>
      </c>
      <c r="C1121" s="8">
        <v>319.0</v>
      </c>
      <c r="D1121" s="8">
        <v>749.0</v>
      </c>
      <c r="E1121" s="19">
        <v>0.57</v>
      </c>
      <c r="F1121" s="10">
        <v>4.6</v>
      </c>
      <c r="G1121" s="10">
        <v>124.0</v>
      </c>
      <c r="K1121" s="23">
        <v>2199.0</v>
      </c>
    </row>
    <row r="1122">
      <c r="A1122" s="7" t="s">
        <v>1217</v>
      </c>
      <c r="B1122" s="7" t="s">
        <v>1086</v>
      </c>
      <c r="C1122" s="8">
        <v>1499.0</v>
      </c>
      <c r="D1122" s="8">
        <v>1775.0</v>
      </c>
      <c r="E1122" s="19">
        <v>0.16</v>
      </c>
      <c r="F1122" s="10">
        <v>3.9</v>
      </c>
      <c r="G1122" s="11">
        <v>14667.0</v>
      </c>
      <c r="K1122" s="23">
        <v>2199.0</v>
      </c>
    </row>
    <row r="1123">
      <c r="A1123" s="7" t="s">
        <v>1218</v>
      </c>
      <c r="B1123" s="7" t="s">
        <v>1093</v>
      </c>
      <c r="C1123" s="8">
        <v>469.0</v>
      </c>
      <c r="D1123" s="8">
        <v>1599.0</v>
      </c>
      <c r="E1123" s="19">
        <v>0.71</v>
      </c>
      <c r="F1123" s="10">
        <v>3.7</v>
      </c>
      <c r="G1123" s="10">
        <v>6.0</v>
      </c>
      <c r="K1123" s="23">
        <v>2199.0</v>
      </c>
    </row>
    <row r="1124">
      <c r="A1124" s="7" t="s">
        <v>1219</v>
      </c>
      <c r="B1124" s="7" t="s">
        <v>1206</v>
      </c>
      <c r="C1124" s="8">
        <v>1099.0</v>
      </c>
      <c r="D1124" s="8">
        <v>1795.0</v>
      </c>
      <c r="E1124" s="19">
        <v>0.39</v>
      </c>
      <c r="F1124" s="10">
        <v>4.2</v>
      </c>
      <c r="G1124" s="11">
        <v>4244.0</v>
      </c>
      <c r="K1124" s="23">
        <v>2199.0</v>
      </c>
    </row>
    <row r="1125">
      <c r="A1125" s="7" t="s">
        <v>1220</v>
      </c>
      <c r="B1125" s="7" t="s">
        <v>1091</v>
      </c>
      <c r="C1125" s="8">
        <v>9590.0</v>
      </c>
      <c r="D1125" s="8">
        <v>15999.0</v>
      </c>
      <c r="E1125" s="19">
        <v>0.4</v>
      </c>
      <c r="F1125" s="10">
        <v>4.1</v>
      </c>
      <c r="G1125" s="11">
        <v>1017.0</v>
      </c>
      <c r="K1125" s="23">
        <v>2199.0</v>
      </c>
    </row>
    <row r="1126">
      <c r="A1126" s="7" t="s">
        <v>1221</v>
      </c>
      <c r="B1126" s="7" t="s">
        <v>1222</v>
      </c>
      <c r="C1126" s="8">
        <v>999.0</v>
      </c>
      <c r="D1126" s="8">
        <v>1490.0</v>
      </c>
      <c r="E1126" s="19">
        <v>0.33</v>
      </c>
      <c r="F1126" s="10">
        <v>4.1</v>
      </c>
      <c r="G1126" s="11">
        <v>12999.0</v>
      </c>
      <c r="K1126" s="23">
        <v>2199.0</v>
      </c>
    </row>
    <row r="1127">
      <c r="A1127" s="7" t="s">
        <v>1223</v>
      </c>
      <c r="B1127" s="7" t="s">
        <v>1121</v>
      </c>
      <c r="C1127" s="8">
        <v>1299.0</v>
      </c>
      <c r="D1127" s="8">
        <v>1999.0</v>
      </c>
      <c r="E1127" s="19">
        <v>0.35</v>
      </c>
      <c r="F1127" s="10">
        <v>3.8</v>
      </c>
      <c r="G1127" s="10">
        <v>311.0</v>
      </c>
      <c r="K1127" s="23">
        <v>2199.0</v>
      </c>
    </row>
    <row r="1128">
      <c r="A1128" s="7" t="s">
        <v>1224</v>
      </c>
      <c r="B1128" s="7" t="s">
        <v>1225</v>
      </c>
      <c r="C1128" s="8">
        <v>292.0</v>
      </c>
      <c r="D1128" s="8">
        <v>499.0</v>
      </c>
      <c r="E1128" s="19">
        <v>0.41</v>
      </c>
      <c r="F1128" s="10">
        <v>4.1</v>
      </c>
      <c r="G1128" s="11">
        <v>4238.0</v>
      </c>
      <c r="K1128" s="23">
        <v>2219.0</v>
      </c>
    </row>
    <row r="1129">
      <c r="A1129" s="7" t="s">
        <v>1226</v>
      </c>
      <c r="B1129" s="7" t="s">
        <v>1184</v>
      </c>
      <c r="C1129" s="8">
        <v>160.0</v>
      </c>
      <c r="D1129" s="8">
        <v>299.0</v>
      </c>
      <c r="E1129" s="19">
        <v>0.46</v>
      </c>
      <c r="F1129" s="10">
        <v>4.6</v>
      </c>
      <c r="G1129" s="11">
        <v>2781.0</v>
      </c>
      <c r="K1129" s="23">
        <v>2237.81</v>
      </c>
    </row>
    <row r="1130">
      <c r="A1130" s="7" t="s">
        <v>1227</v>
      </c>
      <c r="B1130" s="7" t="s">
        <v>1228</v>
      </c>
      <c r="C1130" s="8">
        <v>600.0</v>
      </c>
      <c r="D1130" s="8">
        <v>600.0</v>
      </c>
      <c r="E1130" s="19">
        <v>0.0</v>
      </c>
      <c r="F1130" s="10">
        <v>4.1</v>
      </c>
      <c r="G1130" s="11">
        <v>10907.0</v>
      </c>
      <c r="K1130" s="23">
        <v>2249.0</v>
      </c>
    </row>
    <row r="1131">
      <c r="A1131" s="7" t="s">
        <v>1229</v>
      </c>
      <c r="B1131" s="7" t="s">
        <v>1230</v>
      </c>
      <c r="C1131" s="8">
        <v>1130.0</v>
      </c>
      <c r="D1131" s="8">
        <v>1130.0</v>
      </c>
      <c r="E1131" s="19">
        <v>0.0</v>
      </c>
      <c r="F1131" s="10">
        <v>4.2</v>
      </c>
      <c r="G1131" s="11">
        <v>13250.0</v>
      </c>
      <c r="K1131" s="23">
        <v>2280.0</v>
      </c>
    </row>
    <row r="1132">
      <c r="A1132" s="7" t="s">
        <v>1231</v>
      </c>
      <c r="B1132" s="7" t="s">
        <v>1113</v>
      </c>
      <c r="C1132" s="8">
        <v>3249.0</v>
      </c>
      <c r="D1132" s="8">
        <v>6295.0</v>
      </c>
      <c r="E1132" s="19">
        <v>0.48</v>
      </c>
      <c r="F1132" s="10">
        <v>3.9</v>
      </c>
      <c r="G1132" s="11">
        <v>43070.0</v>
      </c>
      <c r="K1132" s="23">
        <v>2286.0</v>
      </c>
    </row>
    <row r="1133">
      <c r="A1133" s="7" t="s">
        <v>1232</v>
      </c>
      <c r="B1133" s="7" t="s">
        <v>1113</v>
      </c>
      <c r="C1133" s="8">
        <v>3599.0</v>
      </c>
      <c r="D1133" s="8">
        <v>9455.0</v>
      </c>
      <c r="E1133" s="19">
        <v>0.62</v>
      </c>
      <c r="F1133" s="10">
        <v>4.1</v>
      </c>
      <c r="G1133" s="11">
        <v>11828.0</v>
      </c>
      <c r="K1133" s="23">
        <v>2299.0</v>
      </c>
    </row>
    <row r="1134">
      <c r="A1134" s="7" t="s">
        <v>1233</v>
      </c>
      <c r="B1134" s="7" t="s">
        <v>1155</v>
      </c>
      <c r="C1134" s="8">
        <v>368.0</v>
      </c>
      <c r="D1134" s="8">
        <v>699.0</v>
      </c>
      <c r="E1134" s="19">
        <v>0.47</v>
      </c>
      <c r="F1134" s="10">
        <v>4.1</v>
      </c>
      <c r="G1134" s="11">
        <v>1240.0</v>
      </c>
      <c r="K1134" s="23">
        <v>2299.0</v>
      </c>
    </row>
    <row r="1135">
      <c r="A1135" s="7" t="s">
        <v>1234</v>
      </c>
      <c r="B1135" s="7" t="s">
        <v>1113</v>
      </c>
      <c r="C1135" s="8">
        <v>3199.0</v>
      </c>
      <c r="D1135" s="8">
        <v>4999.0</v>
      </c>
      <c r="E1135" s="19">
        <v>0.36</v>
      </c>
      <c r="F1135" s="10">
        <v>4.0</v>
      </c>
      <c r="G1135" s="11">
        <v>20869.0</v>
      </c>
      <c r="K1135" s="23">
        <v>2299.0</v>
      </c>
    </row>
    <row r="1136">
      <c r="A1136" s="7" t="s">
        <v>1235</v>
      </c>
      <c r="B1136" s="7" t="s">
        <v>1236</v>
      </c>
      <c r="C1136" s="8">
        <v>1599.0</v>
      </c>
      <c r="D1136" s="8">
        <v>2900.0</v>
      </c>
      <c r="E1136" s="19">
        <v>0.45</v>
      </c>
      <c r="F1136" s="10">
        <v>3.7</v>
      </c>
      <c r="G1136" s="10">
        <v>441.0</v>
      </c>
      <c r="K1136" s="23">
        <v>2299.0</v>
      </c>
    </row>
    <row r="1137">
      <c r="A1137" s="7" t="s">
        <v>1237</v>
      </c>
      <c r="B1137" s="7" t="s">
        <v>1109</v>
      </c>
      <c r="C1137" s="8">
        <v>1999.0</v>
      </c>
      <c r="D1137" s="8">
        <v>2499.0</v>
      </c>
      <c r="E1137" s="19">
        <v>0.2</v>
      </c>
      <c r="F1137" s="10">
        <v>4.1</v>
      </c>
      <c r="G1137" s="11">
        <v>1034.0</v>
      </c>
      <c r="K1137" s="23">
        <v>2320.0</v>
      </c>
    </row>
    <row r="1138">
      <c r="A1138" s="7" t="s">
        <v>1238</v>
      </c>
      <c r="B1138" s="7" t="s">
        <v>1111</v>
      </c>
      <c r="C1138" s="8">
        <v>616.0</v>
      </c>
      <c r="D1138" s="8">
        <v>1190.0</v>
      </c>
      <c r="E1138" s="19">
        <v>0.48</v>
      </c>
      <c r="F1138" s="10">
        <v>4.1</v>
      </c>
      <c r="G1138" s="11">
        <v>37126.0</v>
      </c>
      <c r="K1138" s="23">
        <v>2339.0</v>
      </c>
    </row>
    <row r="1139">
      <c r="A1139" s="7" t="s">
        <v>1239</v>
      </c>
      <c r="B1139" s="7" t="s">
        <v>1109</v>
      </c>
      <c r="C1139" s="8">
        <v>1499.0</v>
      </c>
      <c r="D1139" s="8">
        <v>2100.0</v>
      </c>
      <c r="E1139" s="19">
        <v>0.29</v>
      </c>
      <c r="F1139" s="10">
        <v>4.1</v>
      </c>
      <c r="G1139" s="11">
        <v>6355.0</v>
      </c>
      <c r="K1139" s="23">
        <v>2399.0</v>
      </c>
    </row>
    <row r="1140">
      <c r="A1140" s="7" t="s">
        <v>1240</v>
      </c>
      <c r="B1140" s="7" t="s">
        <v>1184</v>
      </c>
      <c r="C1140" s="8">
        <v>199.0</v>
      </c>
      <c r="D1140" s="8">
        <v>499.0</v>
      </c>
      <c r="E1140" s="19">
        <v>0.6</v>
      </c>
      <c r="F1140" s="10">
        <v>3.3</v>
      </c>
      <c r="G1140" s="10">
        <v>12.0</v>
      </c>
      <c r="K1140" s="23">
        <v>2399.0</v>
      </c>
    </row>
    <row r="1141">
      <c r="A1141" s="7" t="s">
        <v>1241</v>
      </c>
      <c r="B1141" s="7" t="s">
        <v>1131</v>
      </c>
      <c r="C1141" s="8">
        <v>610.0</v>
      </c>
      <c r="D1141" s="8">
        <v>825.0</v>
      </c>
      <c r="E1141" s="19">
        <v>0.26</v>
      </c>
      <c r="F1141" s="10">
        <v>4.1</v>
      </c>
      <c r="G1141" s="11">
        <v>13165.0</v>
      </c>
      <c r="K1141" s="23">
        <v>2439.0</v>
      </c>
    </row>
    <row r="1142">
      <c r="A1142" s="7" t="s">
        <v>1242</v>
      </c>
      <c r="B1142" s="7" t="s">
        <v>1173</v>
      </c>
      <c r="C1142" s="8">
        <v>999.0</v>
      </c>
      <c r="D1142" s="8">
        <v>1499.0</v>
      </c>
      <c r="E1142" s="19">
        <v>0.33</v>
      </c>
      <c r="F1142" s="10">
        <v>4.1</v>
      </c>
      <c r="G1142" s="11">
        <v>1646.0</v>
      </c>
      <c r="K1142" s="23">
        <v>2449.0</v>
      </c>
    </row>
    <row r="1143">
      <c r="A1143" s="7" t="s">
        <v>1243</v>
      </c>
      <c r="B1143" s="7" t="s">
        <v>1190</v>
      </c>
      <c r="C1143" s="8">
        <v>8999.0</v>
      </c>
      <c r="D1143" s="8">
        <v>9995.0</v>
      </c>
      <c r="E1143" s="19">
        <v>0.1</v>
      </c>
      <c r="F1143" s="10">
        <v>4.4</v>
      </c>
      <c r="G1143" s="11">
        <v>17994.0</v>
      </c>
      <c r="K1143" s="23">
        <v>2464.0</v>
      </c>
    </row>
    <row r="1144">
      <c r="A1144" s="7" t="s">
        <v>1244</v>
      </c>
      <c r="B1144" s="7" t="s">
        <v>1093</v>
      </c>
      <c r="C1144" s="8">
        <v>453.0</v>
      </c>
      <c r="D1144" s="8">
        <v>999.0</v>
      </c>
      <c r="E1144" s="19">
        <v>0.55</v>
      </c>
      <c r="F1144" s="10">
        <v>4.3</v>
      </c>
      <c r="G1144" s="10">
        <v>610.0</v>
      </c>
      <c r="K1144" s="23">
        <v>2490.0</v>
      </c>
    </row>
    <row r="1145">
      <c r="A1145" s="7" t="s">
        <v>1245</v>
      </c>
      <c r="B1145" s="7" t="s">
        <v>1113</v>
      </c>
      <c r="C1145" s="8">
        <v>2464.0</v>
      </c>
      <c r="D1145" s="8">
        <v>6000.0</v>
      </c>
      <c r="E1145" s="19">
        <v>0.59</v>
      </c>
      <c r="F1145" s="10">
        <v>4.1</v>
      </c>
      <c r="G1145" s="11">
        <v>8866.0</v>
      </c>
      <c r="K1145" s="23">
        <v>2499.0</v>
      </c>
    </row>
    <row r="1146">
      <c r="A1146" s="7" t="s">
        <v>1246</v>
      </c>
      <c r="B1146" s="7" t="s">
        <v>1236</v>
      </c>
      <c r="C1146" s="8">
        <v>2719.0</v>
      </c>
      <c r="D1146" s="8">
        <v>3945.0</v>
      </c>
      <c r="E1146" s="19">
        <v>0.31</v>
      </c>
      <c r="F1146" s="10">
        <v>3.7</v>
      </c>
      <c r="G1146" s="11">
        <v>13406.0</v>
      </c>
      <c r="K1146" s="23">
        <v>2499.0</v>
      </c>
    </row>
    <row r="1147">
      <c r="A1147" s="7" t="s">
        <v>1247</v>
      </c>
      <c r="B1147" s="7" t="s">
        <v>1115</v>
      </c>
      <c r="C1147" s="8">
        <v>1439.0</v>
      </c>
      <c r="D1147" s="8">
        <v>1999.0</v>
      </c>
      <c r="E1147" s="19">
        <v>0.28</v>
      </c>
      <c r="F1147" s="10">
        <v>4.8</v>
      </c>
      <c r="G1147" s="11">
        <v>53803.0</v>
      </c>
      <c r="K1147" s="23">
        <v>2499.0</v>
      </c>
    </row>
    <row r="1148">
      <c r="A1148" s="7" t="s">
        <v>1248</v>
      </c>
      <c r="B1148" s="7" t="s">
        <v>1109</v>
      </c>
      <c r="C1148" s="8">
        <v>2799.0</v>
      </c>
      <c r="D1148" s="8">
        <v>3499.0</v>
      </c>
      <c r="E1148" s="19">
        <v>0.2</v>
      </c>
      <c r="F1148" s="10">
        <v>4.5</v>
      </c>
      <c r="G1148" s="10">
        <v>546.0</v>
      </c>
      <c r="K1148" s="23">
        <v>2499.0</v>
      </c>
    </row>
    <row r="1149">
      <c r="A1149" s="7" t="s">
        <v>1249</v>
      </c>
      <c r="B1149" s="7" t="s">
        <v>1115</v>
      </c>
      <c r="C1149" s="8">
        <v>2088.0</v>
      </c>
      <c r="D1149" s="8">
        <v>5550.0</v>
      </c>
      <c r="E1149" s="19">
        <v>0.62</v>
      </c>
      <c r="F1149" s="10">
        <v>4.0</v>
      </c>
      <c r="G1149" s="11">
        <v>5292.0</v>
      </c>
      <c r="K1149" s="23">
        <v>2499.0</v>
      </c>
    </row>
    <row r="1150">
      <c r="A1150" s="7" t="s">
        <v>1250</v>
      </c>
      <c r="B1150" s="7" t="s">
        <v>1115</v>
      </c>
      <c r="C1150" s="8">
        <v>2399.0</v>
      </c>
      <c r="D1150" s="8">
        <v>4590.0</v>
      </c>
      <c r="E1150" s="19">
        <v>0.48</v>
      </c>
      <c r="F1150" s="10">
        <v>4.1</v>
      </c>
      <c r="G1150" s="10">
        <v>444.0</v>
      </c>
      <c r="K1150" s="23">
        <v>2499.0</v>
      </c>
    </row>
    <row r="1151">
      <c r="A1151" s="7" t="s">
        <v>1251</v>
      </c>
      <c r="B1151" s="7" t="s">
        <v>1095</v>
      </c>
      <c r="C1151" s="8">
        <v>308.0</v>
      </c>
      <c r="D1151" s="8">
        <v>499.0</v>
      </c>
      <c r="E1151" s="19">
        <v>0.38</v>
      </c>
      <c r="F1151" s="10">
        <v>3.9</v>
      </c>
      <c r="G1151" s="11">
        <v>4584.0</v>
      </c>
      <c r="K1151" s="23">
        <v>2499.0</v>
      </c>
    </row>
    <row r="1152">
      <c r="A1152" s="7" t="s">
        <v>1252</v>
      </c>
      <c r="B1152" s="7" t="s">
        <v>1115</v>
      </c>
      <c r="C1152" s="8">
        <v>2599.0</v>
      </c>
      <c r="D1152" s="8">
        <v>4400.0</v>
      </c>
      <c r="E1152" s="19">
        <v>0.41</v>
      </c>
      <c r="F1152" s="10">
        <v>4.1</v>
      </c>
      <c r="G1152" s="11">
        <v>14947.0</v>
      </c>
      <c r="K1152" s="23">
        <v>2499.0</v>
      </c>
    </row>
    <row r="1153">
      <c r="A1153" s="7" t="s">
        <v>1253</v>
      </c>
      <c r="B1153" s="7" t="s">
        <v>1111</v>
      </c>
      <c r="C1153" s="8">
        <v>479.0</v>
      </c>
      <c r="D1153" s="8">
        <v>1000.0</v>
      </c>
      <c r="E1153" s="19">
        <v>0.52</v>
      </c>
      <c r="F1153" s="10">
        <v>4.2</v>
      </c>
      <c r="G1153" s="11">
        <v>1559.0</v>
      </c>
      <c r="K1153" s="23">
        <v>2499.0</v>
      </c>
    </row>
    <row r="1154">
      <c r="A1154" s="7" t="s">
        <v>1254</v>
      </c>
      <c r="B1154" s="7" t="s">
        <v>1093</v>
      </c>
      <c r="C1154" s="8">
        <v>245.0</v>
      </c>
      <c r="D1154" s="8">
        <v>299.0</v>
      </c>
      <c r="E1154" s="19">
        <v>0.18</v>
      </c>
      <c r="F1154" s="10">
        <v>4.1</v>
      </c>
      <c r="G1154" s="11">
        <v>1660.0</v>
      </c>
      <c r="K1154" s="23">
        <v>2499.0</v>
      </c>
    </row>
    <row r="1155">
      <c r="A1155" s="7" t="s">
        <v>1255</v>
      </c>
      <c r="B1155" s="7" t="s">
        <v>1093</v>
      </c>
      <c r="C1155" s="8">
        <v>179.0</v>
      </c>
      <c r="D1155" s="8">
        <v>799.0</v>
      </c>
      <c r="E1155" s="19">
        <v>0.78</v>
      </c>
      <c r="F1155" s="10">
        <v>3.5</v>
      </c>
      <c r="G1155" s="10">
        <v>132.0</v>
      </c>
      <c r="K1155" s="23">
        <v>2499.0</v>
      </c>
    </row>
    <row r="1156">
      <c r="A1156" s="7" t="s">
        <v>1256</v>
      </c>
      <c r="B1156" s="7" t="s">
        <v>1186</v>
      </c>
      <c r="C1156" s="8">
        <v>3569.0</v>
      </c>
      <c r="D1156" s="8">
        <v>5190.0</v>
      </c>
      <c r="E1156" s="19">
        <v>0.31</v>
      </c>
      <c r="F1156" s="10">
        <v>4.3</v>
      </c>
      <c r="G1156" s="11">
        <v>28629.0</v>
      </c>
      <c r="K1156" s="23">
        <v>2499.0</v>
      </c>
    </row>
    <row r="1157">
      <c r="A1157" s="7" t="s">
        <v>1257</v>
      </c>
      <c r="B1157" s="7" t="s">
        <v>1086</v>
      </c>
      <c r="C1157" s="8">
        <v>699.0</v>
      </c>
      <c r="D1157" s="8">
        <v>1345.0</v>
      </c>
      <c r="E1157" s="19">
        <v>0.48</v>
      </c>
      <c r="F1157" s="10">
        <v>3.9</v>
      </c>
      <c r="G1157" s="11">
        <v>8446.0</v>
      </c>
      <c r="K1157" s="23">
        <v>2499.0</v>
      </c>
    </row>
    <row r="1158">
      <c r="A1158" s="7" t="s">
        <v>1258</v>
      </c>
      <c r="B1158" s="7" t="s">
        <v>1104</v>
      </c>
      <c r="C1158" s="8">
        <v>2089.0</v>
      </c>
      <c r="D1158" s="8">
        <v>4000.0</v>
      </c>
      <c r="E1158" s="19">
        <v>0.48</v>
      </c>
      <c r="F1158" s="10">
        <v>4.2</v>
      </c>
      <c r="G1158" s="11">
        <v>11199.0</v>
      </c>
      <c r="K1158" s="23">
        <v>2575.0</v>
      </c>
    </row>
    <row r="1159">
      <c r="A1159" s="7" t="s">
        <v>1259</v>
      </c>
      <c r="B1159" s="7" t="s">
        <v>1260</v>
      </c>
      <c r="C1159" s="8">
        <v>2339.0</v>
      </c>
      <c r="D1159" s="8">
        <v>4000.0</v>
      </c>
      <c r="E1159" s="19">
        <v>0.42</v>
      </c>
      <c r="F1159" s="10">
        <v>3.8</v>
      </c>
      <c r="G1159" s="11">
        <v>1118.0</v>
      </c>
      <c r="K1159" s="23">
        <v>2590.0</v>
      </c>
    </row>
    <row r="1160">
      <c r="A1160" s="7" t="s">
        <v>1261</v>
      </c>
      <c r="B1160" s="7" t="s">
        <v>1091</v>
      </c>
      <c r="C1160" s="8">
        <v>784.0</v>
      </c>
      <c r="D1160" s="8">
        <v>1599.0</v>
      </c>
      <c r="E1160" s="19">
        <v>0.51</v>
      </c>
      <c r="F1160" s="10">
        <v>4.5</v>
      </c>
      <c r="G1160" s="10">
        <v>11.0</v>
      </c>
      <c r="K1160" s="23">
        <v>2595.0</v>
      </c>
    </row>
    <row r="1161">
      <c r="A1161" s="7" t="s">
        <v>1262</v>
      </c>
      <c r="B1161" s="7" t="s">
        <v>1263</v>
      </c>
      <c r="C1161" s="8">
        <v>5499.0</v>
      </c>
      <c r="D1161" s="8">
        <v>9999.0</v>
      </c>
      <c r="E1161" s="19">
        <v>0.45</v>
      </c>
      <c r="F1161" s="10">
        <v>3.8</v>
      </c>
      <c r="G1161" s="11">
        <v>4353.0</v>
      </c>
      <c r="K1161" s="23">
        <v>2599.0</v>
      </c>
    </row>
    <row r="1162">
      <c r="A1162" s="7" t="s">
        <v>1264</v>
      </c>
      <c r="B1162" s="7" t="s">
        <v>1091</v>
      </c>
      <c r="C1162" s="8">
        <v>899.0</v>
      </c>
      <c r="D1162" s="8">
        <v>1990.0</v>
      </c>
      <c r="E1162" s="19">
        <v>0.55</v>
      </c>
      <c r="F1162" s="10">
        <v>4.1</v>
      </c>
      <c r="G1162" s="10">
        <v>185.0</v>
      </c>
      <c r="K1162" s="23">
        <v>2599.0</v>
      </c>
    </row>
    <row r="1163">
      <c r="A1163" s="7" t="s">
        <v>1265</v>
      </c>
      <c r="B1163" s="7" t="s">
        <v>1109</v>
      </c>
      <c r="C1163" s="8">
        <v>1695.0</v>
      </c>
      <c r="D1163" s="8">
        <v>1695.0</v>
      </c>
      <c r="E1163" s="19">
        <v>0.0</v>
      </c>
      <c r="F1163" s="10">
        <v>4.2</v>
      </c>
      <c r="G1163" s="11">
        <v>14290.0</v>
      </c>
      <c r="K1163" s="23">
        <v>2599.0</v>
      </c>
    </row>
    <row r="1164">
      <c r="A1164" s="7" t="s">
        <v>1266</v>
      </c>
      <c r="B1164" s="7" t="s">
        <v>1111</v>
      </c>
      <c r="C1164" s="8">
        <v>499.0</v>
      </c>
      <c r="D1164" s="8">
        <v>940.0</v>
      </c>
      <c r="E1164" s="19">
        <v>0.47</v>
      </c>
      <c r="F1164" s="10">
        <v>4.1</v>
      </c>
      <c r="G1164" s="11">
        <v>3036.0</v>
      </c>
      <c r="K1164" s="23">
        <v>2599.0</v>
      </c>
    </row>
    <row r="1165">
      <c r="A1165" s="7" t="s">
        <v>1267</v>
      </c>
      <c r="B1165" s="7" t="s">
        <v>1115</v>
      </c>
      <c r="C1165" s="8">
        <v>2699.0</v>
      </c>
      <c r="D1165" s="8">
        <v>4700.0</v>
      </c>
      <c r="E1165" s="19">
        <v>0.43</v>
      </c>
      <c r="F1165" s="10">
        <v>4.2</v>
      </c>
      <c r="G1165" s="11">
        <v>1296.0</v>
      </c>
      <c r="K1165" s="23">
        <v>2599.0</v>
      </c>
    </row>
    <row r="1166">
      <c r="A1166" s="7" t="s">
        <v>1268</v>
      </c>
      <c r="B1166" s="7" t="s">
        <v>1115</v>
      </c>
      <c r="C1166" s="8">
        <v>1448.0</v>
      </c>
      <c r="D1166" s="8">
        <v>2999.0</v>
      </c>
      <c r="E1166" s="19">
        <v>0.52</v>
      </c>
      <c r="F1166" s="10">
        <v>4.5</v>
      </c>
      <c r="G1166" s="10">
        <v>19.0</v>
      </c>
      <c r="K1166" s="23">
        <v>2599.0</v>
      </c>
    </row>
    <row r="1167">
      <c r="A1167" s="7" t="s">
        <v>1269</v>
      </c>
      <c r="B1167" s="7" t="s">
        <v>1184</v>
      </c>
      <c r="C1167" s="8">
        <v>79.0</v>
      </c>
      <c r="D1167" s="8">
        <v>79.0</v>
      </c>
      <c r="E1167" s="19">
        <v>0.0</v>
      </c>
      <c r="F1167" s="10">
        <v>4.0</v>
      </c>
      <c r="G1167" s="10">
        <v>97.0</v>
      </c>
      <c r="K1167" s="23">
        <v>2599.0</v>
      </c>
    </row>
    <row r="1168">
      <c r="A1168" s="7" t="s">
        <v>1270</v>
      </c>
      <c r="B1168" s="7" t="s">
        <v>1123</v>
      </c>
      <c r="C1168" s="8">
        <v>6990.0</v>
      </c>
      <c r="D1168" s="8">
        <v>14290.0</v>
      </c>
      <c r="E1168" s="19">
        <v>0.51</v>
      </c>
      <c r="F1168" s="10">
        <v>4.4</v>
      </c>
      <c r="G1168" s="11">
        <v>1771.0</v>
      </c>
      <c r="K1168" s="23">
        <v>2599.0</v>
      </c>
    </row>
    <row r="1169">
      <c r="A1169" s="7" t="s">
        <v>1271</v>
      </c>
      <c r="B1169" s="7" t="s">
        <v>1104</v>
      </c>
      <c r="C1169" s="8">
        <v>2698.0</v>
      </c>
      <c r="D1169" s="8">
        <v>3945.0</v>
      </c>
      <c r="E1169" s="19">
        <v>0.32</v>
      </c>
      <c r="F1169" s="10">
        <v>4.0</v>
      </c>
      <c r="G1169" s="11">
        <v>15034.0</v>
      </c>
      <c r="K1169" s="23">
        <v>2640.0</v>
      </c>
    </row>
    <row r="1170">
      <c r="A1170" s="7" t="s">
        <v>1272</v>
      </c>
      <c r="B1170" s="7" t="s">
        <v>1263</v>
      </c>
      <c r="C1170" s="8">
        <v>3199.0</v>
      </c>
      <c r="D1170" s="8">
        <v>5999.0</v>
      </c>
      <c r="E1170" s="19">
        <v>0.47</v>
      </c>
      <c r="F1170" s="10">
        <v>4.0</v>
      </c>
      <c r="G1170" s="11">
        <v>3242.0</v>
      </c>
      <c r="K1170" s="23">
        <v>2649.0</v>
      </c>
    </row>
    <row r="1171">
      <c r="A1171" s="7" t="s">
        <v>1273</v>
      </c>
      <c r="B1171" s="7" t="s">
        <v>1121</v>
      </c>
      <c r="C1171" s="8">
        <v>1199.0</v>
      </c>
      <c r="D1171" s="8">
        <v>1950.0</v>
      </c>
      <c r="E1171" s="19">
        <v>0.39</v>
      </c>
      <c r="F1171" s="10">
        <v>3.9</v>
      </c>
      <c r="G1171" s="11">
        <v>2832.0</v>
      </c>
      <c r="K1171" s="23">
        <v>2669.0</v>
      </c>
    </row>
    <row r="1172">
      <c r="A1172" s="7" t="s">
        <v>1274</v>
      </c>
      <c r="B1172" s="7" t="s">
        <v>1173</v>
      </c>
      <c r="C1172" s="8">
        <v>1414.0</v>
      </c>
      <c r="D1172" s="8">
        <v>2799.0</v>
      </c>
      <c r="E1172" s="19">
        <v>0.49</v>
      </c>
      <c r="F1172" s="10">
        <v>4.0</v>
      </c>
      <c r="G1172" s="11">
        <v>1498.0</v>
      </c>
      <c r="K1172" s="23">
        <v>2695.0</v>
      </c>
    </row>
    <row r="1173">
      <c r="A1173" s="7" t="s">
        <v>1275</v>
      </c>
      <c r="B1173" s="7" t="s">
        <v>1086</v>
      </c>
      <c r="C1173" s="8">
        <v>999.0</v>
      </c>
      <c r="D1173" s="8">
        <v>1950.0</v>
      </c>
      <c r="E1173" s="19">
        <v>0.49</v>
      </c>
      <c r="F1173" s="10">
        <v>3.8</v>
      </c>
      <c r="G1173" s="10">
        <v>305.0</v>
      </c>
      <c r="K1173" s="23">
        <v>2698.0</v>
      </c>
    </row>
    <row r="1174">
      <c r="A1174" s="7" t="s">
        <v>1276</v>
      </c>
      <c r="B1174" s="7" t="s">
        <v>1190</v>
      </c>
      <c r="C1174" s="8">
        <v>5999.0</v>
      </c>
      <c r="D1174" s="8">
        <v>9999.0</v>
      </c>
      <c r="E1174" s="19">
        <v>0.4</v>
      </c>
      <c r="F1174" s="10">
        <v>4.2</v>
      </c>
      <c r="G1174" s="11">
        <v>1191.0</v>
      </c>
      <c r="K1174" s="23">
        <v>2699.0</v>
      </c>
    </row>
    <row r="1175">
      <c r="A1175" s="7" t="s">
        <v>1277</v>
      </c>
      <c r="B1175" s="7" t="s">
        <v>1278</v>
      </c>
      <c r="C1175" s="8">
        <v>9970.0</v>
      </c>
      <c r="D1175" s="8">
        <v>12999.0</v>
      </c>
      <c r="E1175" s="19">
        <v>0.23</v>
      </c>
      <c r="F1175" s="10">
        <v>4.3</v>
      </c>
      <c r="G1175" s="11">
        <v>4049.0</v>
      </c>
      <c r="K1175" s="23">
        <v>2699.0</v>
      </c>
    </row>
    <row r="1176">
      <c r="A1176" s="7" t="s">
        <v>1279</v>
      </c>
      <c r="B1176" s="7" t="s">
        <v>1280</v>
      </c>
      <c r="C1176" s="8">
        <v>698.0</v>
      </c>
      <c r="D1176" s="8">
        <v>699.0</v>
      </c>
      <c r="E1176" s="19">
        <v>0.0</v>
      </c>
      <c r="F1176" s="10">
        <v>4.2</v>
      </c>
      <c r="G1176" s="11">
        <v>3160.0</v>
      </c>
      <c r="K1176" s="23">
        <v>2699.0</v>
      </c>
    </row>
    <row r="1177">
      <c r="A1177" s="7" t="s">
        <v>1281</v>
      </c>
      <c r="B1177" s="7" t="s">
        <v>1186</v>
      </c>
      <c r="C1177" s="8">
        <v>2199.0</v>
      </c>
      <c r="D1177" s="8">
        <v>3190.0</v>
      </c>
      <c r="E1177" s="19">
        <v>0.31</v>
      </c>
      <c r="F1177" s="10">
        <v>4.3</v>
      </c>
      <c r="G1177" s="11">
        <v>9650.0</v>
      </c>
      <c r="K1177" s="23">
        <v>2699.0</v>
      </c>
    </row>
    <row r="1178">
      <c r="A1178" s="7" t="s">
        <v>1282</v>
      </c>
      <c r="B1178" s="7" t="s">
        <v>1283</v>
      </c>
      <c r="C1178" s="8">
        <v>320.0</v>
      </c>
      <c r="D1178" s="8">
        <v>799.0</v>
      </c>
      <c r="E1178" s="19">
        <v>0.6</v>
      </c>
      <c r="F1178" s="10">
        <v>4.2</v>
      </c>
      <c r="G1178" s="11">
        <v>3846.0</v>
      </c>
      <c r="K1178" s="23">
        <v>2719.0</v>
      </c>
    </row>
    <row r="1179">
      <c r="A1179" s="7" t="s">
        <v>1284</v>
      </c>
      <c r="B1179" s="7" t="s">
        <v>1093</v>
      </c>
      <c r="C1179" s="8">
        <v>298.0</v>
      </c>
      <c r="D1179" s="8">
        <v>499.0</v>
      </c>
      <c r="E1179" s="19">
        <v>0.4</v>
      </c>
      <c r="F1179" s="10">
        <v>4.4</v>
      </c>
      <c r="G1179" s="10">
        <v>290.0</v>
      </c>
      <c r="K1179" s="23">
        <v>2742.0</v>
      </c>
    </row>
    <row r="1180">
      <c r="A1180" s="7" t="s">
        <v>1285</v>
      </c>
      <c r="B1180" s="7" t="s">
        <v>1144</v>
      </c>
      <c r="C1180" s="8">
        <v>1199.0</v>
      </c>
      <c r="D1180" s="8">
        <v>1499.0</v>
      </c>
      <c r="E1180" s="19">
        <v>0.2</v>
      </c>
      <c r="F1180" s="10">
        <v>3.8</v>
      </c>
      <c r="G1180" s="11">
        <v>2206.0</v>
      </c>
      <c r="K1180" s="23">
        <v>2790.0</v>
      </c>
    </row>
    <row r="1181">
      <c r="A1181" s="7" t="s">
        <v>1286</v>
      </c>
      <c r="B1181" s="7" t="s">
        <v>1186</v>
      </c>
      <c r="C1181" s="8">
        <v>1399.0</v>
      </c>
      <c r="D1181" s="8">
        <v>2660.0</v>
      </c>
      <c r="E1181" s="19">
        <v>0.47</v>
      </c>
      <c r="F1181" s="10">
        <v>4.1</v>
      </c>
      <c r="G1181" s="11">
        <v>9349.0</v>
      </c>
      <c r="K1181" s="23">
        <v>2799.0</v>
      </c>
    </row>
    <row r="1182">
      <c r="A1182" s="7" t="s">
        <v>1287</v>
      </c>
      <c r="B1182" s="7" t="s">
        <v>1095</v>
      </c>
      <c r="C1182" s="8">
        <v>599.0</v>
      </c>
      <c r="D1182" s="8">
        <v>2799.0</v>
      </c>
      <c r="E1182" s="19">
        <v>0.79</v>
      </c>
      <c r="F1182" s="10">
        <v>3.9</v>
      </c>
      <c r="G1182" s="10">
        <v>578.0</v>
      </c>
      <c r="K1182" s="23">
        <v>2799.0</v>
      </c>
    </row>
    <row r="1183">
      <c r="A1183" s="7" t="s">
        <v>1288</v>
      </c>
      <c r="B1183" s="7" t="s">
        <v>1206</v>
      </c>
      <c r="C1183" s="8">
        <v>1499.0</v>
      </c>
      <c r="D1183" s="8">
        <v>1499.0</v>
      </c>
      <c r="E1183" s="19">
        <v>0.0</v>
      </c>
      <c r="F1183" s="10">
        <v>4.3</v>
      </c>
      <c r="G1183" s="11">
        <v>9331.0</v>
      </c>
      <c r="K1183" s="23">
        <v>2799.0</v>
      </c>
    </row>
    <row r="1184">
      <c r="A1184" s="7" t="s">
        <v>1289</v>
      </c>
      <c r="B1184" s="7" t="s">
        <v>1278</v>
      </c>
      <c r="C1184" s="8">
        <v>14400.0</v>
      </c>
      <c r="D1184" s="8">
        <v>59900.0</v>
      </c>
      <c r="E1184" s="19">
        <v>0.76</v>
      </c>
      <c r="F1184" s="10">
        <v>4.4</v>
      </c>
      <c r="G1184" s="11">
        <v>3837.0</v>
      </c>
      <c r="K1184" s="23">
        <v>2863.0</v>
      </c>
    </row>
    <row r="1185">
      <c r="A1185" s="7" t="s">
        <v>1290</v>
      </c>
      <c r="B1185" s="7" t="s">
        <v>1280</v>
      </c>
      <c r="C1185" s="8">
        <v>1699.0</v>
      </c>
      <c r="D1185" s="8">
        <v>1900.0</v>
      </c>
      <c r="E1185" s="19">
        <v>0.11</v>
      </c>
      <c r="F1185" s="10">
        <v>3.6</v>
      </c>
      <c r="G1185" s="11">
        <v>11456.0</v>
      </c>
      <c r="K1185" s="23">
        <v>2899.0</v>
      </c>
    </row>
    <row r="1186">
      <c r="A1186" s="7" t="s">
        <v>1291</v>
      </c>
      <c r="B1186" s="7" t="s">
        <v>1089</v>
      </c>
      <c r="C1186" s="8">
        <v>649.0</v>
      </c>
      <c r="D1186" s="8">
        <v>999.0</v>
      </c>
      <c r="E1186" s="19">
        <v>0.35</v>
      </c>
      <c r="F1186" s="10">
        <v>3.8</v>
      </c>
      <c r="G1186" s="10">
        <v>49.0</v>
      </c>
      <c r="K1186" s="23">
        <v>2899.0</v>
      </c>
    </row>
    <row r="1187">
      <c r="A1187" s="7" t="s">
        <v>1292</v>
      </c>
      <c r="B1187" s="7" t="s">
        <v>1113</v>
      </c>
      <c r="C1187" s="8">
        <v>3249.0</v>
      </c>
      <c r="D1187" s="8">
        <v>6375.0</v>
      </c>
      <c r="E1187" s="19">
        <v>0.49</v>
      </c>
      <c r="F1187" s="10">
        <v>4.0</v>
      </c>
      <c r="G1187" s="11">
        <v>4978.0</v>
      </c>
      <c r="K1187" s="23">
        <v>2903.0</v>
      </c>
    </row>
    <row r="1188">
      <c r="A1188" s="7" t="s">
        <v>1293</v>
      </c>
      <c r="B1188" s="7" t="s">
        <v>1137</v>
      </c>
      <c r="C1188" s="8">
        <v>199.0</v>
      </c>
      <c r="D1188" s="8">
        <v>499.0</v>
      </c>
      <c r="E1188" s="19">
        <v>0.6</v>
      </c>
      <c r="F1188" s="10">
        <v>4.1</v>
      </c>
      <c r="G1188" s="11">
        <v>1996.0</v>
      </c>
      <c r="K1188" s="23">
        <v>2949.0</v>
      </c>
    </row>
    <row r="1189">
      <c r="A1189" s="7" t="s">
        <v>1294</v>
      </c>
      <c r="B1189" s="7" t="s">
        <v>1155</v>
      </c>
      <c r="C1189" s="8">
        <v>1099.0</v>
      </c>
      <c r="D1189" s="8">
        <v>1899.0</v>
      </c>
      <c r="E1189" s="19">
        <v>0.42</v>
      </c>
      <c r="F1189" s="10">
        <v>4.3</v>
      </c>
      <c r="G1189" s="11">
        <v>1811.0</v>
      </c>
      <c r="K1189" s="23">
        <v>2976.0</v>
      </c>
    </row>
    <row r="1190">
      <c r="A1190" s="7" t="s">
        <v>1295</v>
      </c>
      <c r="B1190" s="7" t="s">
        <v>1086</v>
      </c>
      <c r="C1190" s="8">
        <v>664.0</v>
      </c>
      <c r="D1190" s="8">
        <v>1490.0</v>
      </c>
      <c r="E1190" s="19">
        <v>0.55</v>
      </c>
      <c r="F1190" s="10">
        <v>4.0</v>
      </c>
      <c r="G1190" s="11">
        <v>2198.0</v>
      </c>
      <c r="K1190" s="23">
        <v>2998.0</v>
      </c>
    </row>
    <row r="1191">
      <c r="A1191" s="7" t="s">
        <v>1296</v>
      </c>
      <c r="B1191" s="7" t="s">
        <v>1159</v>
      </c>
      <c r="C1191" s="8">
        <v>260.0</v>
      </c>
      <c r="D1191" s="8">
        <v>350.0</v>
      </c>
      <c r="E1191" s="19">
        <v>0.26</v>
      </c>
      <c r="F1191" s="10">
        <v>3.9</v>
      </c>
      <c r="G1191" s="11">
        <v>13127.0</v>
      </c>
      <c r="K1191" s="23">
        <v>2998.0</v>
      </c>
    </row>
    <row r="1192">
      <c r="A1192" s="7" t="s">
        <v>1297</v>
      </c>
      <c r="B1192" s="7" t="s">
        <v>1123</v>
      </c>
      <c r="C1192" s="8">
        <v>6499.0</v>
      </c>
      <c r="D1192" s="8">
        <v>8500.0</v>
      </c>
      <c r="E1192" s="19">
        <v>0.24</v>
      </c>
      <c r="F1192" s="10">
        <v>4.4</v>
      </c>
      <c r="G1192" s="11">
        <v>5865.0</v>
      </c>
      <c r="K1192" s="23">
        <v>2999.0</v>
      </c>
    </row>
    <row r="1193">
      <c r="A1193" s="7" t="s">
        <v>1298</v>
      </c>
      <c r="B1193" s="7" t="s">
        <v>1299</v>
      </c>
      <c r="C1193" s="8">
        <v>1484.0</v>
      </c>
      <c r="D1193" s="8">
        <v>2499.0</v>
      </c>
      <c r="E1193" s="19">
        <v>0.41</v>
      </c>
      <c r="F1193" s="10">
        <v>3.7</v>
      </c>
      <c r="G1193" s="11">
        <v>1067.0</v>
      </c>
      <c r="K1193" s="23">
        <v>2999.0</v>
      </c>
    </row>
    <row r="1194">
      <c r="A1194" s="7" t="s">
        <v>1300</v>
      </c>
      <c r="B1194" s="7" t="s">
        <v>1139</v>
      </c>
      <c r="C1194" s="8">
        <v>999.0</v>
      </c>
      <c r="D1194" s="8">
        <v>1560.0</v>
      </c>
      <c r="E1194" s="19">
        <v>0.36</v>
      </c>
      <c r="F1194" s="10">
        <v>3.6</v>
      </c>
      <c r="G1194" s="11">
        <v>4881.0</v>
      </c>
      <c r="K1194" s="23">
        <v>2999.0</v>
      </c>
    </row>
    <row r="1195">
      <c r="A1195" s="7" t="s">
        <v>1301</v>
      </c>
      <c r="B1195" s="7" t="s">
        <v>1144</v>
      </c>
      <c r="C1195" s="8">
        <v>3299.0</v>
      </c>
      <c r="D1195" s="8">
        <v>6500.0</v>
      </c>
      <c r="E1195" s="19">
        <v>0.49</v>
      </c>
      <c r="F1195" s="10">
        <v>3.7</v>
      </c>
      <c r="G1195" s="11">
        <v>11217.0</v>
      </c>
      <c r="K1195" s="23">
        <v>2999.0</v>
      </c>
    </row>
    <row r="1196">
      <c r="A1196" s="7" t="s">
        <v>1302</v>
      </c>
      <c r="B1196" s="7" t="s">
        <v>1109</v>
      </c>
      <c r="C1196" s="8">
        <v>259.0</v>
      </c>
      <c r="D1196" s="8">
        <v>999.0</v>
      </c>
      <c r="E1196" s="19">
        <v>0.74</v>
      </c>
      <c r="F1196" s="10">
        <v>4.0</v>
      </c>
      <c r="G1196" s="10">
        <v>43.0</v>
      </c>
      <c r="K1196" s="23">
        <v>2999.0</v>
      </c>
    </row>
    <row r="1197">
      <c r="A1197" s="7" t="s">
        <v>1303</v>
      </c>
      <c r="B1197" s="7" t="s">
        <v>1113</v>
      </c>
      <c r="C1197" s="8">
        <v>3249.0</v>
      </c>
      <c r="D1197" s="8">
        <v>7795.0</v>
      </c>
      <c r="E1197" s="19">
        <v>0.58</v>
      </c>
      <c r="F1197" s="10">
        <v>4.2</v>
      </c>
      <c r="G1197" s="11">
        <v>4664.0</v>
      </c>
      <c r="K1197" s="23">
        <v>2999.0</v>
      </c>
    </row>
    <row r="1198">
      <c r="A1198" s="7" t="s">
        <v>1304</v>
      </c>
      <c r="B1198" s="7" t="s">
        <v>1139</v>
      </c>
      <c r="C1198" s="8">
        <v>4280.0</v>
      </c>
      <c r="D1198" s="8">
        <v>5995.0</v>
      </c>
      <c r="E1198" s="19">
        <v>0.29</v>
      </c>
      <c r="F1198" s="10">
        <v>3.8</v>
      </c>
      <c r="G1198" s="11">
        <v>2112.0</v>
      </c>
      <c r="K1198" s="23">
        <v>2999.0</v>
      </c>
    </row>
    <row r="1199">
      <c r="A1199" s="7" t="s">
        <v>1305</v>
      </c>
      <c r="B1199" s="7" t="s">
        <v>1306</v>
      </c>
      <c r="C1199" s="8">
        <v>189.0</v>
      </c>
      <c r="D1199" s="8">
        <v>299.0</v>
      </c>
      <c r="E1199" s="19">
        <v>0.37</v>
      </c>
      <c r="F1199" s="10">
        <v>4.2</v>
      </c>
      <c r="G1199" s="11">
        <v>2737.0</v>
      </c>
      <c r="K1199" s="23">
        <v>2999.0</v>
      </c>
    </row>
    <row r="1200">
      <c r="A1200" s="7" t="s">
        <v>1307</v>
      </c>
      <c r="B1200" s="7" t="s">
        <v>1186</v>
      </c>
      <c r="C1200" s="8">
        <v>1449.0</v>
      </c>
      <c r="D1200" s="8">
        <v>2349.0</v>
      </c>
      <c r="E1200" s="19">
        <v>0.38</v>
      </c>
      <c r="F1200" s="10">
        <v>3.9</v>
      </c>
      <c r="G1200" s="11">
        <v>9019.0</v>
      </c>
      <c r="K1200" s="23">
        <v>3041.67</v>
      </c>
    </row>
    <row r="1201">
      <c r="A1201" s="7" t="s">
        <v>1308</v>
      </c>
      <c r="B1201" s="7" t="s">
        <v>1137</v>
      </c>
      <c r="C1201" s="8">
        <v>199.0</v>
      </c>
      <c r="D1201" s="8">
        <v>499.0</v>
      </c>
      <c r="E1201" s="19">
        <v>0.6</v>
      </c>
      <c r="F1201" s="10">
        <v>4.0</v>
      </c>
      <c r="G1201" s="11">
        <v>10234.0</v>
      </c>
      <c r="K1201" s="23">
        <v>3179.0</v>
      </c>
    </row>
    <row r="1202">
      <c r="A1202" s="7" t="s">
        <v>1309</v>
      </c>
      <c r="B1202" s="7" t="s">
        <v>1310</v>
      </c>
      <c r="C1202" s="8">
        <v>474.0</v>
      </c>
      <c r="D1202" s="8">
        <v>1299.0</v>
      </c>
      <c r="E1202" s="19">
        <v>0.64</v>
      </c>
      <c r="F1202" s="10">
        <v>4.1</v>
      </c>
      <c r="G1202" s="10">
        <v>550.0</v>
      </c>
      <c r="K1202" s="23">
        <v>3180.0</v>
      </c>
    </row>
    <row r="1203">
      <c r="A1203" s="7" t="s">
        <v>1311</v>
      </c>
      <c r="B1203" s="7" t="s">
        <v>1109</v>
      </c>
      <c r="C1203" s="8">
        <v>279.0</v>
      </c>
      <c r="D1203" s="8">
        <v>499.0</v>
      </c>
      <c r="E1203" s="19">
        <v>0.44</v>
      </c>
      <c r="F1203" s="10">
        <v>4.8</v>
      </c>
      <c r="G1203" s="10">
        <v>28.0</v>
      </c>
      <c r="K1203" s="23">
        <v>3190.0</v>
      </c>
    </row>
    <row r="1204">
      <c r="A1204" s="7" t="s">
        <v>1312</v>
      </c>
      <c r="B1204" s="7" t="s">
        <v>1186</v>
      </c>
      <c r="C1204" s="8">
        <v>1999.0</v>
      </c>
      <c r="D1204" s="8">
        <v>4775.0</v>
      </c>
      <c r="E1204" s="19">
        <v>0.58</v>
      </c>
      <c r="F1204" s="10">
        <v>4.2</v>
      </c>
      <c r="G1204" s="11">
        <v>1353.0</v>
      </c>
      <c r="K1204" s="23">
        <v>3199.0</v>
      </c>
    </row>
    <row r="1205">
      <c r="A1205" s="7" t="s">
        <v>1313</v>
      </c>
      <c r="B1205" s="7" t="s">
        <v>1093</v>
      </c>
      <c r="C1205" s="8">
        <v>799.0</v>
      </c>
      <c r="D1205" s="8">
        <v>1230.0</v>
      </c>
      <c r="E1205" s="19">
        <v>0.35</v>
      </c>
      <c r="F1205" s="10">
        <v>4.1</v>
      </c>
      <c r="G1205" s="11">
        <v>2138.0</v>
      </c>
      <c r="K1205" s="23">
        <v>3199.0</v>
      </c>
    </row>
    <row r="1206">
      <c r="A1206" s="7" t="s">
        <v>1314</v>
      </c>
      <c r="B1206" s="7" t="s">
        <v>1173</v>
      </c>
      <c r="C1206" s="8">
        <v>949.0</v>
      </c>
      <c r="D1206" s="8">
        <v>1999.0</v>
      </c>
      <c r="E1206" s="19">
        <v>0.53</v>
      </c>
      <c r="F1206" s="10">
        <v>4.0</v>
      </c>
      <c r="G1206" s="11">
        <v>1679.0</v>
      </c>
      <c r="K1206" s="23">
        <v>3199.0</v>
      </c>
    </row>
    <row r="1207">
      <c r="A1207" s="7" t="s">
        <v>1315</v>
      </c>
      <c r="B1207" s="7" t="s">
        <v>1316</v>
      </c>
      <c r="C1207" s="8">
        <v>3657.66</v>
      </c>
      <c r="D1207" s="8">
        <v>5156.0</v>
      </c>
      <c r="E1207" s="19">
        <v>0.29</v>
      </c>
      <c r="F1207" s="10">
        <v>3.9</v>
      </c>
      <c r="G1207" s="11">
        <v>12837.0</v>
      </c>
      <c r="K1207" s="23">
        <v>3229.0</v>
      </c>
    </row>
    <row r="1208">
      <c r="A1208" s="7" t="s">
        <v>1317</v>
      </c>
      <c r="B1208" s="7" t="s">
        <v>1318</v>
      </c>
      <c r="C1208" s="8">
        <v>1699.0</v>
      </c>
      <c r="D1208" s="8">
        <v>1999.0</v>
      </c>
      <c r="E1208" s="19">
        <v>0.15</v>
      </c>
      <c r="F1208" s="10">
        <v>4.1</v>
      </c>
      <c r="G1208" s="11">
        <v>8873.0</v>
      </c>
      <c r="K1208" s="23">
        <v>3249.0</v>
      </c>
    </row>
    <row r="1209">
      <c r="A1209" s="7" t="s">
        <v>1319</v>
      </c>
      <c r="B1209" s="7" t="s">
        <v>1139</v>
      </c>
      <c r="C1209" s="8">
        <v>1849.0</v>
      </c>
      <c r="D1209" s="8">
        <v>2095.0</v>
      </c>
      <c r="E1209" s="19">
        <v>0.12</v>
      </c>
      <c r="F1209" s="10">
        <v>4.3</v>
      </c>
      <c r="G1209" s="11">
        <v>7681.0</v>
      </c>
      <c r="K1209" s="23">
        <v>3249.0</v>
      </c>
    </row>
    <row r="1210">
      <c r="A1210" s="7" t="s">
        <v>1320</v>
      </c>
      <c r="B1210" s="7" t="s">
        <v>1091</v>
      </c>
      <c r="C1210" s="8">
        <v>12499.0</v>
      </c>
      <c r="D1210" s="8">
        <v>19825.0</v>
      </c>
      <c r="E1210" s="19">
        <v>0.37</v>
      </c>
      <c r="F1210" s="10">
        <v>4.1</v>
      </c>
      <c r="G1210" s="10">
        <v>322.0</v>
      </c>
      <c r="K1210" s="23">
        <v>3249.0</v>
      </c>
    </row>
    <row r="1211">
      <c r="A1211" s="7" t="s">
        <v>1321</v>
      </c>
      <c r="B1211" s="7" t="s">
        <v>1111</v>
      </c>
      <c r="C1211" s="8">
        <v>1099.0</v>
      </c>
      <c r="D1211" s="8">
        <v>1920.0</v>
      </c>
      <c r="E1211" s="19">
        <v>0.43</v>
      </c>
      <c r="F1211" s="10">
        <v>4.2</v>
      </c>
      <c r="G1211" s="11">
        <v>9772.0</v>
      </c>
      <c r="K1211" s="23">
        <v>3249.0</v>
      </c>
    </row>
    <row r="1212">
      <c r="A1212" s="7" t="s">
        <v>1322</v>
      </c>
      <c r="B1212" s="7" t="s">
        <v>1280</v>
      </c>
      <c r="C1212" s="8">
        <v>8199.0</v>
      </c>
      <c r="D1212" s="8">
        <v>16000.0</v>
      </c>
      <c r="E1212" s="19">
        <v>0.49</v>
      </c>
      <c r="F1212" s="10">
        <v>3.9</v>
      </c>
      <c r="G1212" s="11">
        <v>18497.0</v>
      </c>
      <c r="K1212" s="23">
        <v>3249.0</v>
      </c>
    </row>
    <row r="1213">
      <c r="A1213" s="7" t="s">
        <v>1323</v>
      </c>
      <c r="B1213" s="7" t="s">
        <v>1144</v>
      </c>
      <c r="C1213" s="8">
        <v>499.0</v>
      </c>
      <c r="D1213" s="8">
        <v>2199.0</v>
      </c>
      <c r="E1213" s="19">
        <v>0.77</v>
      </c>
      <c r="F1213" s="10">
        <v>3.7</v>
      </c>
      <c r="G1213" s="10">
        <v>53.0</v>
      </c>
      <c r="K1213" s="23">
        <v>3290.0</v>
      </c>
    </row>
    <row r="1214">
      <c r="A1214" s="7" t="s">
        <v>1324</v>
      </c>
      <c r="B1214" s="7" t="s">
        <v>1148</v>
      </c>
      <c r="C1214" s="8">
        <v>6999.0</v>
      </c>
      <c r="D1214" s="8">
        <v>14999.0</v>
      </c>
      <c r="E1214" s="19">
        <v>0.53</v>
      </c>
      <c r="F1214" s="10">
        <v>4.1</v>
      </c>
      <c r="G1214" s="11">
        <v>1728.0</v>
      </c>
      <c r="K1214" s="23">
        <v>3299.0</v>
      </c>
    </row>
    <row r="1215">
      <c r="A1215" s="7" t="s">
        <v>1325</v>
      </c>
      <c r="B1215" s="7" t="s">
        <v>1184</v>
      </c>
      <c r="C1215" s="8">
        <v>1595.0</v>
      </c>
      <c r="D1215" s="8">
        <v>1799.0</v>
      </c>
      <c r="E1215" s="19">
        <v>0.11</v>
      </c>
      <c r="F1215" s="10">
        <v>4.0</v>
      </c>
      <c r="G1215" s="11">
        <v>2877.0</v>
      </c>
      <c r="K1215" s="23">
        <v>3299.0</v>
      </c>
    </row>
    <row r="1216">
      <c r="A1216" s="7" t="s">
        <v>1326</v>
      </c>
      <c r="B1216" s="7" t="s">
        <v>1111</v>
      </c>
      <c r="C1216" s="8">
        <v>1049.0</v>
      </c>
      <c r="D1216" s="8">
        <v>1950.0</v>
      </c>
      <c r="E1216" s="19">
        <v>0.46</v>
      </c>
      <c r="F1216" s="10">
        <v>3.8</v>
      </c>
      <c r="G1216" s="10">
        <v>250.0</v>
      </c>
      <c r="K1216" s="23">
        <v>3299.0</v>
      </c>
    </row>
    <row r="1217">
      <c r="A1217" s="7" t="s">
        <v>1327</v>
      </c>
      <c r="B1217" s="7" t="s">
        <v>1121</v>
      </c>
      <c r="C1217" s="8">
        <v>1182.0</v>
      </c>
      <c r="D1217" s="8">
        <v>2995.0</v>
      </c>
      <c r="E1217" s="19">
        <v>0.61</v>
      </c>
      <c r="F1217" s="10">
        <v>4.2</v>
      </c>
      <c r="G1217" s="11">
        <v>5178.0</v>
      </c>
      <c r="K1217" s="23">
        <v>3303.0</v>
      </c>
    </row>
    <row r="1218">
      <c r="A1218" s="7" t="s">
        <v>1328</v>
      </c>
      <c r="B1218" s="7" t="s">
        <v>1093</v>
      </c>
      <c r="C1218" s="8">
        <v>499.0</v>
      </c>
      <c r="D1218" s="8">
        <v>999.0</v>
      </c>
      <c r="E1218" s="19">
        <v>0.5</v>
      </c>
      <c r="F1218" s="10">
        <v>4.6</v>
      </c>
      <c r="G1218" s="10">
        <v>79.0</v>
      </c>
      <c r="K1218" s="23">
        <v>3307.0</v>
      </c>
    </row>
    <row r="1219">
      <c r="A1219" s="7" t="s">
        <v>1329</v>
      </c>
      <c r="B1219" s="7" t="s">
        <v>1278</v>
      </c>
      <c r="C1219" s="8">
        <v>8799.0</v>
      </c>
      <c r="D1219" s="8">
        <v>11995.0</v>
      </c>
      <c r="E1219" s="19">
        <v>0.27</v>
      </c>
      <c r="F1219" s="10">
        <v>4.1</v>
      </c>
      <c r="G1219" s="11">
        <v>4157.0</v>
      </c>
      <c r="K1219" s="23">
        <v>3349.0</v>
      </c>
    </row>
    <row r="1220">
      <c r="A1220" s="7" t="s">
        <v>1330</v>
      </c>
      <c r="B1220" s="7" t="s">
        <v>1089</v>
      </c>
      <c r="C1220" s="8">
        <v>1529.0</v>
      </c>
      <c r="D1220" s="8">
        <v>2999.0</v>
      </c>
      <c r="E1220" s="19">
        <v>0.49</v>
      </c>
      <c r="F1220" s="10">
        <v>3.3</v>
      </c>
      <c r="G1220" s="10">
        <v>29.0</v>
      </c>
      <c r="K1220" s="23">
        <v>3349.0</v>
      </c>
    </row>
    <row r="1221">
      <c r="A1221" s="7" t="s">
        <v>1331</v>
      </c>
      <c r="B1221" s="7" t="s">
        <v>1111</v>
      </c>
      <c r="C1221" s="8">
        <v>1199.0</v>
      </c>
      <c r="D1221" s="8">
        <v>1690.0</v>
      </c>
      <c r="E1221" s="19">
        <v>0.29</v>
      </c>
      <c r="F1221" s="10">
        <v>4.2</v>
      </c>
      <c r="G1221" s="11">
        <v>4580.0</v>
      </c>
      <c r="K1221" s="23">
        <v>3487.77</v>
      </c>
    </row>
    <row r="1222">
      <c r="A1222" s="7" t="s">
        <v>1332</v>
      </c>
      <c r="B1222" s="7" t="s">
        <v>1155</v>
      </c>
      <c r="C1222" s="8">
        <v>1052.0</v>
      </c>
      <c r="D1222" s="8">
        <v>1790.0</v>
      </c>
      <c r="E1222" s="19">
        <v>0.41</v>
      </c>
      <c r="F1222" s="10">
        <v>4.3</v>
      </c>
      <c r="G1222" s="11">
        <v>1404.0</v>
      </c>
      <c r="K1222" s="23">
        <v>3498.0</v>
      </c>
    </row>
    <row r="1223">
      <c r="A1223" s="7" t="s">
        <v>1333</v>
      </c>
      <c r="B1223" s="7" t="s">
        <v>1334</v>
      </c>
      <c r="C1223" s="8">
        <v>6499.0</v>
      </c>
      <c r="D1223" s="8">
        <v>8995.0</v>
      </c>
      <c r="E1223" s="19">
        <v>0.28</v>
      </c>
      <c r="F1223" s="10">
        <v>4.3</v>
      </c>
      <c r="G1223" s="11">
        <v>2810.0</v>
      </c>
      <c r="K1223" s="23">
        <v>3499.0</v>
      </c>
    </row>
    <row r="1224">
      <c r="A1224" s="7" t="s">
        <v>1335</v>
      </c>
      <c r="B1224" s="7" t="s">
        <v>1179</v>
      </c>
      <c r="C1224" s="8">
        <v>239.0</v>
      </c>
      <c r="D1224" s="8">
        <v>239.0</v>
      </c>
      <c r="E1224" s="19">
        <v>0.0</v>
      </c>
      <c r="F1224" s="10">
        <v>4.3</v>
      </c>
      <c r="G1224" s="10">
        <v>7.0</v>
      </c>
      <c r="K1224" s="23">
        <v>3569.0</v>
      </c>
    </row>
    <row r="1225">
      <c r="A1225" s="7" t="s">
        <v>1336</v>
      </c>
      <c r="B1225" s="7" t="s">
        <v>1109</v>
      </c>
      <c r="C1225" s="8">
        <v>699.0</v>
      </c>
      <c r="D1225" s="8">
        <v>1599.0</v>
      </c>
      <c r="E1225" s="19">
        <v>0.56</v>
      </c>
      <c r="F1225" s="10">
        <v>4.7</v>
      </c>
      <c r="G1225" s="11">
        <v>1729.0</v>
      </c>
      <c r="K1225" s="23">
        <v>3599.0</v>
      </c>
    </row>
    <row r="1226">
      <c r="A1226" s="7" t="s">
        <v>1337</v>
      </c>
      <c r="B1226" s="7" t="s">
        <v>1338</v>
      </c>
      <c r="C1226" s="8">
        <v>2599.0</v>
      </c>
      <c r="D1226" s="8">
        <v>4290.0</v>
      </c>
      <c r="E1226" s="19">
        <v>0.39</v>
      </c>
      <c r="F1226" s="10">
        <v>4.4</v>
      </c>
      <c r="G1226" s="11">
        <v>2116.0</v>
      </c>
      <c r="K1226" s="23">
        <v>3599.0</v>
      </c>
    </row>
    <row r="1227">
      <c r="A1227" s="7" t="s">
        <v>1339</v>
      </c>
      <c r="B1227" s="7" t="s">
        <v>1148</v>
      </c>
      <c r="C1227" s="8">
        <v>1547.0</v>
      </c>
      <c r="D1227" s="8">
        <v>2890.0</v>
      </c>
      <c r="E1227" s="19">
        <v>0.46</v>
      </c>
      <c r="F1227" s="10">
        <v>3.9</v>
      </c>
      <c r="G1227" s="10">
        <v>463.0</v>
      </c>
      <c r="K1227" s="23">
        <v>3599.0</v>
      </c>
    </row>
    <row r="1228">
      <c r="A1228" s="7" t="s">
        <v>1340</v>
      </c>
      <c r="B1228" s="7" t="s">
        <v>1109</v>
      </c>
      <c r="C1228" s="8">
        <v>499.0</v>
      </c>
      <c r="D1228" s="8">
        <v>1299.0</v>
      </c>
      <c r="E1228" s="19">
        <v>0.62</v>
      </c>
      <c r="F1228" s="10">
        <v>4.7</v>
      </c>
      <c r="G1228" s="10">
        <v>54.0</v>
      </c>
      <c r="K1228" s="23">
        <v>3599.0</v>
      </c>
    </row>
    <row r="1229">
      <c r="A1229" s="7" t="s">
        <v>1341</v>
      </c>
      <c r="B1229" s="7" t="s">
        <v>1131</v>
      </c>
      <c r="C1229" s="8">
        <v>510.0</v>
      </c>
      <c r="D1229" s="8">
        <v>640.0</v>
      </c>
      <c r="E1229" s="19">
        <v>0.2</v>
      </c>
      <c r="F1229" s="10">
        <v>4.1</v>
      </c>
      <c r="G1229" s="11">
        <v>7229.0</v>
      </c>
      <c r="K1229" s="23">
        <v>3600.0</v>
      </c>
    </row>
    <row r="1230">
      <c r="A1230" s="7" t="s">
        <v>1342</v>
      </c>
      <c r="B1230" s="7" t="s">
        <v>1115</v>
      </c>
      <c r="C1230" s="8">
        <v>1899.0</v>
      </c>
      <c r="D1230" s="8">
        <v>3790.0</v>
      </c>
      <c r="E1230" s="19">
        <v>0.5</v>
      </c>
      <c r="F1230" s="10">
        <v>3.8</v>
      </c>
      <c r="G1230" s="11">
        <v>3842.0</v>
      </c>
      <c r="K1230" s="23">
        <v>3645.0</v>
      </c>
    </row>
    <row r="1231">
      <c r="A1231" s="7" t="s">
        <v>1343</v>
      </c>
      <c r="B1231" s="7" t="s">
        <v>1115</v>
      </c>
      <c r="C1231" s="8">
        <v>2599.0</v>
      </c>
      <c r="D1231" s="8">
        <v>4560.0</v>
      </c>
      <c r="E1231" s="19">
        <v>0.43</v>
      </c>
      <c r="F1231" s="10">
        <v>4.4</v>
      </c>
      <c r="G1231" s="10">
        <v>646.0</v>
      </c>
      <c r="K1231" s="23">
        <v>3657.66</v>
      </c>
    </row>
    <row r="1232">
      <c r="A1232" s="7" t="s">
        <v>1344</v>
      </c>
      <c r="B1232" s="7" t="s">
        <v>1155</v>
      </c>
      <c r="C1232" s="8">
        <v>1199.0</v>
      </c>
      <c r="D1232" s="8">
        <v>3500.0</v>
      </c>
      <c r="E1232" s="19">
        <v>0.66</v>
      </c>
      <c r="F1232" s="10">
        <v>4.3</v>
      </c>
      <c r="G1232" s="11">
        <v>1802.0</v>
      </c>
      <c r="K1232" s="23">
        <v>3685.0</v>
      </c>
    </row>
    <row r="1233">
      <c r="A1233" s="7" t="s">
        <v>1345</v>
      </c>
      <c r="B1233" s="7" t="s">
        <v>1115</v>
      </c>
      <c r="C1233" s="8">
        <v>999.0</v>
      </c>
      <c r="D1233" s="8">
        <v>2600.0</v>
      </c>
      <c r="E1233" s="19">
        <v>0.62</v>
      </c>
      <c r="F1233" s="10">
        <v>3.4</v>
      </c>
      <c r="G1233" s="10">
        <v>252.0</v>
      </c>
      <c r="K1233" s="23">
        <v>3699.0</v>
      </c>
    </row>
    <row r="1234">
      <c r="A1234" s="7" t="s">
        <v>1346</v>
      </c>
      <c r="B1234" s="7" t="s">
        <v>1104</v>
      </c>
      <c r="C1234" s="8">
        <v>1999.0</v>
      </c>
      <c r="D1234" s="8">
        <v>3300.0</v>
      </c>
      <c r="E1234" s="19">
        <v>0.39</v>
      </c>
      <c r="F1234" s="10">
        <v>4.2</v>
      </c>
      <c r="G1234" s="10">
        <v>780.0</v>
      </c>
      <c r="K1234" s="23">
        <v>3710.0</v>
      </c>
    </row>
    <row r="1235">
      <c r="A1235" s="7" t="s">
        <v>1347</v>
      </c>
      <c r="B1235" s="7" t="s">
        <v>1109</v>
      </c>
      <c r="C1235" s="8">
        <v>210.0</v>
      </c>
      <c r="D1235" s="8">
        <v>699.0</v>
      </c>
      <c r="E1235" s="19">
        <v>0.7</v>
      </c>
      <c r="F1235" s="10">
        <v>3.7</v>
      </c>
      <c r="G1235" s="10">
        <v>74.0</v>
      </c>
      <c r="K1235" s="23">
        <v>3711.0</v>
      </c>
    </row>
    <row r="1236">
      <c r="A1236" s="7" t="s">
        <v>1348</v>
      </c>
      <c r="B1236" s="7" t="s">
        <v>1278</v>
      </c>
      <c r="C1236" s="8">
        <v>14499.0</v>
      </c>
      <c r="D1236" s="8">
        <v>23559.0</v>
      </c>
      <c r="E1236" s="19">
        <v>0.38</v>
      </c>
      <c r="F1236" s="10">
        <v>4.3</v>
      </c>
      <c r="G1236" s="11">
        <v>2026.0</v>
      </c>
      <c r="K1236" s="23">
        <v>3799.0</v>
      </c>
    </row>
    <row r="1237">
      <c r="A1237" s="7" t="s">
        <v>1349</v>
      </c>
      <c r="B1237" s="7" t="s">
        <v>1137</v>
      </c>
      <c r="C1237" s="8">
        <v>950.0</v>
      </c>
      <c r="D1237" s="8">
        <v>1599.0</v>
      </c>
      <c r="E1237" s="19">
        <v>0.41</v>
      </c>
      <c r="F1237" s="10">
        <v>4.3</v>
      </c>
      <c r="G1237" s="11">
        <v>5911.0</v>
      </c>
      <c r="K1237" s="23">
        <v>3799.0</v>
      </c>
    </row>
    <row r="1238">
      <c r="A1238" s="7" t="s">
        <v>1350</v>
      </c>
      <c r="B1238" s="7" t="s">
        <v>1135</v>
      </c>
      <c r="C1238" s="8">
        <v>7199.0</v>
      </c>
      <c r="D1238" s="8">
        <v>9995.0</v>
      </c>
      <c r="E1238" s="19">
        <v>0.28</v>
      </c>
      <c r="F1238" s="10">
        <v>4.4</v>
      </c>
      <c r="G1238" s="11">
        <v>1964.0</v>
      </c>
      <c r="K1238" s="23">
        <v>3859.0</v>
      </c>
    </row>
    <row r="1239">
      <c r="A1239" s="7" t="s">
        <v>1351</v>
      </c>
      <c r="B1239" s="7" t="s">
        <v>1089</v>
      </c>
      <c r="C1239" s="8">
        <v>2439.0</v>
      </c>
      <c r="D1239" s="8">
        <v>2545.0</v>
      </c>
      <c r="E1239" s="19">
        <v>0.04</v>
      </c>
      <c r="F1239" s="10">
        <v>4.1</v>
      </c>
      <c r="G1239" s="10">
        <v>25.0</v>
      </c>
      <c r="K1239" s="23">
        <v>3999.0</v>
      </c>
    </row>
    <row r="1240">
      <c r="A1240" s="7" t="s">
        <v>1352</v>
      </c>
      <c r="B1240" s="7" t="s">
        <v>1139</v>
      </c>
      <c r="C1240" s="8">
        <v>7799.0</v>
      </c>
      <c r="D1240" s="8">
        <v>8995.0</v>
      </c>
      <c r="E1240" s="19">
        <v>0.13</v>
      </c>
      <c r="F1240" s="10">
        <v>4.0</v>
      </c>
      <c r="G1240" s="11">
        <v>3160.0</v>
      </c>
      <c r="K1240" s="23">
        <v>3999.0</v>
      </c>
    </row>
    <row r="1241">
      <c r="A1241" s="7" t="s">
        <v>1353</v>
      </c>
      <c r="B1241" s="7" t="s">
        <v>1173</v>
      </c>
      <c r="C1241" s="8">
        <v>1599.0</v>
      </c>
      <c r="D1241" s="8">
        <v>1999.0</v>
      </c>
      <c r="E1241" s="19">
        <v>0.2</v>
      </c>
      <c r="F1241" s="10">
        <v>4.4</v>
      </c>
      <c r="G1241" s="11">
        <v>1558.0</v>
      </c>
      <c r="K1241" s="23">
        <v>3999.0</v>
      </c>
    </row>
    <row r="1242">
      <c r="A1242" s="7" t="s">
        <v>1354</v>
      </c>
      <c r="B1242" s="7" t="s">
        <v>1113</v>
      </c>
      <c r="C1242" s="8">
        <v>2899.0</v>
      </c>
      <c r="D1242" s="8">
        <v>5500.0</v>
      </c>
      <c r="E1242" s="19">
        <v>0.47</v>
      </c>
      <c r="F1242" s="10">
        <v>3.8</v>
      </c>
      <c r="G1242" s="11">
        <v>8958.0</v>
      </c>
      <c r="K1242" s="23">
        <v>3999.0</v>
      </c>
    </row>
    <row r="1243">
      <c r="A1243" s="7" t="s">
        <v>1355</v>
      </c>
      <c r="B1243" s="7" t="s">
        <v>1299</v>
      </c>
      <c r="C1243" s="8">
        <v>9799.0</v>
      </c>
      <c r="D1243" s="8">
        <v>12150.0</v>
      </c>
      <c r="E1243" s="19">
        <v>0.19</v>
      </c>
      <c r="F1243" s="10">
        <v>4.3</v>
      </c>
      <c r="G1243" s="11">
        <v>13251.0</v>
      </c>
      <c r="K1243" s="23">
        <v>3999.0</v>
      </c>
    </row>
    <row r="1244">
      <c r="A1244" s="7" t="s">
        <v>1356</v>
      </c>
      <c r="B1244" s="7" t="s">
        <v>1139</v>
      </c>
      <c r="C1244" s="8">
        <v>3299.0</v>
      </c>
      <c r="D1244" s="8">
        <v>4995.0</v>
      </c>
      <c r="E1244" s="19">
        <v>0.34</v>
      </c>
      <c r="F1244" s="10">
        <v>3.8</v>
      </c>
      <c r="G1244" s="11">
        <v>1393.0</v>
      </c>
      <c r="K1244" s="23">
        <v>3999.0</v>
      </c>
    </row>
    <row r="1245">
      <c r="A1245" s="7" t="s">
        <v>1357</v>
      </c>
      <c r="B1245" s="7" t="s">
        <v>1109</v>
      </c>
      <c r="C1245" s="8">
        <v>669.0</v>
      </c>
      <c r="D1245" s="8">
        <v>1499.0</v>
      </c>
      <c r="E1245" s="19">
        <v>0.55</v>
      </c>
      <c r="F1245" s="10">
        <v>2.3</v>
      </c>
      <c r="G1245" s="10">
        <v>13.0</v>
      </c>
      <c r="K1245" s="23">
        <v>4098.0</v>
      </c>
    </row>
    <row r="1246">
      <c r="A1246" s="7" t="s">
        <v>1358</v>
      </c>
      <c r="B1246" s="7" t="s">
        <v>1144</v>
      </c>
      <c r="C1246" s="8">
        <v>5890.0</v>
      </c>
      <c r="D1246" s="8">
        <v>7506.0</v>
      </c>
      <c r="E1246" s="19">
        <v>0.22</v>
      </c>
      <c r="F1246" s="10">
        <v>4.5</v>
      </c>
      <c r="G1246" s="11">
        <v>7241.0</v>
      </c>
      <c r="K1246" s="23">
        <v>4280.0</v>
      </c>
    </row>
    <row r="1247">
      <c r="A1247" s="7" t="s">
        <v>1359</v>
      </c>
      <c r="B1247" s="7" t="s">
        <v>1280</v>
      </c>
      <c r="C1247" s="8">
        <v>9199.0</v>
      </c>
      <c r="D1247" s="8">
        <v>18000.0</v>
      </c>
      <c r="E1247" s="19">
        <v>0.49</v>
      </c>
      <c r="F1247" s="10">
        <v>4.0</v>
      </c>
      <c r="G1247" s="11">
        <v>16020.0</v>
      </c>
      <c r="K1247" s="23">
        <v>4449.0</v>
      </c>
    </row>
    <row r="1248">
      <c r="A1248" s="7" t="s">
        <v>1360</v>
      </c>
      <c r="B1248" s="7" t="s">
        <v>1137</v>
      </c>
      <c r="C1248" s="8">
        <v>351.0</v>
      </c>
      <c r="D1248" s="8">
        <v>1099.0</v>
      </c>
      <c r="E1248" s="19">
        <v>0.68</v>
      </c>
      <c r="F1248" s="10">
        <v>3.7</v>
      </c>
      <c r="G1248" s="11">
        <v>1470.0</v>
      </c>
      <c r="K1248" s="23">
        <v>4499.0</v>
      </c>
    </row>
    <row r="1249">
      <c r="A1249" s="7" t="s">
        <v>1361</v>
      </c>
      <c r="B1249" s="7" t="s">
        <v>1362</v>
      </c>
      <c r="C1249" s="8">
        <v>899.0</v>
      </c>
      <c r="D1249" s="8">
        <v>1900.0</v>
      </c>
      <c r="E1249" s="19">
        <v>0.53</v>
      </c>
      <c r="F1249" s="10">
        <v>4.0</v>
      </c>
      <c r="G1249" s="11">
        <v>3663.0</v>
      </c>
      <c r="K1249" s="23">
        <v>4499.0</v>
      </c>
    </row>
    <row r="1250">
      <c r="A1250" s="7" t="s">
        <v>1363</v>
      </c>
      <c r="B1250" s="7" t="s">
        <v>1121</v>
      </c>
      <c r="C1250" s="8">
        <v>1349.0</v>
      </c>
      <c r="D1250" s="8">
        <v>1850.0</v>
      </c>
      <c r="E1250" s="19">
        <v>0.27</v>
      </c>
      <c r="F1250" s="10">
        <v>4.4</v>
      </c>
      <c r="G1250" s="10">
        <v>638.0</v>
      </c>
      <c r="K1250" s="23">
        <v>4699.0</v>
      </c>
    </row>
    <row r="1251">
      <c r="A1251" s="7" t="s">
        <v>1364</v>
      </c>
      <c r="B1251" s="7" t="s">
        <v>1263</v>
      </c>
      <c r="C1251" s="8">
        <v>6236.0</v>
      </c>
      <c r="D1251" s="8">
        <v>9999.0</v>
      </c>
      <c r="E1251" s="19">
        <v>0.38</v>
      </c>
      <c r="F1251" s="10">
        <v>4.1</v>
      </c>
      <c r="G1251" s="11">
        <v>3552.0</v>
      </c>
      <c r="K1251" s="23">
        <v>4789.0</v>
      </c>
    </row>
    <row r="1252">
      <c r="A1252" s="7" t="s">
        <v>1365</v>
      </c>
      <c r="B1252" s="7" t="s">
        <v>1109</v>
      </c>
      <c r="C1252" s="8">
        <v>2742.0</v>
      </c>
      <c r="D1252" s="8">
        <v>3995.0</v>
      </c>
      <c r="E1252" s="19">
        <v>0.31</v>
      </c>
      <c r="F1252" s="10">
        <v>4.4</v>
      </c>
      <c r="G1252" s="11">
        <v>11148.0</v>
      </c>
      <c r="K1252" s="23">
        <v>4790.0</v>
      </c>
    </row>
    <row r="1253">
      <c r="A1253" s="7" t="s">
        <v>1366</v>
      </c>
      <c r="B1253" s="7" t="s">
        <v>1299</v>
      </c>
      <c r="C1253" s="8">
        <v>721.0</v>
      </c>
      <c r="D1253" s="8">
        <v>1499.0</v>
      </c>
      <c r="E1253" s="19">
        <v>0.52</v>
      </c>
      <c r="F1253" s="10">
        <v>3.1</v>
      </c>
      <c r="G1253" s="11">
        <v>2449.0</v>
      </c>
      <c r="K1253" s="23">
        <v>4799.0</v>
      </c>
    </row>
    <row r="1254">
      <c r="A1254" s="7" t="s">
        <v>1367</v>
      </c>
      <c r="B1254" s="7" t="s">
        <v>1139</v>
      </c>
      <c r="C1254" s="8">
        <v>2903.0</v>
      </c>
      <c r="D1254" s="8">
        <v>3295.0</v>
      </c>
      <c r="E1254" s="19">
        <v>0.12</v>
      </c>
      <c r="F1254" s="10">
        <v>4.3</v>
      </c>
      <c r="G1254" s="11">
        <v>2299.0</v>
      </c>
      <c r="K1254" s="23">
        <v>4899.0</v>
      </c>
    </row>
    <row r="1255">
      <c r="A1255" s="7" t="s">
        <v>1368</v>
      </c>
      <c r="B1255" s="7" t="s">
        <v>1173</v>
      </c>
      <c r="C1255" s="8">
        <v>1656.0</v>
      </c>
      <c r="D1255" s="8">
        <v>2695.0</v>
      </c>
      <c r="E1255" s="19">
        <v>0.39</v>
      </c>
      <c r="F1255" s="10">
        <v>4.4</v>
      </c>
      <c r="G1255" s="11">
        <v>6027.0</v>
      </c>
      <c r="K1255" s="23">
        <v>4995.0</v>
      </c>
    </row>
    <row r="1256">
      <c r="A1256" s="7" t="s">
        <v>1369</v>
      </c>
      <c r="B1256" s="7" t="s">
        <v>1155</v>
      </c>
      <c r="C1256" s="8">
        <v>1399.0</v>
      </c>
      <c r="D1256" s="8">
        <v>2290.0</v>
      </c>
      <c r="E1256" s="19">
        <v>0.39</v>
      </c>
      <c r="F1256" s="10">
        <v>4.4</v>
      </c>
      <c r="G1256" s="10">
        <v>461.0</v>
      </c>
      <c r="K1256" s="23">
        <v>4999.0</v>
      </c>
    </row>
    <row r="1257">
      <c r="A1257" s="7" t="s">
        <v>1370</v>
      </c>
      <c r="B1257" s="7" t="s">
        <v>1159</v>
      </c>
      <c r="C1257" s="8">
        <v>2079.0</v>
      </c>
      <c r="D1257" s="8">
        <v>3099.0</v>
      </c>
      <c r="E1257" s="19">
        <v>0.33</v>
      </c>
      <c r="F1257" s="10">
        <v>4.1</v>
      </c>
      <c r="G1257" s="10">
        <v>282.0</v>
      </c>
      <c r="K1257" s="23">
        <v>4999.0</v>
      </c>
    </row>
    <row r="1258">
      <c r="A1258" s="7" t="s">
        <v>1371</v>
      </c>
      <c r="B1258" s="7" t="s">
        <v>1131</v>
      </c>
      <c r="C1258" s="8">
        <v>999.0</v>
      </c>
      <c r="D1258" s="8">
        <v>1075.0</v>
      </c>
      <c r="E1258" s="19">
        <v>0.07</v>
      </c>
      <c r="F1258" s="10">
        <v>4.1</v>
      </c>
      <c r="G1258" s="11">
        <v>9275.0</v>
      </c>
      <c r="K1258" s="23">
        <v>4999.0</v>
      </c>
    </row>
    <row r="1259">
      <c r="A1259" s="7" t="s">
        <v>1372</v>
      </c>
      <c r="B1259" s="7" t="s">
        <v>1148</v>
      </c>
      <c r="C1259" s="8">
        <v>3179.0</v>
      </c>
      <c r="D1259" s="8">
        <v>6999.0</v>
      </c>
      <c r="E1259" s="19">
        <v>0.55</v>
      </c>
      <c r="F1259" s="10">
        <v>4.0</v>
      </c>
      <c r="G1259" s="10">
        <v>743.0</v>
      </c>
      <c r="K1259" s="23">
        <v>4999.0</v>
      </c>
    </row>
    <row r="1260">
      <c r="A1260" s="7" t="s">
        <v>1373</v>
      </c>
      <c r="B1260" s="7" t="s">
        <v>1115</v>
      </c>
      <c r="C1260" s="8">
        <v>1049.0</v>
      </c>
      <c r="D1260" s="8">
        <v>2499.0</v>
      </c>
      <c r="E1260" s="19">
        <v>0.58</v>
      </c>
      <c r="F1260" s="10">
        <v>3.6</v>
      </c>
      <c r="G1260" s="10">
        <v>328.0</v>
      </c>
      <c r="K1260" s="23">
        <v>4999.0</v>
      </c>
    </row>
    <row r="1261">
      <c r="A1261" s="7" t="s">
        <v>1374</v>
      </c>
      <c r="B1261" s="7" t="s">
        <v>1115</v>
      </c>
      <c r="C1261" s="8">
        <v>3599.0</v>
      </c>
      <c r="D1261" s="8">
        <v>7290.0</v>
      </c>
      <c r="E1261" s="19">
        <v>0.51</v>
      </c>
      <c r="F1261" s="10">
        <v>3.9</v>
      </c>
      <c r="G1261" s="10">
        <v>942.0</v>
      </c>
      <c r="K1261" s="23">
        <v>5299.0</v>
      </c>
    </row>
    <row r="1262">
      <c r="A1262" s="7" t="s">
        <v>1375</v>
      </c>
      <c r="B1262" s="7" t="s">
        <v>1376</v>
      </c>
      <c r="C1262" s="8">
        <v>4799.0</v>
      </c>
      <c r="D1262" s="8">
        <v>5795.0</v>
      </c>
      <c r="E1262" s="19">
        <v>0.17</v>
      </c>
      <c r="F1262" s="10">
        <v>3.9</v>
      </c>
      <c r="G1262" s="11">
        <v>3815.0</v>
      </c>
      <c r="K1262" s="23">
        <v>5365.0</v>
      </c>
    </row>
    <row r="1263">
      <c r="A1263" s="7" t="s">
        <v>1377</v>
      </c>
      <c r="B1263" s="7" t="s">
        <v>1113</v>
      </c>
      <c r="C1263" s="8">
        <v>1699.0</v>
      </c>
      <c r="D1263" s="8">
        <v>3398.0</v>
      </c>
      <c r="E1263" s="19">
        <v>0.5</v>
      </c>
      <c r="F1263" s="10">
        <v>3.8</v>
      </c>
      <c r="G1263" s="11">
        <v>7988.0</v>
      </c>
      <c r="K1263" s="23">
        <v>5395.0</v>
      </c>
    </row>
    <row r="1264">
      <c r="A1264" s="7" t="s">
        <v>1378</v>
      </c>
      <c r="B1264" s="7" t="s">
        <v>1121</v>
      </c>
      <c r="C1264" s="8">
        <v>664.0</v>
      </c>
      <c r="D1264" s="8">
        <v>1490.0</v>
      </c>
      <c r="E1264" s="19">
        <v>0.55</v>
      </c>
      <c r="F1264" s="10">
        <v>4.1</v>
      </c>
      <c r="G1264" s="10">
        <v>925.0</v>
      </c>
      <c r="K1264" s="23">
        <v>5490.0</v>
      </c>
    </row>
    <row r="1265">
      <c r="A1265" s="7" t="s">
        <v>1379</v>
      </c>
      <c r="B1265" s="7" t="s">
        <v>1380</v>
      </c>
      <c r="C1265" s="8">
        <v>948.0</v>
      </c>
      <c r="D1265" s="8">
        <v>1620.0</v>
      </c>
      <c r="E1265" s="19">
        <v>0.41</v>
      </c>
      <c r="F1265" s="10">
        <v>4.1</v>
      </c>
      <c r="G1265" s="11">
        <v>4370.0</v>
      </c>
      <c r="K1265" s="23">
        <v>5499.0</v>
      </c>
    </row>
    <row r="1266">
      <c r="A1266" s="7" t="s">
        <v>1381</v>
      </c>
      <c r="B1266" s="7" t="s">
        <v>1111</v>
      </c>
      <c r="C1266" s="8">
        <v>850.0</v>
      </c>
      <c r="D1266" s="8">
        <v>1000.0</v>
      </c>
      <c r="E1266" s="19">
        <v>0.15</v>
      </c>
      <c r="F1266" s="10">
        <v>4.1</v>
      </c>
      <c r="G1266" s="11">
        <v>7619.0</v>
      </c>
      <c r="K1266" s="23">
        <v>5499.0</v>
      </c>
    </row>
    <row r="1267">
      <c r="A1267" s="7" t="s">
        <v>1382</v>
      </c>
      <c r="B1267" s="7" t="s">
        <v>1230</v>
      </c>
      <c r="C1267" s="8">
        <v>600.0</v>
      </c>
      <c r="D1267" s="8">
        <v>640.0</v>
      </c>
      <c r="E1267" s="19">
        <v>0.06</v>
      </c>
      <c r="F1267" s="10">
        <v>3.8</v>
      </c>
      <c r="G1267" s="11">
        <v>2593.0</v>
      </c>
      <c r="K1267" s="23">
        <v>5499.0</v>
      </c>
    </row>
    <row r="1268">
      <c r="A1268" s="7" t="s">
        <v>1383</v>
      </c>
      <c r="B1268" s="7" t="s">
        <v>1089</v>
      </c>
      <c r="C1268" s="8">
        <v>3711.0</v>
      </c>
      <c r="D1268" s="8">
        <v>4495.0</v>
      </c>
      <c r="E1268" s="19">
        <v>0.17</v>
      </c>
      <c r="F1268" s="10">
        <v>4.3</v>
      </c>
      <c r="G1268" s="10">
        <v>356.0</v>
      </c>
      <c r="K1268" s="23">
        <v>5599.0</v>
      </c>
    </row>
    <row r="1269">
      <c r="A1269" s="7" t="s">
        <v>1384</v>
      </c>
      <c r="B1269" s="7" t="s">
        <v>1095</v>
      </c>
      <c r="C1269" s="8">
        <v>799.0</v>
      </c>
      <c r="D1269" s="8">
        <v>2999.0</v>
      </c>
      <c r="E1269" s="19">
        <v>0.73</v>
      </c>
      <c r="F1269" s="10">
        <v>4.5</v>
      </c>
      <c r="G1269" s="10">
        <v>63.0</v>
      </c>
      <c r="K1269" s="23">
        <v>5699.0</v>
      </c>
    </row>
    <row r="1270">
      <c r="A1270" s="7" t="s">
        <v>1385</v>
      </c>
      <c r="B1270" s="7" t="s">
        <v>1228</v>
      </c>
      <c r="C1270" s="8">
        <v>980.0</v>
      </c>
      <c r="D1270" s="8">
        <v>980.0</v>
      </c>
      <c r="E1270" s="19">
        <v>0.0</v>
      </c>
      <c r="F1270" s="10">
        <v>4.2</v>
      </c>
      <c r="G1270" s="11">
        <v>4740.0</v>
      </c>
      <c r="K1270" s="23">
        <v>5799.0</v>
      </c>
    </row>
    <row r="1271">
      <c r="A1271" s="7" t="s">
        <v>1386</v>
      </c>
      <c r="B1271" s="7" t="s">
        <v>1137</v>
      </c>
      <c r="C1271" s="8">
        <v>351.0</v>
      </c>
      <c r="D1271" s="8">
        <v>899.0</v>
      </c>
      <c r="E1271" s="19">
        <v>0.61</v>
      </c>
      <c r="F1271" s="10">
        <v>3.9</v>
      </c>
      <c r="G1271" s="10">
        <v>296.0</v>
      </c>
      <c r="K1271" s="23">
        <v>5865.0</v>
      </c>
    </row>
    <row r="1272">
      <c r="A1272" s="7" t="s">
        <v>1387</v>
      </c>
      <c r="B1272" s="7" t="s">
        <v>1388</v>
      </c>
      <c r="C1272" s="8">
        <v>229.0</v>
      </c>
      <c r="D1272" s="8">
        <v>499.0</v>
      </c>
      <c r="E1272" s="19">
        <v>0.54</v>
      </c>
      <c r="F1272" s="10">
        <v>3.5</v>
      </c>
      <c r="G1272" s="10">
        <v>185.0</v>
      </c>
      <c r="K1272" s="23">
        <v>5890.0</v>
      </c>
    </row>
    <row r="1273">
      <c r="A1273" s="7" t="s">
        <v>1389</v>
      </c>
      <c r="B1273" s="7" t="s">
        <v>1139</v>
      </c>
      <c r="C1273" s="8">
        <v>3349.0</v>
      </c>
      <c r="D1273" s="8">
        <v>3995.0</v>
      </c>
      <c r="E1273" s="19">
        <v>0.16</v>
      </c>
      <c r="F1273" s="10">
        <v>4.3</v>
      </c>
      <c r="G1273" s="11">
        <v>1954.0</v>
      </c>
      <c r="K1273" s="23">
        <v>5899.0</v>
      </c>
    </row>
    <row r="1274">
      <c r="A1274" s="7" t="s">
        <v>1390</v>
      </c>
      <c r="B1274" s="7" t="s">
        <v>1123</v>
      </c>
      <c r="C1274" s="8">
        <v>5499.0</v>
      </c>
      <c r="D1274" s="8">
        <v>11500.0</v>
      </c>
      <c r="E1274" s="19">
        <v>0.52</v>
      </c>
      <c r="F1274" s="10">
        <v>3.9</v>
      </c>
      <c r="G1274" s="10">
        <v>959.0</v>
      </c>
      <c r="K1274" s="23">
        <v>5998.0</v>
      </c>
    </row>
    <row r="1275">
      <c r="A1275" s="7" t="s">
        <v>1391</v>
      </c>
      <c r="B1275" s="7" t="s">
        <v>1093</v>
      </c>
      <c r="C1275" s="8">
        <v>299.0</v>
      </c>
      <c r="D1275" s="8">
        <v>499.0</v>
      </c>
      <c r="E1275" s="19">
        <v>0.4</v>
      </c>
      <c r="F1275" s="10">
        <v>3.9</v>
      </c>
      <c r="G1275" s="11">
        <v>1015.0</v>
      </c>
      <c r="K1275" s="23">
        <v>5999.0</v>
      </c>
    </row>
    <row r="1276">
      <c r="A1276" s="7" t="s">
        <v>1392</v>
      </c>
      <c r="B1276" s="7" t="s">
        <v>1393</v>
      </c>
      <c r="C1276" s="8">
        <v>2249.0</v>
      </c>
      <c r="D1276" s="8">
        <v>3550.0</v>
      </c>
      <c r="E1276" s="19">
        <v>0.37</v>
      </c>
      <c r="F1276" s="10">
        <v>4.0</v>
      </c>
      <c r="G1276" s="11">
        <v>3973.0</v>
      </c>
      <c r="K1276" s="23">
        <v>5999.0</v>
      </c>
    </row>
    <row r="1277">
      <c r="A1277" s="7" t="s">
        <v>1394</v>
      </c>
      <c r="B1277" s="7" t="s">
        <v>1155</v>
      </c>
      <c r="C1277" s="8">
        <v>699.0</v>
      </c>
      <c r="D1277" s="8">
        <v>1599.0</v>
      </c>
      <c r="E1277" s="19">
        <v>0.56</v>
      </c>
      <c r="F1277" s="10">
        <v>4.7</v>
      </c>
      <c r="G1277" s="11">
        <v>2300.0</v>
      </c>
      <c r="K1277" s="23">
        <v>5999.0</v>
      </c>
    </row>
    <row r="1278">
      <c r="A1278" s="7" t="s">
        <v>1395</v>
      </c>
      <c r="B1278" s="7" t="s">
        <v>1089</v>
      </c>
      <c r="C1278" s="8">
        <v>1235.0</v>
      </c>
      <c r="D1278" s="8">
        <v>1499.0</v>
      </c>
      <c r="E1278" s="19">
        <v>0.18</v>
      </c>
      <c r="F1278" s="10">
        <v>4.1</v>
      </c>
      <c r="G1278" s="10">
        <v>203.0</v>
      </c>
      <c r="K1278" s="23">
        <v>6120.0</v>
      </c>
    </row>
    <row r="1279">
      <c r="A1279" s="7" t="s">
        <v>1396</v>
      </c>
      <c r="B1279" s="7" t="s">
        <v>1173</v>
      </c>
      <c r="C1279" s="8">
        <v>1349.0</v>
      </c>
      <c r="D1279" s="8">
        <v>2999.0</v>
      </c>
      <c r="E1279" s="19">
        <v>0.55</v>
      </c>
      <c r="F1279" s="10">
        <v>3.8</v>
      </c>
      <c r="G1279" s="10">
        <v>441.0</v>
      </c>
      <c r="K1279" s="23">
        <v>6120.0</v>
      </c>
    </row>
    <row r="1280">
      <c r="A1280" s="7" t="s">
        <v>1397</v>
      </c>
      <c r="B1280" s="7" t="s">
        <v>1123</v>
      </c>
      <c r="C1280" s="8">
        <v>6800.0</v>
      </c>
      <c r="D1280" s="8">
        <v>11500.0</v>
      </c>
      <c r="E1280" s="19">
        <v>0.41</v>
      </c>
      <c r="F1280" s="10">
        <v>4.1</v>
      </c>
      <c r="G1280" s="11">
        <v>10308.0</v>
      </c>
      <c r="K1280" s="23">
        <v>6199.0</v>
      </c>
    </row>
    <row r="1281">
      <c r="A1281" s="7" t="s">
        <v>1398</v>
      </c>
      <c r="B1281" s="7" t="s">
        <v>1148</v>
      </c>
      <c r="C1281" s="8">
        <v>2099.0</v>
      </c>
      <c r="D1281" s="8">
        <v>2499.0</v>
      </c>
      <c r="E1281" s="19">
        <v>0.16</v>
      </c>
      <c r="F1281" s="7" t="s">
        <v>1399</v>
      </c>
      <c r="G1281" s="10">
        <v>992.0</v>
      </c>
      <c r="K1281" s="23">
        <v>6199.0</v>
      </c>
    </row>
    <row r="1282">
      <c r="A1282" s="7" t="s">
        <v>1400</v>
      </c>
      <c r="B1282" s="7" t="s">
        <v>1159</v>
      </c>
      <c r="C1282" s="8">
        <v>1699.0</v>
      </c>
      <c r="D1282" s="8">
        <v>1975.0</v>
      </c>
      <c r="E1282" s="19">
        <v>0.14</v>
      </c>
      <c r="F1282" s="10">
        <v>4.1</v>
      </c>
      <c r="G1282" s="11">
        <v>4716.0</v>
      </c>
      <c r="K1282" s="23">
        <v>6236.0</v>
      </c>
    </row>
    <row r="1283">
      <c r="A1283" s="7" t="s">
        <v>1401</v>
      </c>
      <c r="B1283" s="7" t="s">
        <v>1091</v>
      </c>
      <c r="C1283" s="8">
        <v>1069.0</v>
      </c>
      <c r="D1283" s="8">
        <v>1699.0</v>
      </c>
      <c r="E1283" s="19">
        <v>0.37</v>
      </c>
      <c r="F1283" s="10">
        <v>3.9</v>
      </c>
      <c r="G1283" s="10">
        <v>313.0</v>
      </c>
      <c r="K1283" s="23">
        <v>6299.0</v>
      </c>
    </row>
    <row r="1284">
      <c r="A1284" s="7" t="s">
        <v>1402</v>
      </c>
      <c r="B1284" s="7" t="s">
        <v>1091</v>
      </c>
      <c r="C1284" s="8">
        <v>1349.0</v>
      </c>
      <c r="D1284" s="8">
        <v>2495.0</v>
      </c>
      <c r="E1284" s="19">
        <v>0.46</v>
      </c>
      <c r="F1284" s="10">
        <v>3.8</v>
      </c>
      <c r="G1284" s="10">
        <v>166.0</v>
      </c>
      <c r="K1284" s="23">
        <v>6299.0</v>
      </c>
    </row>
    <row r="1285">
      <c r="A1285" s="7" t="s">
        <v>1403</v>
      </c>
      <c r="B1285" s="7" t="s">
        <v>1131</v>
      </c>
      <c r="C1285" s="8">
        <v>1499.0</v>
      </c>
      <c r="D1285" s="8">
        <v>3500.0</v>
      </c>
      <c r="E1285" s="19">
        <v>0.57</v>
      </c>
      <c r="F1285" s="10">
        <v>4.1</v>
      </c>
      <c r="G1285" s="10">
        <v>303.0</v>
      </c>
      <c r="K1285" s="23">
        <v>6490.0</v>
      </c>
    </row>
    <row r="1286">
      <c r="A1286" s="7" t="s">
        <v>1404</v>
      </c>
      <c r="B1286" s="7" t="s">
        <v>1159</v>
      </c>
      <c r="C1286" s="8">
        <v>2092.0</v>
      </c>
      <c r="D1286" s="8">
        <v>4600.0</v>
      </c>
      <c r="E1286" s="19">
        <v>0.55</v>
      </c>
      <c r="F1286" s="10">
        <v>4.3</v>
      </c>
      <c r="G1286" s="10">
        <v>562.0</v>
      </c>
      <c r="K1286" s="23">
        <v>6499.0</v>
      </c>
    </row>
    <row r="1287">
      <c r="A1287" s="7" t="s">
        <v>1405</v>
      </c>
      <c r="B1287" s="7" t="s">
        <v>1263</v>
      </c>
      <c r="C1287" s="8">
        <v>3859.0</v>
      </c>
      <c r="D1287" s="8">
        <v>10295.0</v>
      </c>
      <c r="E1287" s="19">
        <v>0.63</v>
      </c>
      <c r="F1287" s="10">
        <v>3.9</v>
      </c>
      <c r="G1287" s="11">
        <v>8095.0</v>
      </c>
      <c r="K1287" s="23">
        <v>6499.0</v>
      </c>
    </row>
    <row r="1288">
      <c r="A1288" s="7" t="s">
        <v>1406</v>
      </c>
      <c r="B1288" s="7" t="s">
        <v>1144</v>
      </c>
      <c r="C1288" s="8">
        <v>499.0</v>
      </c>
      <c r="D1288" s="8">
        <v>2199.0</v>
      </c>
      <c r="E1288" s="19">
        <v>0.77</v>
      </c>
      <c r="F1288" s="10">
        <v>2.8</v>
      </c>
      <c r="G1288" s="10">
        <v>109.0</v>
      </c>
      <c r="K1288" s="23">
        <v>6499.0</v>
      </c>
    </row>
    <row r="1289">
      <c r="A1289" s="7" t="s">
        <v>1407</v>
      </c>
      <c r="B1289" s="7" t="s">
        <v>1186</v>
      </c>
      <c r="C1289" s="8">
        <v>1804.0</v>
      </c>
      <c r="D1289" s="8">
        <v>2380.0</v>
      </c>
      <c r="E1289" s="19">
        <v>0.24</v>
      </c>
      <c r="F1289" s="10">
        <v>4.0</v>
      </c>
      <c r="G1289" s="11">
        <v>15382.0</v>
      </c>
      <c r="K1289" s="23">
        <v>6499.0</v>
      </c>
    </row>
    <row r="1290">
      <c r="A1290" s="7" t="s">
        <v>1408</v>
      </c>
      <c r="B1290" s="7" t="s">
        <v>1144</v>
      </c>
      <c r="C1290" s="8">
        <v>6525.0</v>
      </c>
      <c r="D1290" s="8">
        <v>8820.0</v>
      </c>
      <c r="E1290" s="19">
        <v>0.26</v>
      </c>
      <c r="F1290" s="10">
        <v>4.5</v>
      </c>
      <c r="G1290" s="11">
        <v>5137.0</v>
      </c>
      <c r="K1290" s="23">
        <v>6499.0</v>
      </c>
    </row>
    <row r="1291">
      <c r="A1291" s="7" t="s">
        <v>1409</v>
      </c>
      <c r="B1291" s="7" t="s">
        <v>1280</v>
      </c>
      <c r="C1291" s="8">
        <v>4999.0</v>
      </c>
      <c r="D1291" s="8">
        <v>24999.0</v>
      </c>
      <c r="E1291" s="19">
        <v>0.8</v>
      </c>
      <c r="F1291" s="10">
        <v>4.6</v>
      </c>
      <c r="G1291" s="10">
        <v>124.0</v>
      </c>
      <c r="K1291" s="23">
        <v>6499.0</v>
      </c>
    </row>
    <row r="1292">
      <c r="A1292" s="7" t="s">
        <v>1410</v>
      </c>
      <c r="B1292" s="7" t="s">
        <v>1225</v>
      </c>
      <c r="C1292" s="8">
        <v>1189.0</v>
      </c>
      <c r="D1292" s="8">
        <v>2400.0</v>
      </c>
      <c r="E1292" s="19">
        <v>0.5</v>
      </c>
      <c r="F1292" s="10">
        <v>4.1</v>
      </c>
      <c r="G1292" s="10">
        <v>618.0</v>
      </c>
      <c r="K1292" s="23">
        <v>6499.0</v>
      </c>
    </row>
    <row r="1293">
      <c r="A1293" s="7" t="s">
        <v>1411</v>
      </c>
      <c r="B1293" s="7" t="s">
        <v>1091</v>
      </c>
      <c r="C1293" s="8">
        <v>2590.0</v>
      </c>
      <c r="D1293" s="8">
        <v>4200.0</v>
      </c>
      <c r="E1293" s="19">
        <v>0.38</v>
      </c>
      <c r="F1293" s="10">
        <v>4.1</v>
      </c>
      <c r="G1293" s="10">
        <v>63.0</v>
      </c>
      <c r="K1293" s="23">
        <v>6525.0</v>
      </c>
    </row>
    <row r="1294">
      <c r="A1294" s="7" t="s">
        <v>1412</v>
      </c>
      <c r="B1294" s="7" t="s">
        <v>1091</v>
      </c>
      <c r="C1294" s="8">
        <v>899.0</v>
      </c>
      <c r="D1294" s="8">
        <v>1599.0</v>
      </c>
      <c r="E1294" s="19">
        <v>0.44</v>
      </c>
      <c r="F1294" s="10">
        <v>3.4</v>
      </c>
      <c r="G1294" s="10">
        <v>15.0</v>
      </c>
      <c r="K1294" s="23">
        <v>6549.0</v>
      </c>
    </row>
    <row r="1295">
      <c r="A1295" s="7" t="s">
        <v>1413</v>
      </c>
      <c r="B1295" s="7" t="s">
        <v>1091</v>
      </c>
      <c r="C1295" s="8">
        <v>998.0</v>
      </c>
      <c r="D1295" s="8">
        <v>2999.0</v>
      </c>
      <c r="E1295" s="19">
        <v>0.67</v>
      </c>
      <c r="F1295" s="10">
        <v>4.6</v>
      </c>
      <c r="G1295" s="10">
        <v>9.0</v>
      </c>
      <c r="K1295" s="23">
        <v>6790.0</v>
      </c>
    </row>
    <row r="1296">
      <c r="A1296" s="7" t="s">
        <v>1414</v>
      </c>
      <c r="B1296" s="7" t="s">
        <v>1137</v>
      </c>
      <c r="C1296" s="8">
        <v>998.06</v>
      </c>
      <c r="D1296" s="8">
        <v>1282.0</v>
      </c>
      <c r="E1296" s="19">
        <v>0.22</v>
      </c>
      <c r="F1296" s="10">
        <v>4.2</v>
      </c>
      <c r="G1296" s="11">
        <v>7274.0</v>
      </c>
      <c r="K1296" s="23">
        <v>6800.0</v>
      </c>
    </row>
    <row r="1297">
      <c r="A1297" s="7" t="s">
        <v>1415</v>
      </c>
      <c r="B1297" s="7" t="s">
        <v>1186</v>
      </c>
      <c r="C1297" s="8">
        <v>1099.0</v>
      </c>
      <c r="D1297" s="8">
        <v>1990.0</v>
      </c>
      <c r="E1297" s="19">
        <v>0.45</v>
      </c>
      <c r="F1297" s="10">
        <v>3.9</v>
      </c>
      <c r="G1297" s="11">
        <v>5911.0</v>
      </c>
      <c r="K1297" s="23">
        <v>6850.0</v>
      </c>
    </row>
    <row r="1298">
      <c r="A1298" s="7" t="s">
        <v>1416</v>
      </c>
      <c r="B1298" s="7" t="s">
        <v>1197</v>
      </c>
      <c r="C1298" s="8">
        <v>5999.0</v>
      </c>
      <c r="D1298" s="8">
        <v>9999.0</v>
      </c>
      <c r="E1298" s="19">
        <v>0.4</v>
      </c>
      <c r="F1298" s="10">
        <v>4.2</v>
      </c>
      <c r="G1298" s="10">
        <v>170.0</v>
      </c>
      <c r="K1298" s="23">
        <v>6990.0</v>
      </c>
    </row>
    <row r="1299">
      <c r="A1299" s="7" t="s">
        <v>1417</v>
      </c>
      <c r="B1299" s="7" t="s">
        <v>1263</v>
      </c>
      <c r="C1299" s="8">
        <v>8886.0</v>
      </c>
      <c r="D1299" s="8">
        <v>11850.0</v>
      </c>
      <c r="E1299" s="19">
        <v>0.25</v>
      </c>
      <c r="F1299" s="10">
        <v>4.2</v>
      </c>
      <c r="G1299" s="11">
        <v>3065.0</v>
      </c>
      <c r="K1299" s="23">
        <v>6999.0</v>
      </c>
    </row>
    <row r="1300">
      <c r="A1300" s="7" t="s">
        <v>1418</v>
      </c>
      <c r="B1300" s="7" t="s">
        <v>1093</v>
      </c>
      <c r="C1300" s="8">
        <v>475.0</v>
      </c>
      <c r="D1300" s="8">
        <v>999.0</v>
      </c>
      <c r="E1300" s="19">
        <v>0.52</v>
      </c>
      <c r="F1300" s="10">
        <v>4.1</v>
      </c>
      <c r="G1300" s="11">
        <v>1021.0</v>
      </c>
      <c r="K1300" s="23">
        <v>6999.0</v>
      </c>
    </row>
    <row r="1301">
      <c r="A1301" s="7" t="s">
        <v>1419</v>
      </c>
      <c r="B1301" s="7" t="s">
        <v>1135</v>
      </c>
      <c r="C1301" s="8">
        <v>4995.0</v>
      </c>
      <c r="D1301" s="8">
        <v>20049.0</v>
      </c>
      <c r="E1301" s="19">
        <v>0.75</v>
      </c>
      <c r="F1301" s="10">
        <v>4.8</v>
      </c>
      <c r="G1301" s="11">
        <v>3964.0</v>
      </c>
      <c r="K1301" s="23">
        <v>6999.0</v>
      </c>
    </row>
    <row r="1302">
      <c r="A1302" s="7" t="s">
        <v>1420</v>
      </c>
      <c r="B1302" s="7" t="s">
        <v>1280</v>
      </c>
      <c r="C1302" s="8">
        <v>13999.0</v>
      </c>
      <c r="D1302" s="8">
        <v>24850.0</v>
      </c>
      <c r="E1302" s="19">
        <v>0.44</v>
      </c>
      <c r="F1302" s="10">
        <v>4.4</v>
      </c>
      <c r="G1302" s="11">
        <v>8948.0</v>
      </c>
      <c r="K1302" s="23">
        <v>6999.0</v>
      </c>
    </row>
    <row r="1303">
      <c r="A1303" s="7" t="s">
        <v>1421</v>
      </c>
      <c r="B1303" s="7" t="s">
        <v>1280</v>
      </c>
      <c r="C1303" s="8">
        <v>8499.0</v>
      </c>
      <c r="D1303" s="8">
        <v>16490.0</v>
      </c>
      <c r="E1303" s="19">
        <v>0.48</v>
      </c>
      <c r="F1303" s="10">
        <v>4.3</v>
      </c>
      <c r="G1303" s="10">
        <v>97.0</v>
      </c>
      <c r="K1303" s="23">
        <v>7199.0</v>
      </c>
    </row>
    <row r="1304">
      <c r="A1304" s="7" t="s">
        <v>1422</v>
      </c>
      <c r="B1304" s="7" t="s">
        <v>1111</v>
      </c>
      <c r="C1304" s="8">
        <v>949.0</v>
      </c>
      <c r="D1304" s="8">
        <v>975.0</v>
      </c>
      <c r="E1304" s="19">
        <v>0.03</v>
      </c>
      <c r="F1304" s="10">
        <v>4.3</v>
      </c>
      <c r="G1304" s="11">
        <v>7223.0</v>
      </c>
      <c r="K1304" s="23">
        <v>7299.0</v>
      </c>
    </row>
    <row r="1305">
      <c r="A1305" s="7" t="s">
        <v>1423</v>
      </c>
      <c r="B1305" s="7" t="s">
        <v>1137</v>
      </c>
      <c r="C1305" s="8">
        <v>395.0</v>
      </c>
      <c r="D1305" s="8">
        <v>499.0</v>
      </c>
      <c r="E1305" s="19">
        <v>0.21</v>
      </c>
      <c r="F1305" s="10">
        <v>4.0</v>
      </c>
      <c r="G1305" s="10">
        <v>330.0</v>
      </c>
      <c r="K1305" s="23">
        <v>7349.0</v>
      </c>
    </row>
    <row r="1306">
      <c r="A1306" s="7" t="s">
        <v>1424</v>
      </c>
      <c r="B1306" s="7" t="s">
        <v>1425</v>
      </c>
      <c r="C1306" s="8">
        <v>635.0</v>
      </c>
      <c r="D1306" s="8">
        <v>635.0</v>
      </c>
      <c r="E1306" s="19">
        <v>0.0</v>
      </c>
      <c r="F1306" s="10">
        <v>4.3</v>
      </c>
      <c r="G1306" s="11">
        <v>4570.0</v>
      </c>
      <c r="K1306" s="23">
        <v>7390.0</v>
      </c>
    </row>
    <row r="1307">
      <c r="A1307" s="7" t="s">
        <v>1426</v>
      </c>
      <c r="B1307" s="7" t="s">
        <v>1111</v>
      </c>
      <c r="C1307" s="8">
        <v>717.0</v>
      </c>
      <c r="D1307" s="8">
        <v>1390.0</v>
      </c>
      <c r="E1307" s="19">
        <v>0.48</v>
      </c>
      <c r="F1307" s="10">
        <v>4.0</v>
      </c>
      <c r="G1307" s="11">
        <v>4867.0</v>
      </c>
      <c r="K1307" s="23">
        <v>7499.0</v>
      </c>
    </row>
    <row r="1308">
      <c r="A1308" s="7" t="s">
        <v>1427</v>
      </c>
      <c r="B1308" s="7" t="s">
        <v>1428</v>
      </c>
      <c r="C1308" s="8">
        <v>27900.0</v>
      </c>
      <c r="D1308" s="8">
        <v>59900.0</v>
      </c>
      <c r="E1308" s="19">
        <v>0.53</v>
      </c>
      <c r="F1308" s="10">
        <v>4.4</v>
      </c>
      <c r="G1308" s="11">
        <v>5298.0</v>
      </c>
      <c r="K1308" s="23">
        <v>7499.0</v>
      </c>
    </row>
    <row r="1309">
      <c r="A1309" s="7" t="s">
        <v>1429</v>
      </c>
      <c r="B1309" s="7" t="s">
        <v>1230</v>
      </c>
      <c r="C1309" s="8">
        <v>649.0</v>
      </c>
      <c r="D1309" s="8">
        <v>670.0</v>
      </c>
      <c r="E1309" s="19">
        <v>0.03</v>
      </c>
      <c r="F1309" s="10">
        <v>4.1</v>
      </c>
      <c r="G1309" s="11">
        <v>7786.0</v>
      </c>
      <c r="K1309" s="23">
        <v>7799.0</v>
      </c>
    </row>
    <row r="1310">
      <c r="A1310" s="7" t="s">
        <v>1430</v>
      </c>
      <c r="B1310" s="7" t="s">
        <v>1228</v>
      </c>
      <c r="C1310" s="8">
        <v>193.0</v>
      </c>
      <c r="D1310" s="8">
        <v>399.0</v>
      </c>
      <c r="E1310" s="19">
        <v>0.52</v>
      </c>
      <c r="F1310" s="10">
        <v>3.6</v>
      </c>
      <c r="G1310" s="10">
        <v>37.0</v>
      </c>
      <c r="K1310" s="23">
        <v>7799.0</v>
      </c>
    </row>
    <row r="1311">
      <c r="A1311" s="7" t="s">
        <v>1431</v>
      </c>
      <c r="B1311" s="7" t="s">
        <v>1091</v>
      </c>
      <c r="C1311" s="8">
        <v>1299.0</v>
      </c>
      <c r="D1311" s="8">
        <v>2495.0</v>
      </c>
      <c r="E1311" s="19">
        <v>0.48</v>
      </c>
      <c r="F1311" s="10">
        <v>2.0</v>
      </c>
      <c r="G1311" s="10">
        <v>2.0</v>
      </c>
      <c r="K1311" s="23">
        <v>7915.0</v>
      </c>
    </row>
    <row r="1312">
      <c r="A1312" s="7" t="s">
        <v>1432</v>
      </c>
      <c r="B1312" s="7" t="s">
        <v>1113</v>
      </c>
      <c r="C1312" s="8">
        <v>2449.0</v>
      </c>
      <c r="D1312" s="8">
        <v>3390.0</v>
      </c>
      <c r="E1312" s="19">
        <v>0.28</v>
      </c>
      <c r="F1312" s="10">
        <v>4.0</v>
      </c>
      <c r="G1312" s="11">
        <v>5206.0</v>
      </c>
      <c r="K1312" s="23">
        <v>7998.0</v>
      </c>
    </row>
    <row r="1313">
      <c r="A1313" s="7" t="s">
        <v>1433</v>
      </c>
      <c r="B1313" s="7" t="s">
        <v>1115</v>
      </c>
      <c r="C1313" s="8">
        <v>1049.0</v>
      </c>
      <c r="D1313" s="8">
        <v>2499.0</v>
      </c>
      <c r="E1313" s="19">
        <v>0.58</v>
      </c>
      <c r="F1313" s="10">
        <v>3.7</v>
      </c>
      <c r="G1313" s="10">
        <v>638.0</v>
      </c>
      <c r="K1313" s="23">
        <v>7999.0</v>
      </c>
    </row>
    <row r="1314">
      <c r="A1314" s="7" t="s">
        <v>1434</v>
      </c>
      <c r="B1314" s="7" t="s">
        <v>1380</v>
      </c>
      <c r="C1314" s="8">
        <v>2399.0</v>
      </c>
      <c r="D1314" s="8">
        <v>4200.0</v>
      </c>
      <c r="E1314" s="19">
        <v>0.43</v>
      </c>
      <c r="F1314" s="10">
        <v>3.8</v>
      </c>
      <c r="G1314" s="10">
        <v>397.0</v>
      </c>
      <c r="K1314" s="23">
        <v>7999.0</v>
      </c>
    </row>
    <row r="1315">
      <c r="A1315" s="7" t="s">
        <v>1435</v>
      </c>
      <c r="B1315" s="7" t="s">
        <v>1148</v>
      </c>
      <c r="C1315" s="8">
        <v>2286.0</v>
      </c>
      <c r="D1315" s="8">
        <v>4495.0</v>
      </c>
      <c r="E1315" s="19">
        <v>0.49</v>
      </c>
      <c r="F1315" s="10">
        <v>3.9</v>
      </c>
      <c r="G1315" s="10">
        <v>326.0</v>
      </c>
      <c r="K1315" s="23">
        <v>8199.0</v>
      </c>
    </row>
    <row r="1316">
      <c r="A1316" s="7" t="s">
        <v>1436</v>
      </c>
      <c r="B1316" s="7" t="s">
        <v>1334</v>
      </c>
      <c r="C1316" s="8">
        <v>499.0</v>
      </c>
      <c r="D1316" s="8">
        <v>2199.0</v>
      </c>
      <c r="E1316" s="19">
        <v>0.77</v>
      </c>
      <c r="F1316" s="10">
        <v>3.1</v>
      </c>
      <c r="G1316" s="11">
        <v>3527.0</v>
      </c>
      <c r="K1316" s="23">
        <v>8349.0</v>
      </c>
    </row>
    <row r="1317">
      <c r="A1317" s="7" t="s">
        <v>1437</v>
      </c>
      <c r="B1317" s="7" t="s">
        <v>1184</v>
      </c>
      <c r="C1317" s="8">
        <v>429.0</v>
      </c>
      <c r="D1317" s="8">
        <v>999.0</v>
      </c>
      <c r="E1317" s="19">
        <v>0.57</v>
      </c>
      <c r="F1317" s="10">
        <v>3.0</v>
      </c>
      <c r="G1317" s="10">
        <v>617.0</v>
      </c>
      <c r="K1317" s="23">
        <v>8499.0</v>
      </c>
    </row>
    <row r="1318">
      <c r="A1318" s="7" t="s">
        <v>1438</v>
      </c>
      <c r="B1318" s="7" t="s">
        <v>1159</v>
      </c>
      <c r="C1318" s="8">
        <v>299.0</v>
      </c>
      <c r="D1318" s="8">
        <v>595.0</v>
      </c>
      <c r="E1318" s="19">
        <v>0.5</v>
      </c>
      <c r="F1318" s="10">
        <v>4.0</v>
      </c>
      <c r="G1318" s="10">
        <v>314.0</v>
      </c>
      <c r="K1318" s="23">
        <v>8499.0</v>
      </c>
    </row>
    <row r="1319">
      <c r="A1319" s="7" t="s">
        <v>1439</v>
      </c>
      <c r="B1319" s="7" t="s">
        <v>1280</v>
      </c>
      <c r="C1319" s="8">
        <v>5395.0</v>
      </c>
      <c r="D1319" s="8">
        <v>19990.0</v>
      </c>
      <c r="E1319" s="19">
        <v>0.73</v>
      </c>
      <c r="F1319" s="10">
        <v>4.4</v>
      </c>
      <c r="G1319" s="10">
        <v>535.0</v>
      </c>
      <c r="K1319" s="23">
        <v>8499.0</v>
      </c>
    </row>
    <row r="1320">
      <c r="A1320" s="7" t="s">
        <v>1440</v>
      </c>
      <c r="B1320" s="7" t="s">
        <v>1111</v>
      </c>
      <c r="C1320" s="8">
        <v>559.0</v>
      </c>
      <c r="D1320" s="8">
        <v>1010.0</v>
      </c>
      <c r="E1320" s="19">
        <v>0.45</v>
      </c>
      <c r="F1320" s="10">
        <v>4.1</v>
      </c>
      <c r="G1320" s="11">
        <v>17325.0</v>
      </c>
      <c r="K1320" s="23">
        <v>8499.0</v>
      </c>
    </row>
    <row r="1321">
      <c r="A1321" s="7" t="s">
        <v>1441</v>
      </c>
      <c r="B1321" s="7" t="s">
        <v>1111</v>
      </c>
      <c r="C1321" s="8">
        <v>660.0</v>
      </c>
      <c r="D1321" s="8">
        <v>1100.0</v>
      </c>
      <c r="E1321" s="19">
        <v>0.4</v>
      </c>
      <c r="F1321" s="10">
        <v>3.6</v>
      </c>
      <c r="G1321" s="10">
        <v>91.0</v>
      </c>
      <c r="K1321" s="23">
        <v>8499.0</v>
      </c>
    </row>
    <row r="1322">
      <c r="A1322" s="7" t="s">
        <v>1442</v>
      </c>
      <c r="B1322" s="7" t="s">
        <v>1155</v>
      </c>
      <c r="C1322" s="8">
        <v>419.0</v>
      </c>
      <c r="D1322" s="8">
        <v>999.0</v>
      </c>
      <c r="E1322" s="19">
        <v>0.58</v>
      </c>
      <c r="F1322" s="10">
        <v>4.4</v>
      </c>
      <c r="G1322" s="10">
        <v>227.0</v>
      </c>
      <c r="K1322" s="23">
        <v>8599.0</v>
      </c>
    </row>
    <row r="1323">
      <c r="A1323" s="7" t="s">
        <v>1443</v>
      </c>
      <c r="B1323" s="7" t="s">
        <v>1123</v>
      </c>
      <c r="C1323" s="8">
        <v>7349.0</v>
      </c>
      <c r="D1323" s="8">
        <v>10900.0</v>
      </c>
      <c r="E1323" s="19">
        <v>0.33</v>
      </c>
      <c r="F1323" s="10">
        <v>4.2</v>
      </c>
      <c r="G1323" s="11">
        <v>11957.0</v>
      </c>
      <c r="K1323" s="23">
        <v>8699.0</v>
      </c>
    </row>
    <row r="1324">
      <c r="A1324" s="7" t="s">
        <v>1444</v>
      </c>
      <c r="B1324" s="7" t="s">
        <v>1186</v>
      </c>
      <c r="C1324" s="8">
        <v>2899.0</v>
      </c>
      <c r="D1324" s="8">
        <v>4005.0</v>
      </c>
      <c r="E1324" s="19">
        <v>0.28</v>
      </c>
      <c r="F1324" s="10">
        <v>4.3</v>
      </c>
      <c r="G1324" s="11">
        <v>7140.0</v>
      </c>
      <c r="K1324" s="23">
        <v>8699.0</v>
      </c>
    </row>
    <row r="1325">
      <c r="A1325" s="7" t="s">
        <v>1445</v>
      </c>
      <c r="B1325" s="7" t="s">
        <v>1148</v>
      </c>
      <c r="C1325" s="8">
        <v>1799.0</v>
      </c>
      <c r="D1325" s="8">
        <v>3295.0</v>
      </c>
      <c r="E1325" s="19">
        <v>0.45</v>
      </c>
      <c r="F1325" s="10">
        <v>3.8</v>
      </c>
      <c r="G1325" s="10">
        <v>687.0</v>
      </c>
      <c r="K1325" s="23">
        <v>8799.0</v>
      </c>
    </row>
    <row r="1326">
      <c r="A1326" s="7" t="s">
        <v>1446</v>
      </c>
      <c r="B1326" s="7" t="s">
        <v>1159</v>
      </c>
      <c r="C1326" s="8">
        <v>1474.0</v>
      </c>
      <c r="D1326" s="8">
        <v>4650.0</v>
      </c>
      <c r="E1326" s="19">
        <v>0.68</v>
      </c>
      <c r="F1326" s="10">
        <v>4.1</v>
      </c>
      <c r="G1326" s="11">
        <v>1045.0</v>
      </c>
      <c r="K1326" s="23">
        <v>8799.0</v>
      </c>
    </row>
    <row r="1327">
      <c r="A1327" s="7" t="s">
        <v>1447</v>
      </c>
      <c r="B1327" s="7" t="s">
        <v>1280</v>
      </c>
      <c r="C1327" s="8">
        <v>15999.0</v>
      </c>
      <c r="D1327" s="8">
        <v>24500.0</v>
      </c>
      <c r="E1327" s="19">
        <v>0.35</v>
      </c>
      <c r="F1327" s="10">
        <v>4.0</v>
      </c>
      <c r="G1327" s="11">
        <v>11206.0</v>
      </c>
      <c r="K1327" s="23">
        <v>8886.0</v>
      </c>
    </row>
    <row r="1328">
      <c r="A1328" s="7" t="s">
        <v>1448</v>
      </c>
      <c r="B1328" s="7" t="s">
        <v>1115</v>
      </c>
      <c r="C1328" s="8">
        <v>3645.0</v>
      </c>
      <c r="D1328" s="8">
        <v>6070.0</v>
      </c>
      <c r="E1328" s="19">
        <v>0.4</v>
      </c>
      <c r="F1328" s="10">
        <v>4.2</v>
      </c>
      <c r="G1328" s="10">
        <v>561.0</v>
      </c>
      <c r="K1328" s="23">
        <v>8990.0</v>
      </c>
    </row>
    <row r="1329">
      <c r="A1329" s="7" t="s">
        <v>1449</v>
      </c>
      <c r="B1329" s="7" t="s">
        <v>1109</v>
      </c>
      <c r="C1329" s="8">
        <v>375.0</v>
      </c>
      <c r="D1329" s="8">
        <v>999.0</v>
      </c>
      <c r="E1329" s="19">
        <v>0.62</v>
      </c>
      <c r="F1329" s="10">
        <v>3.6</v>
      </c>
      <c r="G1329" s="11">
        <v>1988.0</v>
      </c>
      <c r="K1329" s="23">
        <v>8999.0</v>
      </c>
    </row>
    <row r="1330">
      <c r="A1330" s="7" t="s">
        <v>1450</v>
      </c>
      <c r="B1330" s="7" t="s">
        <v>1236</v>
      </c>
      <c r="C1330" s="8">
        <v>2976.0</v>
      </c>
      <c r="D1330" s="8">
        <v>3945.0</v>
      </c>
      <c r="E1330" s="19">
        <v>0.25</v>
      </c>
      <c r="F1330" s="10">
        <v>4.2</v>
      </c>
      <c r="G1330" s="11">
        <v>3740.0</v>
      </c>
      <c r="K1330" s="23">
        <v>8999.0</v>
      </c>
    </row>
    <row r="1331">
      <c r="A1331" s="7" t="s">
        <v>1451</v>
      </c>
      <c r="B1331" s="7" t="s">
        <v>1388</v>
      </c>
      <c r="C1331" s="8">
        <v>1099.0</v>
      </c>
      <c r="D1331" s="8">
        <v>1499.0</v>
      </c>
      <c r="E1331" s="19">
        <v>0.27</v>
      </c>
      <c r="F1331" s="10">
        <v>4.1</v>
      </c>
      <c r="G1331" s="11">
        <v>4401.0</v>
      </c>
      <c r="K1331" s="23">
        <v>8999.0</v>
      </c>
    </row>
    <row r="1332">
      <c r="A1332" s="7" t="s">
        <v>1452</v>
      </c>
      <c r="B1332" s="7" t="s">
        <v>1139</v>
      </c>
      <c r="C1332" s="8">
        <v>2575.0</v>
      </c>
      <c r="D1332" s="8">
        <v>6700.0</v>
      </c>
      <c r="E1332" s="19">
        <v>0.62</v>
      </c>
      <c r="F1332" s="10">
        <v>4.2</v>
      </c>
      <c r="G1332" s="10">
        <v>611.0</v>
      </c>
      <c r="K1332" s="23">
        <v>8999.0</v>
      </c>
    </row>
    <row r="1333">
      <c r="A1333" s="7" t="s">
        <v>1453</v>
      </c>
      <c r="B1333" s="7" t="s">
        <v>1113</v>
      </c>
      <c r="C1333" s="8">
        <v>1649.0</v>
      </c>
      <c r="D1333" s="8">
        <v>2800.0</v>
      </c>
      <c r="E1333" s="19">
        <v>0.41</v>
      </c>
      <c r="F1333" s="10">
        <v>3.9</v>
      </c>
      <c r="G1333" s="11">
        <v>2162.0</v>
      </c>
      <c r="K1333" s="23">
        <v>8999.0</v>
      </c>
    </row>
    <row r="1334">
      <c r="A1334" s="7" t="s">
        <v>1454</v>
      </c>
      <c r="B1334" s="7" t="s">
        <v>1109</v>
      </c>
      <c r="C1334" s="8">
        <v>799.0</v>
      </c>
      <c r="D1334" s="8">
        <v>1699.0</v>
      </c>
      <c r="E1334" s="19">
        <v>0.53</v>
      </c>
      <c r="F1334" s="10">
        <v>4.0</v>
      </c>
      <c r="G1334" s="10">
        <v>97.0</v>
      </c>
      <c r="K1334" s="23">
        <v>8999.0</v>
      </c>
    </row>
    <row r="1335">
      <c r="A1335" s="7" t="s">
        <v>1455</v>
      </c>
      <c r="B1335" s="7" t="s">
        <v>1109</v>
      </c>
      <c r="C1335" s="8">
        <v>765.0</v>
      </c>
      <c r="D1335" s="8">
        <v>970.0</v>
      </c>
      <c r="E1335" s="19">
        <v>0.21</v>
      </c>
      <c r="F1335" s="10">
        <v>4.2</v>
      </c>
      <c r="G1335" s="11">
        <v>6055.0</v>
      </c>
      <c r="K1335" s="23">
        <v>9199.0</v>
      </c>
    </row>
    <row r="1336">
      <c r="A1336" s="7" t="s">
        <v>1456</v>
      </c>
      <c r="B1336" s="7" t="s">
        <v>1093</v>
      </c>
      <c r="C1336" s="8">
        <v>999.0</v>
      </c>
      <c r="D1336" s="8">
        <v>1500.0</v>
      </c>
      <c r="E1336" s="19">
        <v>0.33</v>
      </c>
      <c r="F1336" s="10">
        <v>4.2</v>
      </c>
      <c r="G1336" s="10">
        <v>386.0</v>
      </c>
      <c r="K1336" s="23">
        <v>9490.0</v>
      </c>
    </row>
    <row r="1337">
      <c r="A1337" s="7" t="s">
        <v>1457</v>
      </c>
      <c r="B1337" s="7" t="s">
        <v>1458</v>
      </c>
      <c r="C1337" s="8">
        <v>587.0</v>
      </c>
      <c r="D1337" s="8">
        <v>1295.0</v>
      </c>
      <c r="E1337" s="19">
        <v>0.55</v>
      </c>
      <c r="F1337" s="10">
        <v>4.1</v>
      </c>
      <c r="G1337" s="10">
        <v>557.0</v>
      </c>
      <c r="K1337" s="23">
        <v>9495.0</v>
      </c>
    </row>
    <row r="1338">
      <c r="A1338" s="7" t="s">
        <v>1459</v>
      </c>
      <c r="B1338" s="7" t="s">
        <v>1460</v>
      </c>
      <c r="C1338" s="8">
        <v>12609.0</v>
      </c>
      <c r="D1338" s="8">
        <v>23999.0</v>
      </c>
      <c r="E1338" s="19">
        <v>0.47</v>
      </c>
      <c r="F1338" s="10">
        <v>4.4</v>
      </c>
      <c r="G1338" s="11">
        <v>2288.0</v>
      </c>
      <c r="K1338" s="23">
        <v>9499.0</v>
      </c>
    </row>
    <row r="1339">
      <c r="A1339" s="7" t="s">
        <v>1461</v>
      </c>
      <c r="B1339" s="7" t="s">
        <v>1111</v>
      </c>
      <c r="C1339" s="8">
        <v>699.0</v>
      </c>
      <c r="D1339" s="8">
        <v>850.0</v>
      </c>
      <c r="E1339" s="19">
        <v>0.18</v>
      </c>
      <c r="F1339" s="10">
        <v>4.1</v>
      </c>
      <c r="G1339" s="11">
        <v>1106.0</v>
      </c>
      <c r="K1339" s="23">
        <v>9499.0</v>
      </c>
    </row>
    <row r="1340">
      <c r="A1340" s="7" t="s">
        <v>1462</v>
      </c>
      <c r="B1340" s="7" t="s">
        <v>1190</v>
      </c>
      <c r="C1340" s="8">
        <v>3799.0</v>
      </c>
      <c r="D1340" s="8">
        <v>6000.0</v>
      </c>
      <c r="E1340" s="19">
        <v>0.37</v>
      </c>
      <c r="F1340" s="10">
        <v>4.2</v>
      </c>
      <c r="G1340" s="11">
        <v>11935.0</v>
      </c>
      <c r="K1340" s="23">
        <v>9590.0</v>
      </c>
    </row>
    <row r="1341">
      <c r="A1341" s="7" t="s">
        <v>1463</v>
      </c>
      <c r="B1341" s="7" t="s">
        <v>1131</v>
      </c>
      <c r="C1341" s="8">
        <v>640.0</v>
      </c>
      <c r="D1341" s="8">
        <v>1020.0</v>
      </c>
      <c r="E1341" s="19">
        <v>0.37</v>
      </c>
      <c r="F1341" s="10">
        <v>4.1</v>
      </c>
      <c r="G1341" s="11">
        <v>5059.0</v>
      </c>
      <c r="K1341" s="23">
        <v>9799.0</v>
      </c>
    </row>
    <row r="1342">
      <c r="A1342" s="7" t="s">
        <v>1464</v>
      </c>
      <c r="B1342" s="7" t="s">
        <v>1091</v>
      </c>
      <c r="C1342" s="8">
        <v>979.0</v>
      </c>
      <c r="D1342" s="8">
        <v>1999.0</v>
      </c>
      <c r="E1342" s="19">
        <v>0.51</v>
      </c>
      <c r="F1342" s="10">
        <v>3.9</v>
      </c>
      <c r="G1342" s="10">
        <v>157.0</v>
      </c>
      <c r="K1342" s="23">
        <v>9970.0</v>
      </c>
    </row>
    <row r="1343">
      <c r="A1343" s="7" t="s">
        <v>1465</v>
      </c>
      <c r="B1343" s="7" t="s">
        <v>1115</v>
      </c>
      <c r="C1343" s="8">
        <v>5365.0</v>
      </c>
      <c r="D1343" s="8">
        <v>7445.0</v>
      </c>
      <c r="E1343" s="19">
        <v>0.28</v>
      </c>
      <c r="F1343" s="10">
        <v>3.9</v>
      </c>
      <c r="G1343" s="11">
        <v>3584.0</v>
      </c>
      <c r="K1343" s="23">
        <v>9999.0</v>
      </c>
    </row>
    <row r="1344">
      <c r="A1344" s="7" t="s">
        <v>1466</v>
      </c>
      <c r="B1344" s="7" t="s">
        <v>1139</v>
      </c>
      <c r="C1344" s="8">
        <v>3199.0</v>
      </c>
      <c r="D1344" s="8">
        <v>3500.0</v>
      </c>
      <c r="E1344" s="19">
        <v>0.09</v>
      </c>
      <c r="F1344" s="10">
        <v>4.2</v>
      </c>
      <c r="G1344" s="11">
        <v>1899.0</v>
      </c>
      <c r="K1344" s="23">
        <v>9999.0</v>
      </c>
    </row>
    <row r="1345">
      <c r="A1345" s="7" t="s">
        <v>1467</v>
      </c>
      <c r="B1345" s="7" t="s">
        <v>1310</v>
      </c>
      <c r="C1345" s="8">
        <v>979.0</v>
      </c>
      <c r="D1345" s="8">
        <v>1395.0</v>
      </c>
      <c r="E1345" s="19">
        <v>0.3</v>
      </c>
      <c r="F1345" s="10">
        <v>4.2</v>
      </c>
      <c r="G1345" s="11">
        <v>15252.0</v>
      </c>
      <c r="K1345" s="23">
        <v>10099.0</v>
      </c>
    </row>
    <row r="1346">
      <c r="A1346" s="7" t="s">
        <v>1468</v>
      </c>
      <c r="B1346" s="7" t="s">
        <v>1089</v>
      </c>
      <c r="C1346" s="8">
        <v>929.0</v>
      </c>
      <c r="D1346" s="8">
        <v>2199.0</v>
      </c>
      <c r="E1346" s="19">
        <v>0.58</v>
      </c>
      <c r="F1346" s="10">
        <v>3.7</v>
      </c>
      <c r="G1346" s="10">
        <v>4.0</v>
      </c>
      <c r="K1346" s="23">
        <v>10389.0</v>
      </c>
    </row>
    <row r="1347">
      <c r="A1347" s="7" t="s">
        <v>1469</v>
      </c>
      <c r="B1347" s="7" t="s">
        <v>1316</v>
      </c>
      <c r="C1347" s="8">
        <v>3710.0</v>
      </c>
      <c r="D1347" s="8">
        <v>4330.0</v>
      </c>
      <c r="E1347" s="19">
        <v>0.14</v>
      </c>
      <c r="F1347" s="10">
        <v>3.7</v>
      </c>
      <c r="G1347" s="11">
        <v>1662.0</v>
      </c>
      <c r="K1347" s="23">
        <v>10499.0</v>
      </c>
    </row>
    <row r="1348">
      <c r="A1348" s="7" t="s">
        <v>1470</v>
      </c>
      <c r="B1348" s="7" t="s">
        <v>1113</v>
      </c>
      <c r="C1348" s="8">
        <v>2033.0</v>
      </c>
      <c r="D1348" s="8">
        <v>4295.0</v>
      </c>
      <c r="E1348" s="19">
        <v>0.53</v>
      </c>
      <c r="F1348" s="10">
        <v>3.4</v>
      </c>
      <c r="G1348" s="10">
        <v>422.0</v>
      </c>
      <c r="K1348" s="23">
        <v>10499.0</v>
      </c>
    </row>
    <row r="1349">
      <c r="A1349" s="7" t="s">
        <v>1471</v>
      </c>
      <c r="B1349" s="7" t="s">
        <v>1089</v>
      </c>
      <c r="C1349" s="8">
        <v>9495.0</v>
      </c>
      <c r="D1349" s="8">
        <v>18990.0</v>
      </c>
      <c r="E1349" s="19">
        <v>0.5</v>
      </c>
      <c r="F1349" s="10">
        <v>4.2</v>
      </c>
      <c r="G1349" s="10">
        <v>79.0</v>
      </c>
      <c r="K1349" s="23">
        <v>10901.0</v>
      </c>
    </row>
    <row r="1350">
      <c r="A1350" s="7" t="s">
        <v>1472</v>
      </c>
      <c r="B1350" s="7" t="s">
        <v>1123</v>
      </c>
      <c r="C1350" s="8">
        <v>7799.0</v>
      </c>
      <c r="D1350" s="8">
        <v>12500.0</v>
      </c>
      <c r="E1350" s="19">
        <v>0.38</v>
      </c>
      <c r="F1350" s="10">
        <v>4.0</v>
      </c>
      <c r="G1350" s="11">
        <v>5160.0</v>
      </c>
      <c r="K1350" s="23">
        <v>10990.0</v>
      </c>
    </row>
    <row r="1351">
      <c r="A1351" s="7" t="s">
        <v>1473</v>
      </c>
      <c r="B1351" s="7" t="s">
        <v>1086</v>
      </c>
      <c r="C1351" s="8">
        <v>949.0</v>
      </c>
      <c r="D1351" s="8">
        <v>2385.0</v>
      </c>
      <c r="E1351" s="19">
        <v>0.6</v>
      </c>
      <c r="F1351" s="10">
        <v>4.1</v>
      </c>
      <c r="G1351" s="11">
        <v>2311.0</v>
      </c>
      <c r="K1351" s="23">
        <v>10999.0</v>
      </c>
    </row>
    <row r="1352">
      <c r="A1352" s="7" t="s">
        <v>1474</v>
      </c>
      <c r="B1352" s="7" t="s">
        <v>1115</v>
      </c>
      <c r="C1352" s="8">
        <v>2790.0</v>
      </c>
      <c r="D1352" s="8">
        <v>4890.0</v>
      </c>
      <c r="E1352" s="19">
        <v>0.43</v>
      </c>
      <c r="F1352" s="10">
        <v>3.9</v>
      </c>
      <c r="G1352" s="10">
        <v>588.0</v>
      </c>
      <c r="K1352" s="23">
        <v>10999.0</v>
      </c>
    </row>
    <row r="1353">
      <c r="A1353" s="7" t="s">
        <v>1475</v>
      </c>
      <c r="B1353" s="7" t="s">
        <v>1111</v>
      </c>
      <c r="C1353" s="8">
        <v>645.0</v>
      </c>
      <c r="D1353" s="8">
        <v>1100.0</v>
      </c>
      <c r="E1353" s="19">
        <v>0.41</v>
      </c>
      <c r="F1353" s="10">
        <v>4.0</v>
      </c>
      <c r="G1353" s="11">
        <v>3271.0</v>
      </c>
      <c r="K1353" s="23">
        <v>11499.0</v>
      </c>
    </row>
    <row r="1354">
      <c r="A1354" s="7" t="s">
        <v>1476</v>
      </c>
      <c r="B1354" s="7" t="s">
        <v>1113</v>
      </c>
      <c r="C1354" s="8">
        <v>2237.81</v>
      </c>
      <c r="D1354" s="8">
        <v>3899.0</v>
      </c>
      <c r="E1354" s="19">
        <v>0.43</v>
      </c>
      <c r="F1354" s="10">
        <v>3.9</v>
      </c>
      <c r="G1354" s="11">
        <v>11004.0</v>
      </c>
      <c r="K1354" s="23">
        <v>11990.0</v>
      </c>
    </row>
    <row r="1355">
      <c r="A1355" s="7" t="s">
        <v>1477</v>
      </c>
      <c r="B1355" s="7" t="s">
        <v>1123</v>
      </c>
      <c r="C1355" s="8">
        <v>8699.0</v>
      </c>
      <c r="D1355" s="8">
        <v>16899.0</v>
      </c>
      <c r="E1355" s="19">
        <v>0.49</v>
      </c>
      <c r="F1355" s="10">
        <v>4.2</v>
      </c>
      <c r="G1355" s="11">
        <v>3195.0</v>
      </c>
      <c r="K1355" s="23">
        <v>12000.0</v>
      </c>
    </row>
    <row r="1356">
      <c r="A1356" s="7" t="s">
        <v>1478</v>
      </c>
      <c r="B1356" s="7" t="s">
        <v>1479</v>
      </c>
      <c r="C1356" s="8">
        <v>42990.0</v>
      </c>
      <c r="D1356" s="8">
        <v>75990.0</v>
      </c>
      <c r="E1356" s="19">
        <v>0.43</v>
      </c>
      <c r="F1356" s="10">
        <v>4.3</v>
      </c>
      <c r="G1356" s="11">
        <v>3231.0</v>
      </c>
      <c r="K1356" s="23">
        <v>12490.0</v>
      </c>
    </row>
    <row r="1357">
      <c r="A1357" s="7" t="s">
        <v>1480</v>
      </c>
      <c r="B1357" s="7" t="s">
        <v>1228</v>
      </c>
      <c r="C1357" s="8">
        <v>825.0</v>
      </c>
      <c r="D1357" s="8">
        <v>825.0</v>
      </c>
      <c r="E1357" s="19">
        <v>0.0</v>
      </c>
      <c r="F1357" s="10">
        <v>4.0</v>
      </c>
      <c r="G1357" s="11">
        <v>3246.0</v>
      </c>
      <c r="K1357" s="23">
        <v>12499.0</v>
      </c>
    </row>
    <row r="1358">
      <c r="A1358" s="7" t="s">
        <v>1481</v>
      </c>
      <c r="B1358" s="7" t="s">
        <v>1184</v>
      </c>
      <c r="C1358" s="8">
        <v>161.0</v>
      </c>
      <c r="D1358" s="8">
        <v>300.0</v>
      </c>
      <c r="E1358" s="19">
        <v>0.46</v>
      </c>
      <c r="F1358" s="10">
        <v>2.6</v>
      </c>
      <c r="G1358" s="10">
        <v>24.0</v>
      </c>
      <c r="K1358" s="23">
        <v>12499.0</v>
      </c>
    </row>
    <row r="1359">
      <c r="A1359" s="7" t="s">
        <v>1482</v>
      </c>
      <c r="B1359" s="7" t="s">
        <v>1104</v>
      </c>
      <c r="C1359" s="8">
        <v>697.0</v>
      </c>
      <c r="D1359" s="8">
        <v>1499.0</v>
      </c>
      <c r="E1359" s="19">
        <v>0.54</v>
      </c>
      <c r="F1359" s="10">
        <v>3.8</v>
      </c>
      <c r="G1359" s="10">
        <v>144.0</v>
      </c>
      <c r="K1359" s="23">
        <v>12609.0</v>
      </c>
    </row>
    <row r="1360">
      <c r="A1360" s="7" t="s">
        <v>1483</v>
      </c>
      <c r="B1360" s="7" t="s">
        <v>1484</v>
      </c>
      <c r="C1360" s="8">
        <v>688.0</v>
      </c>
      <c r="D1360" s="8">
        <v>747.0</v>
      </c>
      <c r="E1360" s="19">
        <v>0.08</v>
      </c>
      <c r="F1360" s="10">
        <v>4.5</v>
      </c>
      <c r="G1360" s="11">
        <v>2280.0</v>
      </c>
      <c r="K1360" s="23">
        <v>12999.0</v>
      </c>
    </row>
    <row r="1361">
      <c r="A1361" s="7" t="s">
        <v>1485</v>
      </c>
      <c r="B1361" s="7" t="s">
        <v>1199</v>
      </c>
      <c r="C1361" s="8">
        <v>2199.0</v>
      </c>
      <c r="D1361" s="8">
        <v>3999.0</v>
      </c>
      <c r="E1361" s="19">
        <v>0.45</v>
      </c>
      <c r="F1361" s="10">
        <v>3.5</v>
      </c>
      <c r="G1361" s="10">
        <v>340.0</v>
      </c>
      <c r="K1361" s="23">
        <v>12999.0</v>
      </c>
    </row>
    <row r="1362">
      <c r="A1362" s="7" t="s">
        <v>1486</v>
      </c>
      <c r="B1362" s="7" t="s">
        <v>1091</v>
      </c>
      <c r="C1362" s="8">
        <v>6850.0</v>
      </c>
      <c r="D1362" s="8">
        <v>11990.0</v>
      </c>
      <c r="E1362" s="19">
        <v>0.43</v>
      </c>
      <c r="F1362" s="10">
        <v>3.9</v>
      </c>
      <c r="G1362" s="10">
        <v>144.0</v>
      </c>
      <c r="K1362" s="23">
        <v>12999.0</v>
      </c>
    </row>
    <row r="1363">
      <c r="A1363" s="7" t="s">
        <v>1487</v>
      </c>
      <c r="B1363" s="7" t="s">
        <v>1115</v>
      </c>
      <c r="C1363" s="8">
        <v>2699.0</v>
      </c>
      <c r="D1363" s="8">
        <v>3799.0</v>
      </c>
      <c r="E1363" s="19">
        <v>0.29</v>
      </c>
      <c r="F1363" s="10">
        <v>4.0</v>
      </c>
      <c r="G1363" s="10">
        <v>727.0</v>
      </c>
      <c r="K1363" s="23">
        <v>12999.0</v>
      </c>
    </row>
    <row r="1364">
      <c r="A1364" s="7" t="s">
        <v>1488</v>
      </c>
      <c r="B1364" s="7" t="s">
        <v>1489</v>
      </c>
      <c r="C1364" s="8">
        <v>899.0</v>
      </c>
      <c r="D1364" s="8">
        <v>1999.0</v>
      </c>
      <c r="E1364" s="19">
        <v>0.55</v>
      </c>
      <c r="F1364" s="10">
        <v>4.0</v>
      </c>
      <c r="G1364" s="10">
        <v>832.0</v>
      </c>
      <c r="K1364" s="23">
        <v>12999.0</v>
      </c>
    </row>
    <row r="1365">
      <c r="A1365" s="7" t="s">
        <v>1490</v>
      </c>
      <c r="B1365" s="7" t="s">
        <v>1091</v>
      </c>
      <c r="C1365" s="8">
        <v>1090.0</v>
      </c>
      <c r="D1365" s="8">
        <v>2999.0</v>
      </c>
      <c r="E1365" s="19">
        <v>0.64</v>
      </c>
      <c r="F1365" s="10">
        <v>3.5</v>
      </c>
      <c r="G1365" s="10">
        <v>57.0</v>
      </c>
      <c r="K1365" s="23">
        <v>12999.0</v>
      </c>
    </row>
    <row r="1366">
      <c r="A1366" s="7" t="s">
        <v>1491</v>
      </c>
      <c r="B1366" s="7" t="s">
        <v>1095</v>
      </c>
      <c r="C1366" s="8">
        <v>295.0</v>
      </c>
      <c r="D1366" s="8">
        <v>599.0</v>
      </c>
      <c r="E1366" s="19">
        <v>0.51</v>
      </c>
      <c r="F1366" s="10">
        <v>4.0</v>
      </c>
      <c r="G1366" s="11">
        <v>1644.0</v>
      </c>
      <c r="K1366" s="23">
        <v>12999.0</v>
      </c>
    </row>
    <row r="1367">
      <c r="A1367" s="7" t="s">
        <v>1492</v>
      </c>
      <c r="B1367" s="7" t="s">
        <v>1121</v>
      </c>
      <c r="C1367" s="8">
        <v>479.0</v>
      </c>
      <c r="D1367" s="8">
        <v>1999.0</v>
      </c>
      <c r="E1367" s="19">
        <v>0.76</v>
      </c>
      <c r="F1367" s="10">
        <v>3.4</v>
      </c>
      <c r="G1367" s="11">
        <v>1066.0</v>
      </c>
      <c r="K1367" s="23">
        <v>12999.0</v>
      </c>
    </row>
    <row r="1368">
      <c r="A1368" s="7" t="s">
        <v>1493</v>
      </c>
      <c r="B1368" s="7" t="s">
        <v>1115</v>
      </c>
      <c r="C1368" s="8">
        <v>2949.0</v>
      </c>
      <c r="D1368" s="8">
        <v>4849.0</v>
      </c>
      <c r="E1368" s="19">
        <v>0.39</v>
      </c>
      <c r="F1368" s="10">
        <v>4.2</v>
      </c>
      <c r="G1368" s="11">
        <v>7968.0</v>
      </c>
      <c r="K1368" s="23">
        <v>13490.0</v>
      </c>
    </row>
    <row r="1369">
      <c r="A1369" s="7" t="s">
        <v>1494</v>
      </c>
      <c r="B1369" s="7" t="s">
        <v>1131</v>
      </c>
      <c r="C1369" s="8">
        <v>335.0</v>
      </c>
      <c r="D1369" s="8">
        <v>510.0</v>
      </c>
      <c r="E1369" s="19">
        <v>0.34</v>
      </c>
      <c r="F1369" s="10">
        <v>3.8</v>
      </c>
      <c r="G1369" s="11">
        <v>3195.0</v>
      </c>
      <c r="K1369" s="23">
        <v>13490.0</v>
      </c>
    </row>
    <row r="1370">
      <c r="A1370" s="7" t="s">
        <v>1495</v>
      </c>
      <c r="B1370" s="7" t="s">
        <v>1225</v>
      </c>
      <c r="C1370" s="8">
        <v>293.0</v>
      </c>
      <c r="D1370" s="8">
        <v>499.0</v>
      </c>
      <c r="E1370" s="19">
        <v>0.41</v>
      </c>
      <c r="F1370" s="10">
        <v>4.1</v>
      </c>
      <c r="G1370" s="11">
        <v>1456.0</v>
      </c>
      <c r="K1370" s="23">
        <v>13490.0</v>
      </c>
    </row>
    <row r="1371">
      <c r="A1371" s="7" t="s">
        <v>1496</v>
      </c>
      <c r="B1371" s="7" t="s">
        <v>1497</v>
      </c>
      <c r="C1371" s="8">
        <v>599.0</v>
      </c>
      <c r="D1371" s="8">
        <v>1299.0</v>
      </c>
      <c r="E1371" s="19">
        <v>0.54</v>
      </c>
      <c r="F1371" s="10">
        <v>4.2</v>
      </c>
      <c r="G1371" s="10">
        <v>590.0</v>
      </c>
      <c r="K1371" s="23">
        <v>13490.0</v>
      </c>
    </row>
    <row r="1372">
      <c r="A1372" s="7" t="s">
        <v>1498</v>
      </c>
      <c r="B1372" s="7" t="s">
        <v>1228</v>
      </c>
      <c r="C1372" s="8">
        <v>499.0</v>
      </c>
      <c r="D1372" s="8">
        <v>999.0</v>
      </c>
      <c r="E1372" s="19">
        <v>0.5</v>
      </c>
      <c r="F1372" s="10">
        <v>4.3</v>
      </c>
      <c r="G1372" s="11">
        <v>1436.0</v>
      </c>
      <c r="K1372" s="23">
        <v>13990.0</v>
      </c>
    </row>
    <row r="1373">
      <c r="A1373" s="7" t="s">
        <v>1499</v>
      </c>
      <c r="B1373" s="7" t="s">
        <v>1111</v>
      </c>
      <c r="C1373" s="8">
        <v>849.0</v>
      </c>
      <c r="D1373" s="8">
        <v>1190.0</v>
      </c>
      <c r="E1373" s="19">
        <v>0.29</v>
      </c>
      <c r="F1373" s="10">
        <v>4.2</v>
      </c>
      <c r="G1373" s="11">
        <v>4184.0</v>
      </c>
      <c r="K1373" s="23">
        <v>13999.0</v>
      </c>
    </row>
    <row r="1374">
      <c r="A1374" s="7" t="s">
        <v>1500</v>
      </c>
      <c r="B1374" s="7" t="s">
        <v>1225</v>
      </c>
      <c r="C1374" s="8">
        <v>249.0</v>
      </c>
      <c r="D1374" s="8">
        <v>400.0</v>
      </c>
      <c r="E1374" s="19">
        <v>0.38</v>
      </c>
      <c r="F1374" s="10">
        <v>4.1</v>
      </c>
      <c r="G1374" s="10">
        <v>693.0</v>
      </c>
      <c r="K1374" s="23">
        <v>13999.0</v>
      </c>
    </row>
    <row r="1375">
      <c r="A1375" s="7" t="s">
        <v>1501</v>
      </c>
      <c r="B1375" s="7" t="s">
        <v>1228</v>
      </c>
      <c r="C1375" s="8">
        <v>185.0</v>
      </c>
      <c r="D1375" s="8">
        <v>599.0</v>
      </c>
      <c r="E1375" s="19">
        <v>0.69</v>
      </c>
      <c r="F1375" s="10">
        <v>3.9</v>
      </c>
      <c r="G1375" s="11">
        <v>1306.0</v>
      </c>
      <c r="K1375" s="23">
        <v>13999.0</v>
      </c>
    </row>
    <row r="1376">
      <c r="A1376" s="7" t="s">
        <v>1502</v>
      </c>
      <c r="B1376" s="7" t="s">
        <v>1091</v>
      </c>
      <c r="C1376" s="8">
        <v>778.0</v>
      </c>
      <c r="D1376" s="8">
        <v>999.0</v>
      </c>
      <c r="E1376" s="19">
        <v>0.22</v>
      </c>
      <c r="F1376" s="10">
        <v>3.3</v>
      </c>
      <c r="G1376" s="10">
        <v>8.0</v>
      </c>
      <c r="K1376" s="23">
        <v>13999.0</v>
      </c>
    </row>
    <row r="1377">
      <c r="A1377" s="7" t="s">
        <v>1503</v>
      </c>
      <c r="B1377" s="7" t="s">
        <v>1504</v>
      </c>
      <c r="C1377" s="8">
        <v>279.0</v>
      </c>
      <c r="D1377" s="8">
        <v>699.0</v>
      </c>
      <c r="E1377" s="19">
        <v>0.6</v>
      </c>
      <c r="F1377" s="10">
        <v>4.3</v>
      </c>
      <c r="G1377" s="11">
        <v>2326.0</v>
      </c>
      <c r="K1377" s="23">
        <v>13999.0</v>
      </c>
    </row>
    <row r="1378">
      <c r="A1378" s="7" t="s">
        <v>1505</v>
      </c>
      <c r="B1378" s="7" t="s">
        <v>1228</v>
      </c>
      <c r="C1378" s="8">
        <v>215.0</v>
      </c>
      <c r="D1378" s="8">
        <v>1499.0</v>
      </c>
      <c r="E1378" s="19">
        <v>0.86</v>
      </c>
      <c r="F1378" s="10">
        <v>3.9</v>
      </c>
      <c r="G1378" s="11">
        <v>1004.0</v>
      </c>
      <c r="K1378" s="23">
        <v>13999.0</v>
      </c>
    </row>
    <row r="1379">
      <c r="A1379" s="7" t="s">
        <v>1506</v>
      </c>
      <c r="B1379" s="7" t="s">
        <v>1111</v>
      </c>
      <c r="C1379" s="8">
        <v>889.0</v>
      </c>
      <c r="D1379" s="8">
        <v>1295.0</v>
      </c>
      <c r="E1379" s="19">
        <v>0.31</v>
      </c>
      <c r="F1379" s="10">
        <v>4.3</v>
      </c>
      <c r="G1379" s="11">
        <v>6400.0</v>
      </c>
      <c r="K1379" s="23">
        <v>13999.0</v>
      </c>
    </row>
    <row r="1380">
      <c r="A1380" s="7" t="s">
        <v>1507</v>
      </c>
      <c r="B1380" s="7" t="s">
        <v>1115</v>
      </c>
      <c r="C1380" s="8">
        <v>1449.0</v>
      </c>
      <c r="D1380" s="8">
        <v>4999.0</v>
      </c>
      <c r="E1380" s="19">
        <v>0.71</v>
      </c>
      <c r="F1380" s="10">
        <v>3.6</v>
      </c>
      <c r="G1380" s="10">
        <v>63.0</v>
      </c>
      <c r="K1380" s="23">
        <v>13999.0</v>
      </c>
    </row>
    <row r="1381">
      <c r="A1381" s="7" t="s">
        <v>1508</v>
      </c>
      <c r="B1381" s="7" t="s">
        <v>1115</v>
      </c>
      <c r="C1381" s="8">
        <v>1190.0</v>
      </c>
      <c r="D1381" s="8">
        <v>2550.0</v>
      </c>
      <c r="E1381" s="19">
        <v>0.53</v>
      </c>
      <c r="F1381" s="10">
        <v>3.8</v>
      </c>
      <c r="G1381" s="11">
        <v>1181.0</v>
      </c>
      <c r="K1381" s="23">
        <v>13999.0</v>
      </c>
    </row>
    <row r="1382">
      <c r="A1382" s="7" t="s">
        <v>1509</v>
      </c>
      <c r="B1382" s="7" t="s">
        <v>1280</v>
      </c>
      <c r="C1382" s="8">
        <v>1799.0</v>
      </c>
      <c r="D1382" s="8">
        <v>1950.0</v>
      </c>
      <c r="E1382" s="19">
        <v>0.08</v>
      </c>
      <c r="F1382" s="10">
        <v>3.9</v>
      </c>
      <c r="G1382" s="11">
        <v>1888.0</v>
      </c>
      <c r="K1382" s="23">
        <v>13999.0</v>
      </c>
    </row>
    <row r="1383">
      <c r="A1383" s="7" t="s">
        <v>1510</v>
      </c>
      <c r="B1383" s="7" t="s">
        <v>1113</v>
      </c>
      <c r="C1383" s="8">
        <v>6120.0</v>
      </c>
      <c r="D1383" s="8">
        <v>8478.0</v>
      </c>
      <c r="E1383" s="19">
        <v>0.28</v>
      </c>
      <c r="F1383" s="10">
        <v>4.6</v>
      </c>
      <c r="G1383" s="11">
        <v>6550.0</v>
      </c>
      <c r="K1383" s="23">
        <v>13999.0</v>
      </c>
    </row>
    <row r="1384">
      <c r="A1384" s="7" t="s">
        <v>1511</v>
      </c>
      <c r="B1384" s="7" t="s">
        <v>1113</v>
      </c>
      <c r="C1384" s="8">
        <v>1799.0</v>
      </c>
      <c r="D1384" s="8">
        <v>3299.0</v>
      </c>
      <c r="E1384" s="19">
        <v>0.45</v>
      </c>
      <c r="F1384" s="10">
        <v>3.8</v>
      </c>
      <c r="G1384" s="11">
        <v>1846.0</v>
      </c>
      <c r="K1384" s="23">
        <v>13999.0</v>
      </c>
    </row>
    <row r="1385">
      <c r="A1385" s="7" t="s">
        <v>1512</v>
      </c>
      <c r="B1385" s="7" t="s">
        <v>1113</v>
      </c>
      <c r="C1385" s="8">
        <v>2199.0</v>
      </c>
      <c r="D1385" s="8">
        <v>3895.0</v>
      </c>
      <c r="E1385" s="19">
        <v>0.44</v>
      </c>
      <c r="F1385" s="10">
        <v>3.9</v>
      </c>
      <c r="G1385" s="11">
        <v>1085.0</v>
      </c>
      <c r="K1385" s="23">
        <v>14400.0</v>
      </c>
    </row>
    <row r="1386">
      <c r="A1386" s="7" t="s">
        <v>1513</v>
      </c>
      <c r="B1386" s="7" t="s">
        <v>1236</v>
      </c>
      <c r="C1386" s="8">
        <v>3685.0</v>
      </c>
      <c r="D1386" s="8">
        <v>5495.0</v>
      </c>
      <c r="E1386" s="19">
        <v>0.33</v>
      </c>
      <c r="F1386" s="10">
        <v>4.1</v>
      </c>
      <c r="G1386" s="10">
        <v>290.0</v>
      </c>
      <c r="K1386" s="23">
        <v>14499.0</v>
      </c>
    </row>
    <row r="1387">
      <c r="A1387" s="7" t="s">
        <v>1514</v>
      </c>
      <c r="B1387" s="7" t="s">
        <v>1144</v>
      </c>
      <c r="C1387" s="8">
        <v>649.0</v>
      </c>
      <c r="D1387" s="8">
        <v>999.0</v>
      </c>
      <c r="E1387" s="19">
        <v>0.35</v>
      </c>
      <c r="F1387" s="10">
        <v>3.6</v>
      </c>
      <c r="G1387" s="10">
        <v>4.0</v>
      </c>
      <c r="K1387" s="23">
        <v>14999.0</v>
      </c>
    </row>
    <row r="1388">
      <c r="A1388" s="7" t="s">
        <v>1515</v>
      </c>
      <c r="B1388" s="7" t="s">
        <v>1318</v>
      </c>
      <c r="C1388" s="8">
        <v>8599.0</v>
      </c>
      <c r="D1388" s="8">
        <v>8995.0</v>
      </c>
      <c r="E1388" s="19">
        <v>0.04</v>
      </c>
      <c r="F1388" s="10">
        <v>4.4</v>
      </c>
      <c r="G1388" s="11">
        <v>9734.0</v>
      </c>
      <c r="K1388" s="23">
        <v>14999.0</v>
      </c>
    </row>
    <row r="1389">
      <c r="A1389" s="7" t="s">
        <v>1516</v>
      </c>
      <c r="B1389" s="7" t="s">
        <v>1111</v>
      </c>
      <c r="C1389" s="8">
        <v>1110.0</v>
      </c>
      <c r="D1389" s="8">
        <v>1599.0</v>
      </c>
      <c r="E1389" s="19">
        <v>0.31</v>
      </c>
      <c r="F1389" s="10">
        <v>4.3</v>
      </c>
      <c r="G1389" s="11">
        <v>4022.0</v>
      </c>
      <c r="K1389" s="23">
        <v>15490.0</v>
      </c>
    </row>
    <row r="1390">
      <c r="A1390" s="7" t="s">
        <v>1517</v>
      </c>
      <c r="B1390" s="7" t="s">
        <v>1115</v>
      </c>
      <c r="C1390" s="8">
        <v>1499.0</v>
      </c>
      <c r="D1390" s="8">
        <v>3500.0</v>
      </c>
      <c r="E1390" s="19">
        <v>0.57</v>
      </c>
      <c r="F1390" s="10">
        <v>4.7</v>
      </c>
      <c r="G1390" s="11">
        <v>2591.0</v>
      </c>
      <c r="K1390" s="23">
        <v>15490.0</v>
      </c>
    </row>
    <row r="1391">
      <c r="A1391" s="7" t="s">
        <v>1518</v>
      </c>
      <c r="B1391" s="7" t="s">
        <v>1095</v>
      </c>
      <c r="C1391" s="8">
        <v>759.0</v>
      </c>
      <c r="D1391" s="8">
        <v>1999.0</v>
      </c>
      <c r="E1391" s="19">
        <v>0.62</v>
      </c>
      <c r="F1391" s="10">
        <v>4.3</v>
      </c>
      <c r="G1391" s="10">
        <v>532.0</v>
      </c>
      <c r="K1391" s="23">
        <v>15490.0</v>
      </c>
    </row>
    <row r="1392">
      <c r="A1392" s="7" t="s">
        <v>1519</v>
      </c>
      <c r="B1392" s="7" t="s">
        <v>1148</v>
      </c>
      <c r="C1392" s="8">
        <v>2669.0</v>
      </c>
      <c r="D1392" s="8">
        <v>3199.0</v>
      </c>
      <c r="E1392" s="19">
        <v>0.17</v>
      </c>
      <c r="F1392" s="10">
        <v>3.9</v>
      </c>
      <c r="G1392" s="10">
        <v>260.0</v>
      </c>
      <c r="K1392" s="23">
        <v>15499.0</v>
      </c>
    </row>
    <row r="1393">
      <c r="A1393" s="7" t="s">
        <v>1520</v>
      </c>
      <c r="B1393" s="7" t="s">
        <v>1159</v>
      </c>
      <c r="C1393" s="8">
        <v>929.0</v>
      </c>
      <c r="D1393" s="8">
        <v>1300.0</v>
      </c>
      <c r="E1393" s="19">
        <v>0.29</v>
      </c>
      <c r="F1393" s="10">
        <v>3.9</v>
      </c>
      <c r="G1393" s="11">
        <v>1672.0</v>
      </c>
      <c r="K1393" s="23">
        <v>15499.0</v>
      </c>
    </row>
    <row r="1394">
      <c r="A1394" s="7" t="s">
        <v>1521</v>
      </c>
      <c r="B1394" s="7" t="s">
        <v>1137</v>
      </c>
      <c r="C1394" s="8">
        <v>199.0</v>
      </c>
      <c r="D1394" s="8">
        <v>399.0</v>
      </c>
      <c r="E1394" s="19">
        <v>0.5</v>
      </c>
      <c r="F1394" s="10">
        <v>3.7</v>
      </c>
      <c r="G1394" s="11">
        <v>7945.0</v>
      </c>
      <c r="K1394" s="23">
        <v>15499.0</v>
      </c>
    </row>
    <row r="1395">
      <c r="A1395" s="7" t="s">
        <v>1522</v>
      </c>
      <c r="B1395" s="7" t="s">
        <v>1093</v>
      </c>
      <c r="C1395" s="8">
        <v>279.0</v>
      </c>
      <c r="D1395" s="8">
        <v>599.0</v>
      </c>
      <c r="E1395" s="19">
        <v>0.53</v>
      </c>
      <c r="F1395" s="10">
        <v>3.5</v>
      </c>
      <c r="G1395" s="11">
        <v>1367.0</v>
      </c>
      <c r="K1395" s="23">
        <v>15499.0</v>
      </c>
    </row>
    <row r="1396">
      <c r="A1396" s="7" t="s">
        <v>1523</v>
      </c>
      <c r="B1396" s="7" t="s">
        <v>1109</v>
      </c>
      <c r="C1396" s="8">
        <v>549.0</v>
      </c>
      <c r="D1396" s="8">
        <v>999.0</v>
      </c>
      <c r="E1396" s="19">
        <v>0.45</v>
      </c>
      <c r="F1396" s="10">
        <v>4.0</v>
      </c>
      <c r="G1396" s="11">
        <v>1313.0</v>
      </c>
      <c r="K1396" s="23">
        <v>15990.0</v>
      </c>
    </row>
    <row r="1397">
      <c r="A1397" s="7" t="s">
        <v>1524</v>
      </c>
      <c r="B1397" s="7" t="s">
        <v>1306</v>
      </c>
      <c r="C1397" s="8">
        <v>85.0</v>
      </c>
      <c r="D1397" s="8">
        <v>199.0</v>
      </c>
      <c r="E1397" s="19">
        <v>0.57</v>
      </c>
      <c r="F1397" s="10">
        <v>4.1</v>
      </c>
      <c r="G1397" s="10">
        <v>212.0</v>
      </c>
      <c r="K1397" s="23">
        <v>15999.0</v>
      </c>
    </row>
    <row r="1398">
      <c r="A1398" s="7" t="s">
        <v>1525</v>
      </c>
      <c r="B1398" s="7" t="s">
        <v>1144</v>
      </c>
      <c r="C1398" s="8">
        <v>499.0</v>
      </c>
      <c r="D1398" s="8">
        <v>1299.0</v>
      </c>
      <c r="E1398" s="19">
        <v>0.62</v>
      </c>
      <c r="F1398" s="10">
        <v>3.9</v>
      </c>
      <c r="G1398" s="10">
        <v>65.0</v>
      </c>
      <c r="K1398" s="23">
        <v>15999.0</v>
      </c>
    </row>
    <row r="1399">
      <c r="A1399" s="7" t="s">
        <v>1526</v>
      </c>
      <c r="B1399" s="7" t="s">
        <v>1144</v>
      </c>
      <c r="C1399" s="8">
        <v>5865.0</v>
      </c>
      <c r="D1399" s="8">
        <v>7776.0</v>
      </c>
      <c r="E1399" s="19">
        <v>0.25</v>
      </c>
      <c r="F1399" s="10">
        <v>4.4</v>
      </c>
      <c r="G1399" s="11">
        <v>2737.0</v>
      </c>
      <c r="K1399" s="23">
        <v>16499.0</v>
      </c>
    </row>
    <row r="1400">
      <c r="A1400" s="7" t="s">
        <v>1527</v>
      </c>
      <c r="B1400" s="7" t="s">
        <v>1086</v>
      </c>
      <c r="C1400" s="8">
        <v>1260.0</v>
      </c>
      <c r="D1400" s="8">
        <v>2299.0</v>
      </c>
      <c r="E1400" s="19">
        <v>0.45</v>
      </c>
      <c r="F1400" s="10">
        <v>4.3</v>
      </c>
      <c r="G1400" s="10">
        <v>55.0</v>
      </c>
      <c r="K1400" s="23">
        <v>16499.0</v>
      </c>
    </row>
    <row r="1401">
      <c r="A1401" s="7" t="s">
        <v>1528</v>
      </c>
      <c r="B1401" s="7" t="s">
        <v>1529</v>
      </c>
      <c r="C1401" s="8">
        <v>1099.0</v>
      </c>
      <c r="D1401" s="8">
        <v>1500.0</v>
      </c>
      <c r="E1401" s="19">
        <v>0.27</v>
      </c>
      <c r="F1401" s="10">
        <v>4.5</v>
      </c>
      <c r="G1401" s="11">
        <v>1065.0</v>
      </c>
      <c r="K1401" s="23">
        <v>16999.0</v>
      </c>
    </row>
    <row r="1402">
      <c r="A1402" s="7" t="s">
        <v>1530</v>
      </c>
      <c r="B1402" s="7" t="s">
        <v>1159</v>
      </c>
      <c r="C1402" s="8">
        <v>1928.0</v>
      </c>
      <c r="D1402" s="8">
        <v>2590.0</v>
      </c>
      <c r="E1402" s="19">
        <v>0.26</v>
      </c>
      <c r="F1402" s="10">
        <v>4.0</v>
      </c>
      <c r="G1402" s="11">
        <v>2377.0</v>
      </c>
      <c r="K1402" s="23">
        <v>16999.0</v>
      </c>
    </row>
    <row r="1403">
      <c r="A1403" s="7" t="s">
        <v>1531</v>
      </c>
      <c r="B1403" s="7" t="s">
        <v>1123</v>
      </c>
      <c r="C1403" s="8">
        <v>3249.0</v>
      </c>
      <c r="D1403" s="8">
        <v>6299.0</v>
      </c>
      <c r="E1403" s="19">
        <v>0.48</v>
      </c>
      <c r="F1403" s="10">
        <v>3.9</v>
      </c>
      <c r="G1403" s="11">
        <v>2569.0</v>
      </c>
      <c r="K1403" s="23">
        <v>16999.0</v>
      </c>
    </row>
    <row r="1404">
      <c r="A1404" s="7" t="s">
        <v>1532</v>
      </c>
      <c r="B1404" s="7" t="s">
        <v>1159</v>
      </c>
      <c r="C1404" s="8">
        <v>1199.0</v>
      </c>
      <c r="D1404" s="8">
        <v>1795.0</v>
      </c>
      <c r="E1404" s="19">
        <v>0.33</v>
      </c>
      <c r="F1404" s="10">
        <v>4.2</v>
      </c>
      <c r="G1404" s="11">
        <v>5967.0</v>
      </c>
      <c r="K1404" s="23">
        <v>16999.0</v>
      </c>
    </row>
    <row r="1405">
      <c r="A1405" s="7" t="s">
        <v>1533</v>
      </c>
      <c r="B1405" s="7" t="s">
        <v>1086</v>
      </c>
      <c r="C1405" s="8">
        <v>1456.0</v>
      </c>
      <c r="D1405" s="8">
        <v>3190.0</v>
      </c>
      <c r="E1405" s="19">
        <v>0.54</v>
      </c>
      <c r="F1405" s="10">
        <v>4.1</v>
      </c>
      <c r="G1405" s="11">
        <v>1776.0</v>
      </c>
      <c r="K1405" s="23">
        <v>16999.0</v>
      </c>
    </row>
    <row r="1406">
      <c r="A1406" s="7" t="s">
        <v>1534</v>
      </c>
      <c r="B1406" s="7" t="s">
        <v>1144</v>
      </c>
      <c r="C1406" s="8">
        <v>3349.0</v>
      </c>
      <c r="D1406" s="8">
        <v>4799.0</v>
      </c>
      <c r="E1406" s="19">
        <v>0.3</v>
      </c>
      <c r="F1406" s="10">
        <v>3.7</v>
      </c>
      <c r="G1406" s="11">
        <v>4200.0</v>
      </c>
      <c r="K1406" s="23">
        <v>16999.0</v>
      </c>
    </row>
    <row r="1407">
      <c r="A1407" s="7" t="s">
        <v>1535</v>
      </c>
      <c r="B1407" s="7" t="s">
        <v>1197</v>
      </c>
      <c r="C1407" s="8">
        <v>4899.0</v>
      </c>
      <c r="D1407" s="8">
        <v>8999.0</v>
      </c>
      <c r="E1407" s="19">
        <v>0.46</v>
      </c>
      <c r="F1407" s="10">
        <v>4.1</v>
      </c>
      <c r="G1407" s="10">
        <v>297.0</v>
      </c>
      <c r="K1407" s="23">
        <v>17999.0</v>
      </c>
    </row>
    <row r="1408">
      <c r="A1408" s="7" t="s">
        <v>1536</v>
      </c>
      <c r="B1408" s="7" t="s">
        <v>1121</v>
      </c>
      <c r="C1408" s="8">
        <v>1199.0</v>
      </c>
      <c r="D1408" s="8">
        <v>1899.0</v>
      </c>
      <c r="E1408" s="19">
        <v>0.37</v>
      </c>
      <c r="F1408" s="10">
        <v>4.2</v>
      </c>
      <c r="G1408" s="11">
        <v>3858.0</v>
      </c>
      <c r="K1408" s="23">
        <v>18499.0</v>
      </c>
    </row>
    <row r="1409">
      <c r="A1409" s="7" t="s">
        <v>1537</v>
      </c>
      <c r="B1409" s="7" t="s">
        <v>1393</v>
      </c>
      <c r="C1409" s="8">
        <v>3290.0</v>
      </c>
      <c r="D1409" s="8">
        <v>5799.0</v>
      </c>
      <c r="E1409" s="19">
        <v>0.43</v>
      </c>
      <c r="F1409" s="10">
        <v>4.3</v>
      </c>
      <c r="G1409" s="10">
        <v>168.0</v>
      </c>
      <c r="K1409" s="23">
        <v>18990.0</v>
      </c>
    </row>
    <row r="1410">
      <c r="A1410" s="7" t="s">
        <v>1538</v>
      </c>
      <c r="B1410" s="7" t="s">
        <v>1093</v>
      </c>
      <c r="C1410" s="8">
        <v>179.0</v>
      </c>
      <c r="D1410" s="8">
        <v>799.0</v>
      </c>
      <c r="E1410" s="19">
        <v>0.78</v>
      </c>
      <c r="F1410" s="10">
        <v>3.6</v>
      </c>
      <c r="G1410" s="10">
        <v>101.0</v>
      </c>
      <c r="K1410" s="23">
        <v>18999.0</v>
      </c>
    </row>
    <row r="1411">
      <c r="A1411" s="7" t="s">
        <v>1539</v>
      </c>
      <c r="B1411" s="7" t="s">
        <v>1504</v>
      </c>
      <c r="C1411" s="8">
        <v>149.0</v>
      </c>
      <c r="D1411" s="8">
        <v>300.0</v>
      </c>
      <c r="E1411" s="19">
        <v>0.5</v>
      </c>
      <c r="F1411" s="10">
        <v>4.1</v>
      </c>
      <c r="G1411" s="11">
        <v>4074.0</v>
      </c>
      <c r="K1411" s="23">
        <v>18999.0</v>
      </c>
    </row>
    <row r="1412">
      <c r="A1412" s="7" t="s">
        <v>1540</v>
      </c>
      <c r="B1412" s="7" t="s">
        <v>1113</v>
      </c>
      <c r="C1412" s="8">
        <v>5490.0</v>
      </c>
      <c r="D1412" s="8">
        <v>7200.0</v>
      </c>
      <c r="E1412" s="19">
        <v>0.24</v>
      </c>
      <c r="F1412" s="10">
        <v>4.5</v>
      </c>
      <c r="G1412" s="11">
        <v>1408.0</v>
      </c>
      <c r="K1412" s="23">
        <v>18999.0</v>
      </c>
    </row>
    <row r="1413">
      <c r="A1413" s="7" t="s">
        <v>1541</v>
      </c>
      <c r="B1413" s="7" t="s">
        <v>1095</v>
      </c>
      <c r="C1413" s="8">
        <v>379.0</v>
      </c>
      <c r="D1413" s="8">
        <v>389.0</v>
      </c>
      <c r="E1413" s="19">
        <v>0.03</v>
      </c>
      <c r="F1413" s="10">
        <v>4.2</v>
      </c>
      <c r="G1413" s="11">
        <v>3739.0</v>
      </c>
      <c r="K1413" s="23">
        <v>19999.0</v>
      </c>
    </row>
    <row r="1414">
      <c r="A1414" s="7" t="s">
        <v>1542</v>
      </c>
      <c r="B1414" s="7" t="s">
        <v>1280</v>
      </c>
      <c r="C1414" s="8">
        <v>8699.0</v>
      </c>
      <c r="D1414" s="8">
        <v>13049.0</v>
      </c>
      <c r="E1414" s="19">
        <v>0.33</v>
      </c>
      <c r="F1414" s="10">
        <v>4.3</v>
      </c>
      <c r="G1414" s="11">
        <v>5891.0</v>
      </c>
      <c r="K1414" s="23">
        <v>19999.0</v>
      </c>
    </row>
    <row r="1415">
      <c r="A1415" s="7" t="s">
        <v>1543</v>
      </c>
      <c r="B1415" s="7" t="s">
        <v>1113</v>
      </c>
      <c r="C1415" s="8">
        <v>3041.67</v>
      </c>
      <c r="D1415" s="8">
        <v>5999.0</v>
      </c>
      <c r="E1415" s="19">
        <v>0.49</v>
      </c>
      <c r="F1415" s="10">
        <v>4.0</v>
      </c>
      <c r="G1415" s="10">
        <v>777.0</v>
      </c>
      <c r="K1415" s="23">
        <v>19999.0</v>
      </c>
    </row>
    <row r="1416">
      <c r="A1416" s="7" t="s">
        <v>1544</v>
      </c>
      <c r="B1416" s="7" t="s">
        <v>1109</v>
      </c>
      <c r="C1416" s="8">
        <v>1745.0</v>
      </c>
      <c r="D1416" s="8">
        <v>2400.0</v>
      </c>
      <c r="E1416" s="19">
        <v>0.27</v>
      </c>
      <c r="F1416" s="10">
        <v>4.2</v>
      </c>
      <c r="G1416" s="11">
        <v>14160.0</v>
      </c>
      <c r="K1416" s="23">
        <v>20990.0</v>
      </c>
    </row>
    <row r="1417">
      <c r="A1417" s="7" t="s">
        <v>1545</v>
      </c>
      <c r="B1417" s="7" t="s">
        <v>1104</v>
      </c>
      <c r="C1417" s="8">
        <v>3180.0</v>
      </c>
      <c r="D1417" s="8">
        <v>5295.0</v>
      </c>
      <c r="E1417" s="19">
        <v>0.4</v>
      </c>
      <c r="F1417" s="10">
        <v>4.2</v>
      </c>
      <c r="G1417" s="11">
        <v>6919.0</v>
      </c>
      <c r="K1417" s="23">
        <v>20999.0</v>
      </c>
    </row>
    <row r="1418">
      <c r="A1418" s="7" t="s">
        <v>1546</v>
      </c>
      <c r="B1418" s="7" t="s">
        <v>1280</v>
      </c>
      <c r="C1418" s="8">
        <v>4999.0</v>
      </c>
      <c r="D1418" s="8">
        <v>24999.0</v>
      </c>
      <c r="E1418" s="19">
        <v>0.8</v>
      </c>
      <c r="F1418" s="10">
        <v>4.5</v>
      </c>
      <c r="G1418" s="10">
        <v>287.0</v>
      </c>
      <c r="K1418" s="23">
        <v>20999.0</v>
      </c>
    </row>
    <row r="1419">
      <c r="A1419" s="7" t="s">
        <v>1547</v>
      </c>
      <c r="B1419" s="7" t="s">
        <v>1137</v>
      </c>
      <c r="C1419" s="8">
        <v>390.0</v>
      </c>
      <c r="D1419" s="8">
        <v>799.0</v>
      </c>
      <c r="E1419" s="19">
        <v>0.51</v>
      </c>
      <c r="F1419" s="10">
        <v>3.8</v>
      </c>
      <c r="G1419" s="10">
        <v>287.0</v>
      </c>
      <c r="K1419" s="23">
        <v>20999.0</v>
      </c>
    </row>
    <row r="1420">
      <c r="A1420" s="7" t="s">
        <v>1548</v>
      </c>
      <c r="B1420" s="7" t="s">
        <v>1549</v>
      </c>
      <c r="C1420" s="8">
        <v>1999.0</v>
      </c>
      <c r="D1420" s="8">
        <v>2999.0</v>
      </c>
      <c r="E1420" s="19">
        <v>0.33</v>
      </c>
      <c r="F1420" s="10">
        <v>4.4</v>
      </c>
      <c r="G1420" s="10">
        <v>388.0</v>
      </c>
      <c r="K1420" s="23">
        <v>21990.0</v>
      </c>
    </row>
    <row r="1421">
      <c r="A1421" s="7" t="s">
        <v>1550</v>
      </c>
      <c r="B1421" s="7" t="s">
        <v>1155</v>
      </c>
      <c r="C1421" s="8">
        <v>1624.0</v>
      </c>
      <c r="D1421" s="8">
        <v>2495.0</v>
      </c>
      <c r="E1421" s="19">
        <v>0.35</v>
      </c>
      <c r="F1421" s="10">
        <v>4.1</v>
      </c>
      <c r="G1421" s="10">
        <v>827.0</v>
      </c>
      <c r="K1421" s="23">
        <v>21999.0</v>
      </c>
    </row>
    <row r="1422">
      <c r="A1422" s="7" t="s">
        <v>1551</v>
      </c>
      <c r="B1422" s="7" t="s">
        <v>1504</v>
      </c>
      <c r="C1422" s="8">
        <v>184.0</v>
      </c>
      <c r="D1422" s="8">
        <v>450.0</v>
      </c>
      <c r="E1422" s="19">
        <v>0.59</v>
      </c>
      <c r="F1422" s="10">
        <v>4.2</v>
      </c>
      <c r="G1422" s="11">
        <v>4971.0</v>
      </c>
      <c r="K1422" s="23">
        <v>21999.0</v>
      </c>
    </row>
    <row r="1423">
      <c r="A1423" s="7" t="s">
        <v>1552</v>
      </c>
      <c r="B1423" s="7" t="s">
        <v>1093</v>
      </c>
      <c r="C1423" s="8">
        <v>445.0</v>
      </c>
      <c r="D1423" s="8">
        <v>999.0</v>
      </c>
      <c r="E1423" s="19">
        <v>0.55</v>
      </c>
      <c r="F1423" s="10">
        <v>4.3</v>
      </c>
      <c r="G1423" s="10">
        <v>229.0</v>
      </c>
      <c r="K1423" s="23">
        <v>22999.0</v>
      </c>
    </row>
    <row r="1424">
      <c r="A1424" s="7" t="s">
        <v>1553</v>
      </c>
      <c r="B1424" s="7" t="s">
        <v>1554</v>
      </c>
      <c r="C1424" s="8">
        <v>699.0</v>
      </c>
      <c r="D1424" s="8">
        <v>1690.0</v>
      </c>
      <c r="E1424" s="19">
        <v>0.59</v>
      </c>
      <c r="F1424" s="10">
        <v>4.1</v>
      </c>
      <c r="G1424" s="11">
        <v>3524.0</v>
      </c>
      <c r="K1424" s="23">
        <v>23999.0</v>
      </c>
    </row>
    <row r="1425">
      <c r="A1425" s="7" t="s">
        <v>1555</v>
      </c>
      <c r="B1425" s="7" t="s">
        <v>1104</v>
      </c>
      <c r="C1425" s="8">
        <v>1601.0</v>
      </c>
      <c r="D1425" s="8">
        <v>3890.0</v>
      </c>
      <c r="E1425" s="19">
        <v>0.59</v>
      </c>
      <c r="F1425" s="10">
        <v>4.2</v>
      </c>
      <c r="G1425" s="10">
        <v>156.0</v>
      </c>
      <c r="K1425" s="23">
        <v>23999.0</v>
      </c>
    </row>
    <row r="1426">
      <c r="A1426" s="7" t="s">
        <v>1556</v>
      </c>
      <c r="B1426" s="7" t="s">
        <v>1228</v>
      </c>
      <c r="C1426" s="8">
        <v>231.0</v>
      </c>
      <c r="D1426" s="8">
        <v>260.0</v>
      </c>
      <c r="E1426" s="19">
        <v>0.11</v>
      </c>
      <c r="F1426" s="10">
        <v>4.1</v>
      </c>
      <c r="G1426" s="10">
        <v>490.0</v>
      </c>
      <c r="K1426" s="23">
        <v>24499.0</v>
      </c>
    </row>
    <row r="1427">
      <c r="A1427" s="7" t="s">
        <v>1557</v>
      </c>
      <c r="B1427" s="7" t="s">
        <v>1093</v>
      </c>
      <c r="C1427" s="8">
        <v>369.0</v>
      </c>
      <c r="D1427" s="8">
        <v>599.0</v>
      </c>
      <c r="E1427" s="19">
        <v>0.38</v>
      </c>
      <c r="F1427" s="10">
        <v>3.9</v>
      </c>
      <c r="G1427" s="10">
        <v>82.0</v>
      </c>
      <c r="K1427" s="23">
        <v>24990.0</v>
      </c>
    </row>
    <row r="1428">
      <c r="A1428" s="7" t="s">
        <v>1558</v>
      </c>
      <c r="B1428" s="7" t="s">
        <v>1086</v>
      </c>
      <c r="C1428" s="8">
        <v>809.0</v>
      </c>
      <c r="D1428" s="8">
        <v>1950.0</v>
      </c>
      <c r="E1428" s="19">
        <v>0.59</v>
      </c>
      <c r="F1428" s="10">
        <v>3.9</v>
      </c>
      <c r="G1428" s="10">
        <v>710.0</v>
      </c>
      <c r="K1428" s="23">
        <v>24999.0</v>
      </c>
    </row>
    <row r="1429">
      <c r="A1429" s="7" t="s">
        <v>1559</v>
      </c>
      <c r="B1429" s="7" t="s">
        <v>1113</v>
      </c>
      <c r="C1429" s="8">
        <v>1199.0</v>
      </c>
      <c r="D1429" s="8">
        <v>2990.0</v>
      </c>
      <c r="E1429" s="19">
        <v>0.6</v>
      </c>
      <c r="F1429" s="10">
        <v>3.8</v>
      </c>
      <c r="G1429" s="10">
        <v>133.0</v>
      </c>
      <c r="K1429" s="23">
        <v>24999.0</v>
      </c>
    </row>
    <row r="1430">
      <c r="A1430" s="7" t="s">
        <v>1560</v>
      </c>
      <c r="B1430" s="7" t="s">
        <v>1113</v>
      </c>
      <c r="C1430" s="8">
        <v>6120.0</v>
      </c>
      <c r="D1430" s="8">
        <v>8073.0</v>
      </c>
      <c r="E1430" s="19">
        <v>0.24</v>
      </c>
      <c r="F1430" s="10">
        <v>4.6</v>
      </c>
      <c r="G1430" s="11">
        <v>2751.0</v>
      </c>
      <c r="K1430" s="23">
        <v>26999.0</v>
      </c>
    </row>
    <row r="1431">
      <c r="A1431" s="7" t="s">
        <v>1561</v>
      </c>
      <c r="B1431" s="7" t="s">
        <v>1139</v>
      </c>
      <c r="C1431" s="8">
        <v>1799.0</v>
      </c>
      <c r="D1431" s="8">
        <v>2599.0</v>
      </c>
      <c r="E1431" s="19">
        <v>0.31</v>
      </c>
      <c r="F1431" s="10">
        <v>3.6</v>
      </c>
      <c r="G1431" s="10">
        <v>771.0</v>
      </c>
      <c r="K1431" s="23">
        <v>26999.0</v>
      </c>
    </row>
    <row r="1432">
      <c r="A1432" s="7" t="s">
        <v>1562</v>
      </c>
      <c r="B1432" s="7" t="s">
        <v>1428</v>
      </c>
      <c r="C1432" s="8">
        <v>18999.0</v>
      </c>
      <c r="D1432" s="8">
        <v>29999.0</v>
      </c>
      <c r="E1432" s="19">
        <v>0.37</v>
      </c>
      <c r="F1432" s="10">
        <v>4.1</v>
      </c>
      <c r="G1432" s="11">
        <v>2536.0</v>
      </c>
      <c r="K1432" s="23">
        <v>26999.0</v>
      </c>
    </row>
    <row r="1433">
      <c r="A1433" s="7" t="s">
        <v>1563</v>
      </c>
      <c r="B1433" s="7" t="s">
        <v>1222</v>
      </c>
      <c r="C1433" s="8">
        <v>1999.0</v>
      </c>
      <c r="D1433" s="8">
        <v>2360.0</v>
      </c>
      <c r="E1433" s="19">
        <v>0.15</v>
      </c>
      <c r="F1433" s="10">
        <v>4.2</v>
      </c>
      <c r="G1433" s="11">
        <v>7801.0</v>
      </c>
      <c r="K1433" s="23">
        <v>27900.0</v>
      </c>
    </row>
    <row r="1434">
      <c r="A1434" s="7" t="s">
        <v>1564</v>
      </c>
      <c r="B1434" s="7" t="s">
        <v>1565</v>
      </c>
      <c r="C1434" s="8">
        <v>5999.0</v>
      </c>
      <c r="D1434" s="8">
        <v>11495.0</v>
      </c>
      <c r="E1434" s="19">
        <v>0.48</v>
      </c>
      <c r="F1434" s="10">
        <v>4.3</v>
      </c>
      <c r="G1434" s="10">
        <v>534.0</v>
      </c>
      <c r="K1434" s="23">
        <v>27999.0</v>
      </c>
    </row>
    <row r="1435">
      <c r="A1435" s="7" t="s">
        <v>1566</v>
      </c>
      <c r="B1435" s="7" t="s">
        <v>1186</v>
      </c>
      <c r="C1435" s="8">
        <v>2599.0</v>
      </c>
      <c r="D1435" s="8">
        <v>4780.0</v>
      </c>
      <c r="E1435" s="19">
        <v>0.46</v>
      </c>
      <c r="F1435" s="10">
        <v>3.9</v>
      </c>
      <c r="G1435" s="10">
        <v>898.0</v>
      </c>
      <c r="K1435" s="23">
        <v>28999.0</v>
      </c>
    </row>
    <row r="1436">
      <c r="A1436" s="7" t="s">
        <v>1567</v>
      </c>
      <c r="B1436" s="7" t="s">
        <v>1489</v>
      </c>
      <c r="C1436" s="8">
        <v>1199.0</v>
      </c>
      <c r="D1436" s="8">
        <v>2400.0</v>
      </c>
      <c r="E1436" s="19">
        <v>0.5</v>
      </c>
      <c r="F1436" s="10">
        <v>3.9</v>
      </c>
      <c r="G1436" s="11">
        <v>1202.0</v>
      </c>
      <c r="K1436" s="23">
        <v>28999.0</v>
      </c>
    </row>
    <row r="1437">
      <c r="A1437" s="7" t="s">
        <v>1568</v>
      </c>
      <c r="B1437" s="7" t="s">
        <v>1137</v>
      </c>
      <c r="C1437" s="8">
        <v>219.0</v>
      </c>
      <c r="D1437" s="8">
        <v>249.0</v>
      </c>
      <c r="E1437" s="19">
        <v>0.12</v>
      </c>
      <c r="F1437" s="10">
        <v>4.0</v>
      </c>
      <c r="G1437" s="11">
        <v>1108.0</v>
      </c>
      <c r="K1437" s="23">
        <v>28999.0</v>
      </c>
    </row>
    <row r="1438">
      <c r="A1438" s="7" t="s">
        <v>1569</v>
      </c>
      <c r="B1438" s="7" t="s">
        <v>1091</v>
      </c>
      <c r="C1438" s="8">
        <v>799.0</v>
      </c>
      <c r="D1438" s="8">
        <v>1199.0</v>
      </c>
      <c r="E1438" s="19">
        <v>0.33</v>
      </c>
      <c r="F1438" s="10">
        <v>4.4</v>
      </c>
      <c r="G1438" s="10">
        <v>17.0</v>
      </c>
      <c r="K1438" s="23">
        <v>29990.0</v>
      </c>
    </row>
    <row r="1439">
      <c r="A1439" s="7" t="s">
        <v>1570</v>
      </c>
      <c r="B1439" s="7" t="s">
        <v>1263</v>
      </c>
      <c r="C1439" s="8">
        <v>6199.0</v>
      </c>
      <c r="D1439" s="8">
        <v>10999.0</v>
      </c>
      <c r="E1439" s="19">
        <v>0.44</v>
      </c>
      <c r="F1439" s="10">
        <v>4.2</v>
      </c>
      <c r="G1439" s="11">
        <v>10429.0</v>
      </c>
      <c r="K1439" s="23">
        <v>29990.0</v>
      </c>
    </row>
    <row r="1440">
      <c r="A1440" s="7" t="s">
        <v>1571</v>
      </c>
      <c r="B1440" s="7" t="s">
        <v>1135</v>
      </c>
      <c r="C1440" s="8">
        <v>6790.0</v>
      </c>
      <c r="D1440" s="8">
        <v>10995.0</v>
      </c>
      <c r="E1440" s="19">
        <v>0.38</v>
      </c>
      <c r="F1440" s="10">
        <v>4.5</v>
      </c>
      <c r="G1440" s="11">
        <v>3192.0</v>
      </c>
      <c r="K1440" s="23">
        <v>29999.0</v>
      </c>
    </row>
    <row r="1441">
      <c r="A1441" s="7" t="s">
        <v>1572</v>
      </c>
      <c r="B1441" s="7" t="s">
        <v>1573</v>
      </c>
      <c r="C1441" s="8">
        <v>1982.84</v>
      </c>
      <c r="D1441" s="8">
        <v>3300.0</v>
      </c>
      <c r="E1441" s="19">
        <v>0.4</v>
      </c>
      <c r="F1441" s="10">
        <v>4.1</v>
      </c>
      <c r="G1441" s="11">
        <v>5873.0</v>
      </c>
      <c r="K1441" s="23">
        <v>29999.0</v>
      </c>
    </row>
    <row r="1442">
      <c r="A1442" s="7" t="s">
        <v>1574</v>
      </c>
      <c r="B1442" s="7" t="s">
        <v>1228</v>
      </c>
      <c r="C1442" s="8">
        <v>199.0</v>
      </c>
      <c r="D1442" s="8">
        <v>400.0</v>
      </c>
      <c r="E1442" s="19">
        <v>0.5</v>
      </c>
      <c r="F1442" s="10">
        <v>4.1</v>
      </c>
      <c r="G1442" s="11">
        <v>1379.0</v>
      </c>
      <c r="K1442" s="23">
        <v>30990.0</v>
      </c>
    </row>
    <row r="1443">
      <c r="A1443" s="7" t="s">
        <v>1575</v>
      </c>
      <c r="B1443" s="7" t="s">
        <v>1086</v>
      </c>
      <c r="C1443" s="8">
        <v>1180.0</v>
      </c>
      <c r="D1443" s="8">
        <v>1440.0</v>
      </c>
      <c r="E1443" s="19">
        <v>0.18</v>
      </c>
      <c r="F1443" s="10">
        <v>4.2</v>
      </c>
      <c r="G1443" s="11">
        <v>1527.0</v>
      </c>
      <c r="K1443" s="23">
        <v>30990.0</v>
      </c>
    </row>
    <row r="1444">
      <c r="A1444" s="7" t="s">
        <v>1576</v>
      </c>
      <c r="B1444" s="7" t="s">
        <v>1186</v>
      </c>
      <c r="C1444" s="8">
        <v>2199.0</v>
      </c>
      <c r="D1444" s="8">
        <v>3045.0</v>
      </c>
      <c r="E1444" s="19">
        <v>0.28</v>
      </c>
      <c r="F1444" s="10">
        <v>4.2</v>
      </c>
      <c r="G1444" s="11">
        <v>2686.0</v>
      </c>
      <c r="K1444" s="23">
        <v>31999.0</v>
      </c>
    </row>
    <row r="1445">
      <c r="A1445" s="7" t="s">
        <v>1577</v>
      </c>
      <c r="B1445" s="7" t="s">
        <v>1225</v>
      </c>
      <c r="C1445" s="8">
        <v>2999.0</v>
      </c>
      <c r="D1445" s="8">
        <v>3595.0</v>
      </c>
      <c r="E1445" s="19">
        <v>0.17</v>
      </c>
      <c r="F1445" s="10">
        <v>4.0</v>
      </c>
      <c r="G1445" s="10">
        <v>178.0</v>
      </c>
      <c r="K1445" s="23">
        <v>32990.0</v>
      </c>
    </row>
    <row r="1446">
      <c r="A1446" s="7" t="s">
        <v>1578</v>
      </c>
      <c r="B1446" s="7" t="s">
        <v>1579</v>
      </c>
      <c r="C1446" s="8">
        <v>253.0</v>
      </c>
      <c r="D1446" s="8">
        <v>500.0</v>
      </c>
      <c r="E1446" s="19">
        <v>0.49</v>
      </c>
      <c r="F1446" s="10">
        <v>4.3</v>
      </c>
      <c r="G1446" s="11">
        <v>2664.0</v>
      </c>
      <c r="K1446" s="23">
        <v>32990.0</v>
      </c>
    </row>
    <row r="1447">
      <c r="A1447" s="7" t="s">
        <v>1580</v>
      </c>
      <c r="B1447" s="7" t="s">
        <v>1393</v>
      </c>
      <c r="C1447" s="8">
        <v>499.0</v>
      </c>
      <c r="D1447" s="8">
        <v>799.0</v>
      </c>
      <c r="E1447" s="19">
        <v>0.38</v>
      </c>
      <c r="F1447" s="10">
        <v>3.6</v>
      </c>
      <c r="G1447" s="10">
        <v>212.0</v>
      </c>
      <c r="K1447" s="23">
        <v>32990.0</v>
      </c>
    </row>
    <row r="1448">
      <c r="A1448" s="7" t="s">
        <v>1581</v>
      </c>
      <c r="B1448" s="7" t="s">
        <v>1089</v>
      </c>
      <c r="C1448" s="8">
        <v>1149.0</v>
      </c>
      <c r="D1448" s="8">
        <v>1899.0</v>
      </c>
      <c r="E1448" s="19">
        <v>0.39</v>
      </c>
      <c r="F1448" s="10">
        <v>3.5</v>
      </c>
      <c r="G1448" s="10">
        <v>24.0</v>
      </c>
      <c r="K1448" s="23">
        <v>32999.0</v>
      </c>
    </row>
    <row r="1449">
      <c r="A1449" s="7" t="s">
        <v>1582</v>
      </c>
      <c r="B1449" s="7" t="s">
        <v>1111</v>
      </c>
      <c r="C1449" s="8">
        <v>457.0</v>
      </c>
      <c r="D1449" s="8">
        <v>799.0</v>
      </c>
      <c r="E1449" s="19">
        <v>0.43</v>
      </c>
      <c r="F1449" s="10">
        <v>4.3</v>
      </c>
      <c r="G1449" s="11">
        <v>1868.0</v>
      </c>
      <c r="K1449" s="23">
        <v>32999.0</v>
      </c>
    </row>
    <row r="1450">
      <c r="A1450" s="7" t="s">
        <v>1583</v>
      </c>
      <c r="B1450" s="7" t="s">
        <v>1388</v>
      </c>
      <c r="C1450" s="8">
        <v>229.0</v>
      </c>
      <c r="D1450" s="8">
        <v>399.0</v>
      </c>
      <c r="E1450" s="19">
        <v>0.43</v>
      </c>
      <c r="F1450" s="10">
        <v>3.6</v>
      </c>
      <c r="G1450" s="10">
        <v>451.0</v>
      </c>
      <c r="K1450" s="23">
        <v>32999.0</v>
      </c>
    </row>
    <row r="1451">
      <c r="A1451" s="7" t="s">
        <v>1584</v>
      </c>
      <c r="B1451" s="7" t="s">
        <v>1228</v>
      </c>
      <c r="C1451" s="8">
        <v>199.0</v>
      </c>
      <c r="D1451" s="8">
        <v>699.0</v>
      </c>
      <c r="E1451" s="19">
        <v>0.72</v>
      </c>
      <c r="F1451" s="10">
        <v>2.9</v>
      </c>
      <c r="G1451" s="10">
        <v>159.0</v>
      </c>
      <c r="K1451" s="23">
        <v>33999.0</v>
      </c>
    </row>
    <row r="1452">
      <c r="A1452" s="7" t="s">
        <v>1585</v>
      </c>
      <c r="B1452" s="7" t="s">
        <v>1489</v>
      </c>
      <c r="C1452" s="8">
        <v>899.0</v>
      </c>
      <c r="D1452" s="8">
        <v>1999.0</v>
      </c>
      <c r="E1452" s="19">
        <v>0.55</v>
      </c>
      <c r="F1452" s="10">
        <v>4.2</v>
      </c>
      <c r="G1452" s="10">
        <v>39.0</v>
      </c>
      <c r="K1452" s="23">
        <v>34999.0</v>
      </c>
    </row>
    <row r="1453">
      <c r="A1453" s="7" t="s">
        <v>1586</v>
      </c>
      <c r="B1453" s="7" t="s">
        <v>1310</v>
      </c>
      <c r="C1453" s="8">
        <v>1499.0</v>
      </c>
      <c r="D1453" s="8">
        <v>2199.0</v>
      </c>
      <c r="E1453" s="19">
        <v>0.32</v>
      </c>
      <c r="F1453" s="10">
        <v>4.4</v>
      </c>
      <c r="G1453" s="11">
        <v>6531.0</v>
      </c>
      <c r="K1453" s="23">
        <v>35999.0</v>
      </c>
    </row>
    <row r="1454">
      <c r="A1454" s="7" t="s">
        <v>1587</v>
      </c>
      <c r="B1454" s="7" t="s">
        <v>1109</v>
      </c>
      <c r="C1454" s="8">
        <v>426.0</v>
      </c>
      <c r="D1454" s="8">
        <v>999.0</v>
      </c>
      <c r="E1454" s="19">
        <v>0.57</v>
      </c>
      <c r="F1454" s="10">
        <v>4.1</v>
      </c>
      <c r="G1454" s="10">
        <v>222.0</v>
      </c>
      <c r="K1454" s="23">
        <v>37247.0</v>
      </c>
    </row>
    <row r="1455">
      <c r="A1455" s="7" t="s">
        <v>1588</v>
      </c>
      <c r="B1455" s="7" t="s">
        <v>1091</v>
      </c>
      <c r="C1455" s="8">
        <v>2320.0</v>
      </c>
      <c r="D1455" s="8">
        <v>3290.0</v>
      </c>
      <c r="E1455" s="19">
        <v>0.29</v>
      </c>
      <c r="F1455" s="10">
        <v>3.8</v>
      </c>
      <c r="G1455" s="10">
        <v>195.0</v>
      </c>
      <c r="K1455" s="23">
        <v>37990.0</v>
      </c>
    </row>
    <row r="1456">
      <c r="A1456" s="7" t="s">
        <v>1589</v>
      </c>
      <c r="B1456" s="7" t="s">
        <v>1299</v>
      </c>
      <c r="C1456" s="8">
        <v>1563.0</v>
      </c>
      <c r="D1456" s="8">
        <v>3098.0</v>
      </c>
      <c r="E1456" s="19">
        <v>0.5</v>
      </c>
      <c r="F1456" s="10">
        <v>3.5</v>
      </c>
      <c r="G1456" s="11">
        <v>2283.0</v>
      </c>
      <c r="K1456" s="23">
        <v>37999.0</v>
      </c>
    </row>
    <row r="1457">
      <c r="A1457" s="7" t="s">
        <v>1590</v>
      </c>
      <c r="B1457" s="7" t="s">
        <v>1089</v>
      </c>
      <c r="C1457" s="8">
        <v>3487.77</v>
      </c>
      <c r="D1457" s="8">
        <v>4990.0</v>
      </c>
      <c r="E1457" s="19">
        <v>0.3</v>
      </c>
      <c r="F1457" s="10">
        <v>4.1</v>
      </c>
      <c r="G1457" s="11">
        <v>1127.0</v>
      </c>
      <c r="K1457" s="23">
        <v>42990.0</v>
      </c>
    </row>
    <row r="1458">
      <c r="A1458" s="7" t="s">
        <v>1591</v>
      </c>
      <c r="B1458" s="7" t="s">
        <v>1173</v>
      </c>
      <c r="C1458" s="8">
        <v>498.0</v>
      </c>
      <c r="D1458" s="8">
        <v>1200.0</v>
      </c>
      <c r="E1458" s="19">
        <v>0.59</v>
      </c>
      <c r="F1458" s="10">
        <v>3.2</v>
      </c>
      <c r="G1458" s="10">
        <v>113.0</v>
      </c>
      <c r="K1458" s="23">
        <v>42999.0</v>
      </c>
    </row>
    <row r="1459">
      <c r="A1459" s="7" t="s">
        <v>1592</v>
      </c>
      <c r="B1459" s="7" t="s">
        <v>1086</v>
      </c>
      <c r="C1459" s="8">
        <v>2695.0</v>
      </c>
      <c r="D1459" s="8">
        <v>2695.0</v>
      </c>
      <c r="E1459" s="19">
        <v>0.0</v>
      </c>
      <c r="F1459" s="10">
        <v>4.4</v>
      </c>
      <c r="G1459" s="11">
        <v>2518.0</v>
      </c>
      <c r="K1459" s="23">
        <v>44999.0</v>
      </c>
    </row>
    <row r="1460">
      <c r="A1460" s="7" t="s">
        <v>1593</v>
      </c>
      <c r="B1460" s="7" t="s">
        <v>1089</v>
      </c>
      <c r="C1460" s="8">
        <v>949.0</v>
      </c>
      <c r="D1460" s="8">
        <v>2299.0</v>
      </c>
      <c r="E1460" s="19">
        <v>0.59</v>
      </c>
      <c r="F1460" s="10">
        <v>3.6</v>
      </c>
      <c r="G1460" s="10">
        <v>550.0</v>
      </c>
      <c r="K1460" s="23">
        <v>45999.0</v>
      </c>
    </row>
    <row r="1461">
      <c r="A1461" s="7" t="s">
        <v>1594</v>
      </c>
      <c r="B1461" s="7" t="s">
        <v>1093</v>
      </c>
      <c r="C1461" s="8">
        <v>199.0</v>
      </c>
      <c r="D1461" s="8">
        <v>999.0</v>
      </c>
      <c r="E1461" s="19">
        <v>0.8</v>
      </c>
      <c r="F1461" s="10">
        <v>3.1</v>
      </c>
      <c r="G1461" s="10">
        <v>2.0</v>
      </c>
      <c r="K1461" s="23">
        <v>46999.0</v>
      </c>
    </row>
    <row r="1462">
      <c r="A1462" s="7" t="s">
        <v>1595</v>
      </c>
      <c r="B1462" s="7" t="s">
        <v>1228</v>
      </c>
      <c r="C1462" s="8">
        <v>379.0</v>
      </c>
      <c r="D1462" s="8">
        <v>919.0</v>
      </c>
      <c r="E1462" s="19">
        <v>0.59</v>
      </c>
      <c r="F1462" s="10">
        <v>4.0</v>
      </c>
      <c r="G1462" s="11">
        <v>1090.0</v>
      </c>
      <c r="K1462" s="23">
        <v>47990.0</v>
      </c>
    </row>
    <row r="1463">
      <c r="A1463" s="7" t="s">
        <v>1596</v>
      </c>
      <c r="B1463" s="7" t="s">
        <v>1236</v>
      </c>
      <c r="C1463" s="8">
        <v>2280.0</v>
      </c>
      <c r="D1463" s="8">
        <v>3045.0</v>
      </c>
      <c r="E1463" s="19">
        <v>0.25</v>
      </c>
      <c r="F1463" s="10">
        <v>4.1</v>
      </c>
      <c r="G1463" s="11">
        <v>4118.0</v>
      </c>
      <c r="K1463" s="23">
        <v>47990.0</v>
      </c>
    </row>
    <row r="1464">
      <c r="A1464" s="7" t="s">
        <v>1597</v>
      </c>
      <c r="B1464" s="7" t="s">
        <v>1209</v>
      </c>
      <c r="C1464" s="8">
        <v>2219.0</v>
      </c>
      <c r="D1464" s="8">
        <v>3080.0</v>
      </c>
      <c r="E1464" s="19">
        <v>0.28</v>
      </c>
      <c r="F1464" s="10">
        <v>3.6</v>
      </c>
      <c r="G1464" s="10">
        <v>468.0</v>
      </c>
      <c r="K1464" s="23">
        <v>54990.0</v>
      </c>
    </row>
    <row r="1465">
      <c r="A1465" s="7" t="s">
        <v>1598</v>
      </c>
      <c r="B1465" s="7" t="s">
        <v>1222</v>
      </c>
      <c r="C1465" s="8">
        <v>1399.0</v>
      </c>
      <c r="D1465" s="8">
        <v>1890.0</v>
      </c>
      <c r="E1465" s="19">
        <v>0.26</v>
      </c>
      <c r="F1465" s="10">
        <v>4.0</v>
      </c>
      <c r="G1465" s="11">
        <v>8031.0</v>
      </c>
      <c r="K1465" s="23">
        <v>61999.0</v>
      </c>
    </row>
    <row r="1466">
      <c r="A1466" s="7" t="s">
        <v>1599</v>
      </c>
      <c r="B1466" s="7" t="s">
        <v>1159</v>
      </c>
      <c r="C1466" s="8">
        <v>2863.0</v>
      </c>
      <c r="D1466" s="8">
        <v>3690.0</v>
      </c>
      <c r="E1466" s="19">
        <v>0.22</v>
      </c>
      <c r="F1466" s="10">
        <v>4.3</v>
      </c>
      <c r="G1466" s="11">
        <v>6987.0</v>
      </c>
      <c r="K1466" s="23">
        <v>77990.0</v>
      </c>
    </row>
  </sheetData>
  <mergeCells count="1">
    <mergeCell ref="I2:J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1610</v>
      </c>
      <c r="K2" s="17" t="str">
        <f>IFERROR(__xludf.DUMMYFUNCTION("FILTER(A2:G1466,F2:F1466 &gt; 4)"),"Wayona Nylon Braided USB to Lightning Fast Charging and Data Sync Cable Compatible for iPhone 13, 12,11, X, 8, 7, 6, 5, iPad Air, Pro, Mini (3 FT Pack of 1, Grey)")</f>
        <v>Wayona Nylon Braided USB to Lightning Fast Charging and Data Sync Cable Compatible for iPhone 13, 12,11, X, 8, 7, 6, 5, iPad Air, Pro, Mini (3 FT Pack of 1, Grey)</v>
      </c>
      <c r="L2" s="17" t="str">
        <f>IFERROR(__xludf.DUMMYFUNCTION("""COMPUTED_VALUE"""),"Computers&amp;Accessories|Accessories&amp;Peripherals|Cables&amp;Accessories|Cables|USBCables")</f>
        <v>Computers&amp;Accessories|Accessories&amp;Peripherals|Cables&amp;Accessories|Cables|USBCables</v>
      </c>
      <c r="M2" s="23">
        <f>IFERROR(__xludf.DUMMYFUNCTION("""COMPUTED_VALUE"""),399.0)</f>
        <v>399</v>
      </c>
      <c r="N2" s="23">
        <f>IFERROR(__xludf.DUMMYFUNCTION("""COMPUTED_VALUE"""),1099.0)</f>
        <v>1099</v>
      </c>
      <c r="O2" s="24">
        <f>IFERROR(__xludf.DUMMYFUNCTION("""COMPUTED_VALUE"""),0.64)</f>
        <v>0.64</v>
      </c>
      <c r="P2" s="17">
        <f>IFERROR(__xludf.DUMMYFUNCTION("""COMPUTED_VALUE"""),4.2)</f>
        <v>4.2</v>
      </c>
      <c r="Q2" s="25">
        <f>IFERROR(__xludf.DUMMYFUNCTION("""COMPUTED_VALUE"""),24269.0)</f>
        <v>24269</v>
      </c>
    </row>
    <row r="3">
      <c r="A3" s="7" t="s">
        <v>17</v>
      </c>
      <c r="B3" s="7" t="s">
        <v>15</v>
      </c>
      <c r="C3" s="8">
        <v>199.0</v>
      </c>
      <c r="D3" s="8">
        <v>349.0</v>
      </c>
      <c r="E3" s="19">
        <v>0.43</v>
      </c>
      <c r="F3" s="10">
        <v>4.0</v>
      </c>
      <c r="G3" s="11">
        <v>43994.0</v>
      </c>
      <c r="K3" s="17" t="str">
        <f>IFERROR(__xludf.DUMMYFUNCTION("""COMPUTED_VALUE"""),"boAt Deuce USB 300 2 in 1 Type-C &amp; Micro USB Stress Resistant, Tangle-Free, Sturdy Cable with 3A Fast Charging &amp; 480mbps Data Transmission, 10000+ Bends Lifespan and Extended 1.5m Length(Martian Red)")</f>
        <v>boAt Deuce USB 300 2 in 1 Type-C &amp; Micro USB Stress Resistant, Tangle-Free, Sturdy Cable with 3A Fast Charging &amp; 480mbps Data Transmission, 10000+ Bends Lifespan and Extended 1.5m Length(Martian Red)</v>
      </c>
      <c r="L3" s="17" t="str">
        <f>IFERROR(__xludf.DUMMYFUNCTION("""COMPUTED_VALUE"""),"Computers&amp;Accessories|Accessories&amp;Peripherals|Cables&amp;Accessories|Cables|USBCables")</f>
        <v>Computers&amp;Accessories|Accessories&amp;Peripherals|Cables&amp;Accessories|Cables|USBCables</v>
      </c>
      <c r="M3" s="23">
        <f>IFERROR(__xludf.DUMMYFUNCTION("""COMPUTED_VALUE"""),329.0)</f>
        <v>329</v>
      </c>
      <c r="N3" s="23">
        <f>IFERROR(__xludf.DUMMYFUNCTION("""COMPUTED_VALUE"""),699.0)</f>
        <v>699</v>
      </c>
      <c r="O3" s="24">
        <f>IFERROR(__xludf.DUMMYFUNCTION("""COMPUTED_VALUE"""),0.53)</f>
        <v>0.53</v>
      </c>
      <c r="P3" s="17">
        <f>IFERROR(__xludf.DUMMYFUNCTION("""COMPUTED_VALUE"""),4.2)</f>
        <v>4.2</v>
      </c>
      <c r="Q3" s="25">
        <f>IFERROR(__xludf.DUMMYFUNCTION("""COMPUTED_VALUE"""),94363.0)</f>
        <v>94363</v>
      </c>
    </row>
    <row r="4">
      <c r="A4" s="7" t="s">
        <v>18</v>
      </c>
      <c r="B4" s="7" t="s">
        <v>15</v>
      </c>
      <c r="C4" s="8">
        <v>199.0</v>
      </c>
      <c r="D4" s="8">
        <v>1899.0</v>
      </c>
      <c r="E4" s="19">
        <v>0.9</v>
      </c>
      <c r="F4" s="10">
        <v>3.9</v>
      </c>
      <c r="G4" s="11">
        <v>7928.0</v>
      </c>
      <c r="K4" s="17" t="str">
        <f>IFERROR(__xludf.DUMMYFUNCTION("""COMPUTED_VALUE"""),"Portronics Konnect L 1.2M Fast Charging 3A 8 Pin USB Cable with Charge &amp; Sync Function for iPhone, iPad (Grey)")</f>
        <v>Portronics Konnect L 1.2M Fast Charging 3A 8 Pin USB Cable with Charge &amp; Sync Function for iPhone, iPad (Grey)</v>
      </c>
      <c r="L4" s="17" t="str">
        <f>IFERROR(__xludf.DUMMYFUNCTION("""COMPUTED_VALUE"""),"Computers&amp;Accessories|Accessories&amp;Peripherals|Cables&amp;Accessories|Cables|USBCables")</f>
        <v>Computers&amp;Accessories|Accessories&amp;Peripherals|Cables&amp;Accessories|Cables|USBCables</v>
      </c>
      <c r="M4" s="23">
        <f>IFERROR(__xludf.DUMMYFUNCTION("""COMPUTED_VALUE"""),154.0)</f>
        <v>154</v>
      </c>
      <c r="N4" s="23">
        <f>IFERROR(__xludf.DUMMYFUNCTION("""COMPUTED_VALUE"""),399.0)</f>
        <v>399</v>
      </c>
      <c r="O4" s="24">
        <f>IFERROR(__xludf.DUMMYFUNCTION("""COMPUTED_VALUE"""),0.61)</f>
        <v>0.61</v>
      </c>
      <c r="P4" s="17">
        <f>IFERROR(__xludf.DUMMYFUNCTION("""COMPUTED_VALUE"""),4.2)</f>
        <v>4.2</v>
      </c>
      <c r="Q4" s="25">
        <f>IFERROR(__xludf.DUMMYFUNCTION("""COMPUTED_VALUE"""),16905.0)</f>
        <v>16905</v>
      </c>
    </row>
    <row r="5">
      <c r="A5" s="7" t="s">
        <v>19</v>
      </c>
      <c r="B5" s="7" t="s">
        <v>15</v>
      </c>
      <c r="C5" s="8">
        <v>329.0</v>
      </c>
      <c r="D5" s="8">
        <v>699.0</v>
      </c>
      <c r="E5" s="19">
        <v>0.53</v>
      </c>
      <c r="F5" s="10">
        <v>4.2</v>
      </c>
      <c r="G5" s="11">
        <v>94363.0</v>
      </c>
      <c r="K5" s="17" t="str">
        <f>IFERROR(__xludf.DUMMYFUNCTION("""COMPUTED_VALUE"""),"boAt Micro USB 55 Tangle-free, Sturdy Micro USB Cable with 3A Fast Charging &amp; 480mbps Data Transmission (Black)")</f>
        <v>boAt Micro USB 55 Tangle-free, Sturdy Micro USB Cable with 3A Fast Charging &amp; 480mbps Data Transmission (Black)</v>
      </c>
      <c r="L5" s="17" t="str">
        <f>IFERROR(__xludf.DUMMYFUNCTION("""COMPUTED_VALUE"""),"Computers&amp;Accessories|Accessories&amp;Peripherals|Cables&amp;Accessories|Cables|USBCables")</f>
        <v>Computers&amp;Accessories|Accessories&amp;Peripherals|Cables&amp;Accessories|Cables|USBCables</v>
      </c>
      <c r="M5" s="23">
        <f>IFERROR(__xludf.DUMMYFUNCTION("""COMPUTED_VALUE"""),176.63)</f>
        <v>176.63</v>
      </c>
      <c r="N5" s="23">
        <f>IFERROR(__xludf.DUMMYFUNCTION("""COMPUTED_VALUE"""),499.0)</f>
        <v>499</v>
      </c>
      <c r="O5" s="24">
        <f>IFERROR(__xludf.DUMMYFUNCTION("""COMPUTED_VALUE"""),0.65)</f>
        <v>0.65</v>
      </c>
      <c r="P5" s="17">
        <f>IFERROR(__xludf.DUMMYFUNCTION("""COMPUTED_VALUE"""),4.1)</f>
        <v>4.1</v>
      </c>
      <c r="Q5" s="25">
        <f>IFERROR(__xludf.DUMMYFUNCTION("""COMPUTED_VALUE"""),15188.0)</f>
        <v>15188</v>
      </c>
    </row>
    <row r="6">
      <c r="A6" s="7" t="s">
        <v>20</v>
      </c>
      <c r="B6" s="7" t="s">
        <v>15</v>
      </c>
      <c r="C6" s="8">
        <v>154.0</v>
      </c>
      <c r="D6" s="8">
        <v>399.0</v>
      </c>
      <c r="E6" s="19">
        <v>0.61</v>
      </c>
      <c r="F6" s="10">
        <v>4.2</v>
      </c>
      <c r="G6" s="11">
        <v>16905.0</v>
      </c>
      <c r="K6" s="17" t="str">
        <f>IFERROR(__xludf.DUMMYFUNCTION("""COMPUTED_VALUE"""),"MI Usb Type-C Cable Smartphone (Black)")</f>
        <v>MI Usb Type-C Cable Smartphone (Black)</v>
      </c>
      <c r="L6" s="17" t="str">
        <f>IFERROR(__xludf.DUMMYFUNCTION("""COMPUTED_VALUE"""),"Computers&amp;Accessories|Accessories&amp;Peripherals|Cables&amp;Accessories|Cables|USBCables")</f>
        <v>Computers&amp;Accessories|Accessories&amp;Peripherals|Cables&amp;Accessories|Cables|USBCables</v>
      </c>
      <c r="M6" s="23">
        <f>IFERROR(__xludf.DUMMYFUNCTION("""COMPUTED_VALUE"""),229.0)</f>
        <v>229</v>
      </c>
      <c r="N6" s="23">
        <f>IFERROR(__xludf.DUMMYFUNCTION("""COMPUTED_VALUE"""),299.0)</f>
        <v>299</v>
      </c>
      <c r="O6" s="24">
        <f>IFERROR(__xludf.DUMMYFUNCTION("""COMPUTED_VALUE"""),0.23)</f>
        <v>0.23</v>
      </c>
      <c r="P6" s="17">
        <f>IFERROR(__xludf.DUMMYFUNCTION("""COMPUTED_VALUE"""),4.3)</f>
        <v>4.3</v>
      </c>
      <c r="Q6" s="25">
        <f>IFERROR(__xludf.DUMMYFUNCTION("""COMPUTED_VALUE"""),30411.0)</f>
        <v>30411</v>
      </c>
    </row>
    <row r="7">
      <c r="A7" s="7" t="s">
        <v>21</v>
      </c>
      <c r="B7" s="7" t="s">
        <v>15</v>
      </c>
      <c r="C7" s="8">
        <v>149.0</v>
      </c>
      <c r="D7" s="8">
        <v>1000.0</v>
      </c>
      <c r="E7" s="19">
        <v>0.85</v>
      </c>
      <c r="F7" s="10">
        <v>3.9</v>
      </c>
      <c r="G7" s="11">
        <v>24871.0</v>
      </c>
      <c r="K7" s="17" t="str">
        <f>IFERROR(__xludf.DUMMYFUNCTION("""COMPUTED_VALUE"""),"TP-Link USB WiFi Adapter for PC(TL-WN725N), N150 Wireless Network Adapter for Desktop - Nano Size WiFi Dongle Compatible with Windows 11/10/7/8/8.1/XP/ Mac OS 10.9-10.15 Linux Kernel 2.6.18-4.4.3")</f>
        <v>TP-Link USB WiFi Adapter for PC(TL-WN725N), N150 Wireless Network Adapter for Desktop - Nano Size WiFi Dongle Compatible with Windows 11/10/7/8/8.1/XP/ Mac OS 10.9-10.15 Linux Kernel 2.6.18-4.4.3</v>
      </c>
      <c r="L7" s="17" t="str">
        <f>IFERROR(__xludf.DUMMYFUNCTION("""COMPUTED_VALUE"""),"Computers&amp;Accessories|NetworkingDevices|NetworkAdapters|WirelessUSBAdapters")</f>
        <v>Computers&amp;Accessories|NetworkingDevices|NetworkAdapters|WirelessUSBAdapters</v>
      </c>
      <c r="M7" s="23">
        <f>IFERROR(__xludf.DUMMYFUNCTION("""COMPUTED_VALUE"""),499.0)</f>
        <v>499</v>
      </c>
      <c r="N7" s="23">
        <f>IFERROR(__xludf.DUMMYFUNCTION("""COMPUTED_VALUE"""),999.0)</f>
        <v>999</v>
      </c>
      <c r="O7" s="24">
        <f>IFERROR(__xludf.DUMMYFUNCTION("""COMPUTED_VALUE"""),0.5)</f>
        <v>0.5</v>
      </c>
      <c r="P7" s="17">
        <f>IFERROR(__xludf.DUMMYFUNCTION("""COMPUTED_VALUE"""),4.2)</f>
        <v>4.2</v>
      </c>
      <c r="Q7" s="17" t="str">
        <f>IFERROR(__xludf.DUMMYFUNCTION("""COMPUTED_VALUE"""),"1,79,691")</f>
        <v>1,79,691</v>
      </c>
    </row>
    <row r="8">
      <c r="A8" s="7" t="s">
        <v>22</v>
      </c>
      <c r="B8" s="7" t="s">
        <v>15</v>
      </c>
      <c r="C8" s="8">
        <v>176.63</v>
      </c>
      <c r="D8" s="8">
        <v>499.0</v>
      </c>
      <c r="E8" s="19">
        <v>0.65</v>
      </c>
      <c r="F8" s="10">
        <v>4.1</v>
      </c>
      <c r="G8" s="11">
        <v>15188.0</v>
      </c>
      <c r="K8" s="17" t="str">
        <f>IFERROR(__xludf.DUMMYFUNCTION("""COMPUTED_VALUE"""),"Portronics Konnect L POR-1081 Fast Charging 3A Type-C Cable 1.2Meter with Charge &amp; Sync Function for All Type-C Devices (Grey)")</f>
        <v>Portronics Konnect L POR-1081 Fast Charging 3A Type-C Cable 1.2Meter with Charge &amp; Sync Function for All Type-C Devices (Grey)</v>
      </c>
      <c r="L8" s="17" t="str">
        <f>IFERROR(__xludf.DUMMYFUNCTION("""COMPUTED_VALUE"""),"Computers&amp;Accessories|Accessories&amp;Peripherals|Cables&amp;Accessories|Cables|USBCables")</f>
        <v>Computers&amp;Accessories|Accessories&amp;Peripherals|Cables&amp;Accessories|Cables|USBCables</v>
      </c>
      <c r="M8" s="23">
        <f>IFERROR(__xludf.DUMMYFUNCTION("""COMPUTED_VALUE"""),154.0)</f>
        <v>154</v>
      </c>
      <c r="N8" s="23">
        <f>IFERROR(__xludf.DUMMYFUNCTION("""COMPUTED_VALUE"""),339.0)</f>
        <v>339</v>
      </c>
      <c r="O8" s="24">
        <f>IFERROR(__xludf.DUMMYFUNCTION("""COMPUTED_VALUE"""),0.55)</f>
        <v>0.55</v>
      </c>
      <c r="P8" s="17">
        <f>IFERROR(__xludf.DUMMYFUNCTION("""COMPUTED_VALUE"""),4.3)</f>
        <v>4.3</v>
      </c>
      <c r="Q8" s="25">
        <f>IFERROR(__xludf.DUMMYFUNCTION("""COMPUTED_VALUE"""),13391.0)</f>
        <v>13391</v>
      </c>
    </row>
    <row r="9">
      <c r="A9" s="7" t="s">
        <v>23</v>
      </c>
      <c r="B9" s="7" t="s">
        <v>15</v>
      </c>
      <c r="C9" s="8">
        <v>229.0</v>
      </c>
      <c r="D9" s="8">
        <v>299.0</v>
      </c>
      <c r="E9" s="19">
        <v>0.23</v>
      </c>
      <c r="F9" s="10">
        <v>4.3</v>
      </c>
      <c r="G9" s="11">
        <v>30411.0</v>
      </c>
      <c r="K9" s="17" t="str">
        <f>IFERROR(__xludf.DUMMYFUNCTION("""COMPUTED_VALUE"""),"boAt Rugged v3 Extra Tough Unbreakable Braided Micro USB Cable 1.5 Meter (Black)")</f>
        <v>boAt Rugged v3 Extra Tough Unbreakable Braided Micro USB Cable 1.5 Meter (Black)</v>
      </c>
      <c r="L9" s="17" t="str">
        <f>IFERROR(__xludf.DUMMYFUNCTION("""COMPUTED_VALUE"""),"Computers&amp;Accessories|Accessories&amp;Peripherals|Cables&amp;Accessories|Cables|USBCables")</f>
        <v>Computers&amp;Accessories|Accessories&amp;Peripherals|Cables&amp;Accessories|Cables|USBCables</v>
      </c>
      <c r="M9" s="23">
        <f>IFERROR(__xludf.DUMMYFUNCTION("""COMPUTED_VALUE"""),299.0)</f>
        <v>299</v>
      </c>
      <c r="N9" s="23">
        <f>IFERROR(__xludf.DUMMYFUNCTION("""COMPUTED_VALUE"""),799.0)</f>
        <v>799</v>
      </c>
      <c r="O9" s="24">
        <f>IFERROR(__xludf.DUMMYFUNCTION("""COMPUTED_VALUE"""),0.63)</f>
        <v>0.63</v>
      </c>
      <c r="P9" s="17">
        <f>IFERROR(__xludf.DUMMYFUNCTION("""COMPUTED_VALUE"""),4.2)</f>
        <v>4.2</v>
      </c>
      <c r="Q9" s="25">
        <f>IFERROR(__xludf.DUMMYFUNCTION("""COMPUTED_VALUE"""),94363.0)</f>
        <v>94363</v>
      </c>
    </row>
    <row r="10">
      <c r="A10" s="7" t="s">
        <v>24</v>
      </c>
      <c r="B10" s="7" t="s">
        <v>25</v>
      </c>
      <c r="C10" s="8">
        <v>499.0</v>
      </c>
      <c r="D10" s="8">
        <v>999.0</v>
      </c>
      <c r="E10" s="19">
        <v>0.5</v>
      </c>
      <c r="F10" s="10">
        <v>4.2</v>
      </c>
      <c r="G10" s="7" t="s">
        <v>26</v>
      </c>
      <c r="K10" s="17" t="str">
        <f>IFERROR(__xludf.DUMMYFUNCTION("""COMPUTED_VALUE"""),"AmazonBasics Flexible Premium HDMI Cable (Black, 4K@60Hz, 18Gbps), 3-Foot")</f>
        <v>AmazonBasics Flexible Premium HDMI Cable (Black, 4K@60Hz, 18Gbps), 3-Foot</v>
      </c>
      <c r="L10" s="17" t="str">
        <f>IFERROR(__xludf.DUMMYFUNCTION("""COMPUTED_VALUE"""),"Electronics|HomeTheater,TV&amp;Video|Accessories|Cables|HDMICables")</f>
        <v>Electronics|HomeTheater,TV&amp;Video|Accessories|Cables|HDMICables</v>
      </c>
      <c r="M10" s="23">
        <f>IFERROR(__xludf.DUMMYFUNCTION("""COMPUTED_VALUE"""),219.0)</f>
        <v>219</v>
      </c>
      <c r="N10" s="23">
        <f>IFERROR(__xludf.DUMMYFUNCTION("""COMPUTED_VALUE"""),700.0)</f>
        <v>700</v>
      </c>
      <c r="O10" s="24">
        <f>IFERROR(__xludf.DUMMYFUNCTION("""COMPUTED_VALUE"""),0.69)</f>
        <v>0.69</v>
      </c>
      <c r="P10" s="17">
        <f>IFERROR(__xludf.DUMMYFUNCTION("""COMPUTED_VALUE"""),4.4)</f>
        <v>4.4</v>
      </c>
      <c r="Q10" s="17" t="str">
        <f>IFERROR(__xludf.DUMMYFUNCTION("""COMPUTED_VALUE"""),"4,26,973")</f>
        <v>4,26,973</v>
      </c>
    </row>
    <row r="11">
      <c r="A11" s="7" t="s">
        <v>27</v>
      </c>
      <c r="B11" s="7" t="s">
        <v>15</v>
      </c>
      <c r="C11" s="8">
        <v>199.0</v>
      </c>
      <c r="D11" s="8">
        <v>299.0</v>
      </c>
      <c r="E11" s="19">
        <v>0.33</v>
      </c>
      <c r="F11" s="10">
        <v>4.0</v>
      </c>
      <c r="G11" s="11">
        <v>43994.0</v>
      </c>
      <c r="K11" s="17" t="str">
        <f>IFERROR(__xludf.DUMMYFUNCTION("""COMPUTED_VALUE"""),"Portronics Konnect CL 20W POR-1067 Type-C to 8 Pin USB 1.2M Cable with Power Delivery &amp; 3A Quick Charge Support, Nylon Braided for All Type-C and 8 Pin Devices, Green")</f>
        <v>Portronics Konnect CL 20W POR-1067 Type-C to 8 Pin USB 1.2M Cable with Power Delivery &amp; 3A Quick Charge Support, Nylon Braided for All Type-C and 8 Pin Devices, Green</v>
      </c>
      <c r="L11" s="17" t="str">
        <f>IFERROR(__xludf.DUMMYFUNCTION("""COMPUTED_VALUE"""),"Computers&amp;Accessories|Accessories&amp;Peripherals|Cables&amp;Accessories|Cables|USBCables")</f>
        <v>Computers&amp;Accessories|Accessories&amp;Peripherals|Cables&amp;Accessories|Cables|USBCables</v>
      </c>
      <c r="M11" s="23">
        <f>IFERROR(__xludf.DUMMYFUNCTION("""COMPUTED_VALUE"""),350.0)</f>
        <v>350</v>
      </c>
      <c r="N11" s="23">
        <f>IFERROR(__xludf.DUMMYFUNCTION("""COMPUTED_VALUE"""),899.0)</f>
        <v>899</v>
      </c>
      <c r="O11" s="24">
        <f>IFERROR(__xludf.DUMMYFUNCTION("""COMPUTED_VALUE"""),0.61)</f>
        <v>0.61</v>
      </c>
      <c r="P11" s="17">
        <f>IFERROR(__xludf.DUMMYFUNCTION("""COMPUTED_VALUE"""),4.2)</f>
        <v>4.2</v>
      </c>
      <c r="Q11" s="25">
        <f>IFERROR(__xludf.DUMMYFUNCTION("""COMPUTED_VALUE"""),2262.0)</f>
        <v>2262</v>
      </c>
    </row>
    <row r="12">
      <c r="A12" s="7" t="s">
        <v>28</v>
      </c>
      <c r="B12" s="7" t="s">
        <v>15</v>
      </c>
      <c r="C12" s="8">
        <v>154.0</v>
      </c>
      <c r="D12" s="8">
        <v>339.0</v>
      </c>
      <c r="E12" s="19">
        <v>0.55</v>
      </c>
      <c r="F12" s="10">
        <v>4.3</v>
      </c>
      <c r="G12" s="11">
        <v>13391.0</v>
      </c>
      <c r="K12" s="17" t="str">
        <f>IFERROR(__xludf.DUMMYFUNCTION("""COMPUTED_VALUE"""),"Portronics Konnect L 1.2M POR-1401 Fast Charging 3A 8 Pin USB Cable with Charge &amp; Sync Function (White)")</f>
        <v>Portronics Konnect L 1.2M POR-1401 Fast Charging 3A 8 Pin USB Cable with Charge &amp; Sync Function (White)</v>
      </c>
      <c r="L12" s="17" t="str">
        <f>IFERROR(__xludf.DUMMYFUNCTION("""COMPUTED_VALUE"""),"Computers&amp;Accessories|Accessories&amp;Peripherals|Cables&amp;Accessories|Cables|USBCables")</f>
        <v>Computers&amp;Accessories|Accessories&amp;Peripherals|Cables&amp;Accessories|Cables|USBCables</v>
      </c>
      <c r="M12" s="23">
        <f>IFERROR(__xludf.DUMMYFUNCTION("""COMPUTED_VALUE"""),159.0)</f>
        <v>159</v>
      </c>
      <c r="N12" s="23">
        <f>IFERROR(__xludf.DUMMYFUNCTION("""COMPUTED_VALUE"""),399.0)</f>
        <v>399</v>
      </c>
      <c r="O12" s="24">
        <f>IFERROR(__xludf.DUMMYFUNCTION("""COMPUTED_VALUE"""),0.6)</f>
        <v>0.6</v>
      </c>
      <c r="P12" s="17">
        <f>IFERROR(__xludf.DUMMYFUNCTION("""COMPUTED_VALUE"""),4.1)</f>
        <v>4.1</v>
      </c>
      <c r="Q12" s="25">
        <f>IFERROR(__xludf.DUMMYFUNCTION("""COMPUTED_VALUE"""),4768.0)</f>
        <v>4768</v>
      </c>
    </row>
    <row r="13">
      <c r="A13" s="7" t="s">
        <v>29</v>
      </c>
      <c r="B13" s="7" t="s">
        <v>15</v>
      </c>
      <c r="C13" s="8">
        <v>299.0</v>
      </c>
      <c r="D13" s="8">
        <v>799.0</v>
      </c>
      <c r="E13" s="19">
        <v>0.63</v>
      </c>
      <c r="F13" s="10">
        <v>4.2</v>
      </c>
      <c r="G13" s="11">
        <v>94363.0</v>
      </c>
      <c r="K13" s="17" t="str">
        <f>IFERROR(__xludf.DUMMYFUNCTION("""COMPUTED_VALUE"""),"MI Braided USB Type-C Cable for Charging Adapter (Red)")</f>
        <v>MI Braided USB Type-C Cable for Charging Adapter (Red)</v>
      </c>
      <c r="L13" s="17" t="str">
        <f>IFERROR(__xludf.DUMMYFUNCTION("""COMPUTED_VALUE"""),"Computers&amp;Accessories|Accessories&amp;Peripherals|Cables&amp;Accessories|Cables|USBCables")</f>
        <v>Computers&amp;Accessories|Accessories&amp;Peripherals|Cables&amp;Accessories|Cables|USBCables</v>
      </c>
      <c r="M13" s="23">
        <f>IFERROR(__xludf.DUMMYFUNCTION("""COMPUTED_VALUE"""),349.0)</f>
        <v>349</v>
      </c>
      <c r="N13" s="23">
        <f>IFERROR(__xludf.DUMMYFUNCTION("""COMPUTED_VALUE"""),399.0)</f>
        <v>399</v>
      </c>
      <c r="O13" s="24">
        <f>IFERROR(__xludf.DUMMYFUNCTION("""COMPUTED_VALUE"""),0.13)</f>
        <v>0.13</v>
      </c>
      <c r="P13" s="17">
        <f>IFERROR(__xludf.DUMMYFUNCTION("""COMPUTED_VALUE"""),4.4)</f>
        <v>4.4</v>
      </c>
      <c r="Q13" s="25">
        <f>IFERROR(__xludf.DUMMYFUNCTION("""COMPUTED_VALUE"""),18757.0)</f>
        <v>18757</v>
      </c>
    </row>
    <row r="14">
      <c r="A14" s="7" t="s">
        <v>30</v>
      </c>
      <c r="B14" s="7" t="s">
        <v>31</v>
      </c>
      <c r="C14" s="8">
        <v>219.0</v>
      </c>
      <c r="D14" s="8">
        <v>700.0</v>
      </c>
      <c r="E14" s="19">
        <v>0.69</v>
      </c>
      <c r="F14" s="10">
        <v>4.4</v>
      </c>
      <c r="G14" s="7" t="s">
        <v>32</v>
      </c>
      <c r="K14" s="17" t="str">
        <f>IFERROR(__xludf.DUMMYFUNCTION("""COMPUTED_VALUE"""),"MI 80 cm (32 inches) 5A Series HD Ready Smart Android LED TV L32M7-5AIN (Black)")</f>
        <v>MI 80 cm (32 inches) 5A Series HD Ready Smart Android LED TV L32M7-5AIN (Black)</v>
      </c>
      <c r="L14" s="17" t="str">
        <f>IFERROR(__xludf.DUMMYFUNCTION("""COMPUTED_VALUE"""),"Electronics|HomeTheater,TV&amp;Video|Televisions|SmartTelevisions")</f>
        <v>Electronics|HomeTheater,TV&amp;Video|Televisions|SmartTelevisions</v>
      </c>
      <c r="M14" s="23">
        <f>IFERROR(__xludf.DUMMYFUNCTION("""COMPUTED_VALUE"""),13999.0)</f>
        <v>13999</v>
      </c>
      <c r="N14" s="23">
        <f>IFERROR(__xludf.DUMMYFUNCTION("""COMPUTED_VALUE"""),24999.0)</f>
        <v>24999</v>
      </c>
      <c r="O14" s="24">
        <f>IFERROR(__xludf.DUMMYFUNCTION("""COMPUTED_VALUE"""),0.44)</f>
        <v>0.44</v>
      </c>
      <c r="P14" s="17">
        <f>IFERROR(__xludf.DUMMYFUNCTION("""COMPUTED_VALUE"""),4.2)</f>
        <v>4.2</v>
      </c>
      <c r="Q14" s="25">
        <f>IFERROR(__xludf.DUMMYFUNCTION("""COMPUTED_VALUE"""),32840.0)</f>
        <v>32840</v>
      </c>
    </row>
    <row r="15">
      <c r="A15" s="7" t="s">
        <v>33</v>
      </c>
      <c r="B15" s="7" t="s">
        <v>15</v>
      </c>
      <c r="C15" s="8">
        <v>350.0</v>
      </c>
      <c r="D15" s="8">
        <v>899.0</v>
      </c>
      <c r="E15" s="19">
        <v>0.61</v>
      </c>
      <c r="F15" s="10">
        <v>4.2</v>
      </c>
      <c r="G15" s="11">
        <v>2262.0</v>
      </c>
      <c r="K15" s="17" t="str">
        <f>IFERROR(__xludf.DUMMYFUNCTION("""COMPUTED_VALUE"""),"boAt Type C A325 Tangle-free, Sturdy Type C Cable with 3A Rapid Charging &amp; 480mbps Data Transmission(Black)")</f>
        <v>boAt Type C A325 Tangle-free, Sturdy Type C Cable with 3A Rapid Charging &amp; 480mbps Data Transmission(Black)</v>
      </c>
      <c r="L15" s="17" t="str">
        <f>IFERROR(__xludf.DUMMYFUNCTION("""COMPUTED_VALUE"""),"Computers&amp;Accessories|Accessories&amp;Peripherals|Cables&amp;Accessories|Cables|USBCables")</f>
        <v>Computers&amp;Accessories|Accessories&amp;Peripherals|Cables&amp;Accessories|Cables|USBCables</v>
      </c>
      <c r="M15" s="23">
        <f>IFERROR(__xludf.DUMMYFUNCTION("""COMPUTED_VALUE"""),199.0)</f>
        <v>199</v>
      </c>
      <c r="N15" s="23">
        <f>IFERROR(__xludf.DUMMYFUNCTION("""COMPUTED_VALUE"""),499.0)</f>
        <v>499</v>
      </c>
      <c r="O15" s="24">
        <f>IFERROR(__xludf.DUMMYFUNCTION("""COMPUTED_VALUE"""),0.6)</f>
        <v>0.6</v>
      </c>
      <c r="P15" s="17">
        <f>IFERROR(__xludf.DUMMYFUNCTION("""COMPUTED_VALUE"""),4.1)</f>
        <v>4.1</v>
      </c>
      <c r="Q15" s="25">
        <f>IFERROR(__xludf.DUMMYFUNCTION("""COMPUTED_VALUE"""),13045.0)</f>
        <v>13045</v>
      </c>
    </row>
    <row r="16">
      <c r="A16" s="7" t="s">
        <v>34</v>
      </c>
      <c r="B16" s="7" t="s">
        <v>15</v>
      </c>
      <c r="C16" s="8">
        <v>159.0</v>
      </c>
      <c r="D16" s="8">
        <v>399.0</v>
      </c>
      <c r="E16" s="19">
        <v>0.6</v>
      </c>
      <c r="F16" s="10">
        <v>4.1</v>
      </c>
      <c r="G16" s="11">
        <v>4768.0</v>
      </c>
      <c r="K16" s="17" t="str">
        <f>IFERROR(__xludf.DUMMYFUNCTION("""COMPUTED_VALUE"""),"LG 80 cm (32 inches) HD Ready Smart LED TV 32LM563BPTC (Dark Iron Gray)")</f>
        <v>LG 80 cm (32 inches) HD Ready Smart LED TV 32LM563BPTC (Dark Iron Gray)</v>
      </c>
      <c r="L16" s="17" t="str">
        <f>IFERROR(__xludf.DUMMYFUNCTION("""COMPUTED_VALUE"""),"Electronics|HomeTheater,TV&amp;Video|Televisions|SmartTelevisions")</f>
        <v>Electronics|HomeTheater,TV&amp;Video|Televisions|SmartTelevisions</v>
      </c>
      <c r="M16" s="23">
        <f>IFERROR(__xludf.DUMMYFUNCTION("""COMPUTED_VALUE"""),13490.0)</f>
        <v>13490</v>
      </c>
      <c r="N16" s="23">
        <f>IFERROR(__xludf.DUMMYFUNCTION("""COMPUTED_VALUE"""),21990.0)</f>
        <v>21990</v>
      </c>
      <c r="O16" s="24">
        <f>IFERROR(__xludf.DUMMYFUNCTION("""COMPUTED_VALUE"""),0.39)</f>
        <v>0.39</v>
      </c>
      <c r="P16" s="17">
        <f>IFERROR(__xludf.DUMMYFUNCTION("""COMPUTED_VALUE"""),4.3)</f>
        <v>4.3</v>
      </c>
      <c r="Q16" s="25">
        <f>IFERROR(__xludf.DUMMYFUNCTION("""COMPUTED_VALUE"""),11976.0)</f>
        <v>11976</v>
      </c>
    </row>
    <row r="17">
      <c r="A17" s="7" t="s">
        <v>35</v>
      </c>
      <c r="B17" s="7" t="s">
        <v>15</v>
      </c>
      <c r="C17" s="8">
        <v>349.0</v>
      </c>
      <c r="D17" s="8">
        <v>399.0</v>
      </c>
      <c r="E17" s="19">
        <v>0.13</v>
      </c>
      <c r="F17" s="10">
        <v>4.4</v>
      </c>
      <c r="G17" s="11">
        <v>18757.0</v>
      </c>
      <c r="K17" s="17" t="str">
        <f>IFERROR(__xludf.DUMMYFUNCTION("""COMPUTED_VALUE"""),"Duracell USB Lightning Apple Certified (Mfi) Braided Sync &amp; Charge Cable For Iphone, Ipad And Ipod. Fast Charging Lightning Cable, 3.9 Feet (1.2M) - Black")</f>
        <v>Duracell USB Lightning Apple Certified (Mfi) Braided Sync &amp; Charge Cable For Iphone, Ipad And Ipod. Fast Charging Lightning Cable, 3.9 Feet (1.2M) - Black</v>
      </c>
      <c r="L17" s="17" t="str">
        <f>IFERROR(__xludf.DUMMYFUNCTION("""COMPUTED_VALUE"""),"Computers&amp;Accessories|Accessories&amp;Peripherals|Cables&amp;Accessories|Cables|USBCables")</f>
        <v>Computers&amp;Accessories|Accessories&amp;Peripherals|Cables&amp;Accessories|Cables|USBCables</v>
      </c>
      <c r="M17" s="23">
        <f>IFERROR(__xludf.DUMMYFUNCTION("""COMPUTED_VALUE"""),970.0)</f>
        <v>970</v>
      </c>
      <c r="N17" s="23">
        <f>IFERROR(__xludf.DUMMYFUNCTION("""COMPUTED_VALUE"""),1799.0)</f>
        <v>1799</v>
      </c>
      <c r="O17" s="24">
        <f>IFERROR(__xludf.DUMMYFUNCTION("""COMPUTED_VALUE"""),0.46)</f>
        <v>0.46</v>
      </c>
      <c r="P17" s="17">
        <f>IFERROR(__xludf.DUMMYFUNCTION("""COMPUTED_VALUE"""),4.5)</f>
        <v>4.5</v>
      </c>
      <c r="Q17" s="17">
        <f>IFERROR(__xludf.DUMMYFUNCTION("""COMPUTED_VALUE"""),815.0)</f>
        <v>815</v>
      </c>
    </row>
    <row r="18">
      <c r="A18" s="7" t="s">
        <v>36</v>
      </c>
      <c r="B18" s="7" t="s">
        <v>37</v>
      </c>
      <c r="C18" s="8">
        <v>13999.0</v>
      </c>
      <c r="D18" s="8">
        <v>24999.0</v>
      </c>
      <c r="E18" s="19">
        <v>0.44</v>
      </c>
      <c r="F18" s="10">
        <v>4.2</v>
      </c>
      <c r="G18" s="11">
        <v>32840.0</v>
      </c>
      <c r="K18" s="17" t="str">
        <f>IFERROR(__xludf.DUMMYFUNCTION("""COMPUTED_VALUE"""),"Samsung 80 cm (32 Inches) Wondertainment Series HD Ready LED Smart TV UA32T4340BKXXL (Glossy Black)")</f>
        <v>Samsung 80 cm (32 Inches) Wondertainment Series HD Ready LED Smart TV UA32T4340BKXXL (Glossy Black)</v>
      </c>
      <c r="L18" s="17" t="str">
        <f>IFERROR(__xludf.DUMMYFUNCTION("""COMPUTED_VALUE"""),"Electronics|HomeTheater,TV&amp;Video|Televisions|SmartTelevisions")</f>
        <v>Electronics|HomeTheater,TV&amp;Video|Televisions|SmartTelevisions</v>
      </c>
      <c r="M18" s="23">
        <f>IFERROR(__xludf.DUMMYFUNCTION("""COMPUTED_VALUE"""),13490.0)</f>
        <v>13490</v>
      </c>
      <c r="N18" s="23">
        <f>IFERROR(__xludf.DUMMYFUNCTION("""COMPUTED_VALUE"""),22900.0)</f>
        <v>22900</v>
      </c>
      <c r="O18" s="24">
        <f>IFERROR(__xludf.DUMMYFUNCTION("""COMPUTED_VALUE"""),0.41)</f>
        <v>0.41</v>
      </c>
      <c r="P18" s="17">
        <f>IFERROR(__xludf.DUMMYFUNCTION("""COMPUTED_VALUE"""),4.3)</f>
        <v>4.3</v>
      </c>
      <c r="Q18" s="25">
        <f>IFERROR(__xludf.DUMMYFUNCTION("""COMPUTED_VALUE"""),16299.0)</f>
        <v>16299</v>
      </c>
    </row>
    <row r="19">
      <c r="A19" s="7" t="s">
        <v>38</v>
      </c>
      <c r="B19" s="7" t="s">
        <v>15</v>
      </c>
      <c r="C19" s="8">
        <v>249.0</v>
      </c>
      <c r="D19" s="8">
        <v>399.0</v>
      </c>
      <c r="E19" s="19">
        <v>0.38</v>
      </c>
      <c r="F19" s="10">
        <v>4.0</v>
      </c>
      <c r="G19" s="11">
        <v>43994.0</v>
      </c>
      <c r="K19" s="17" t="str">
        <f>IFERROR(__xludf.DUMMYFUNCTION("""COMPUTED_VALUE"""),"Acer 80 cm (32 inches) I Series HD Ready Android Smart LED TV AR32AR2841HDFL (Black)")</f>
        <v>Acer 80 cm (32 inches) I Series HD Ready Android Smart LED TV AR32AR2841HDFL (Black)</v>
      </c>
      <c r="L19" s="17" t="str">
        <f>IFERROR(__xludf.DUMMYFUNCTION("""COMPUTED_VALUE"""),"Electronics|HomeTheater,TV&amp;Video|Televisions|SmartTelevisions")</f>
        <v>Electronics|HomeTheater,TV&amp;Video|Televisions|SmartTelevisions</v>
      </c>
      <c r="M19" s="23">
        <f>IFERROR(__xludf.DUMMYFUNCTION("""COMPUTED_VALUE"""),11499.0)</f>
        <v>11499</v>
      </c>
      <c r="N19" s="23">
        <f>IFERROR(__xludf.DUMMYFUNCTION("""COMPUTED_VALUE"""),19990.0)</f>
        <v>19990</v>
      </c>
      <c r="O19" s="24">
        <f>IFERROR(__xludf.DUMMYFUNCTION("""COMPUTED_VALUE"""),0.42)</f>
        <v>0.42</v>
      </c>
      <c r="P19" s="17">
        <f>IFERROR(__xludf.DUMMYFUNCTION("""COMPUTED_VALUE"""),4.3)</f>
        <v>4.3</v>
      </c>
      <c r="Q19" s="25">
        <f>IFERROR(__xludf.DUMMYFUNCTION("""COMPUTED_VALUE"""),4703.0)</f>
        <v>4703</v>
      </c>
    </row>
    <row r="20">
      <c r="A20" s="7" t="s">
        <v>39</v>
      </c>
      <c r="B20" s="7" t="s">
        <v>15</v>
      </c>
      <c r="C20" s="8">
        <v>199.0</v>
      </c>
      <c r="D20" s="8">
        <v>499.0</v>
      </c>
      <c r="E20" s="19">
        <v>0.6</v>
      </c>
      <c r="F20" s="10">
        <v>4.1</v>
      </c>
      <c r="G20" s="11">
        <v>13045.0</v>
      </c>
      <c r="K20" s="17" t="str">
        <f>IFERROR(__xludf.DUMMYFUNCTION("""COMPUTED_VALUE"""),"Tizum High Speed HDMI Cable with Ethernet | Supports 3D 4K | for All HDMI Devices Laptop Computer Gaming Console TV Set Top Box (1.5 Meter/ 5 Feet)")</f>
        <v>Tizum High Speed HDMI Cable with Ethernet | Supports 3D 4K | for All HDMI Devices Laptop Computer Gaming Console TV Set Top Box (1.5 Meter/ 5 Feet)</v>
      </c>
      <c r="L20" s="17" t="str">
        <f>IFERROR(__xludf.DUMMYFUNCTION("""COMPUTED_VALUE"""),"Electronics|HomeTheater,TV&amp;Video|Accessories|Cables|HDMICables")</f>
        <v>Electronics|HomeTheater,TV&amp;Video|Accessories|Cables|HDMICables</v>
      </c>
      <c r="M20" s="23">
        <f>IFERROR(__xludf.DUMMYFUNCTION("""COMPUTED_VALUE"""),199.0)</f>
        <v>199</v>
      </c>
      <c r="N20" s="23">
        <f>IFERROR(__xludf.DUMMYFUNCTION("""COMPUTED_VALUE"""),699.0)</f>
        <v>699</v>
      </c>
      <c r="O20" s="24">
        <f>IFERROR(__xludf.DUMMYFUNCTION("""COMPUTED_VALUE"""),0.72)</f>
        <v>0.72</v>
      </c>
      <c r="P20" s="17">
        <f>IFERROR(__xludf.DUMMYFUNCTION("""COMPUTED_VALUE"""),4.2)</f>
        <v>4.2</v>
      </c>
      <c r="Q20" s="25">
        <f>IFERROR(__xludf.DUMMYFUNCTION("""COMPUTED_VALUE"""),12153.0)</f>
        <v>12153</v>
      </c>
    </row>
    <row r="21">
      <c r="A21" s="7" t="s">
        <v>40</v>
      </c>
      <c r="B21" s="7" t="s">
        <v>37</v>
      </c>
      <c r="C21" s="8">
        <v>13490.0</v>
      </c>
      <c r="D21" s="8">
        <v>21990.0</v>
      </c>
      <c r="E21" s="19">
        <v>0.39</v>
      </c>
      <c r="F21" s="10">
        <v>4.3</v>
      </c>
      <c r="G21" s="11">
        <v>11976.0</v>
      </c>
      <c r="K21" s="17" t="str">
        <f>IFERROR(__xludf.DUMMYFUNCTION("""COMPUTED_VALUE"""),"OnePlus 80 cm (32 inches) Y Series HD Ready LED Smart Android TV 32Y1 (Black)")</f>
        <v>OnePlus 80 cm (32 inches) Y Series HD Ready LED Smart Android TV 32Y1 (Black)</v>
      </c>
      <c r="L21" s="17" t="str">
        <f>IFERROR(__xludf.DUMMYFUNCTION("""COMPUTED_VALUE"""),"Electronics|HomeTheater,TV&amp;Video|Televisions|SmartTelevisions")</f>
        <v>Electronics|HomeTheater,TV&amp;Video|Televisions|SmartTelevisions</v>
      </c>
      <c r="M21" s="23">
        <f>IFERROR(__xludf.DUMMYFUNCTION("""COMPUTED_VALUE"""),14999.0)</f>
        <v>14999</v>
      </c>
      <c r="N21" s="23">
        <f>IFERROR(__xludf.DUMMYFUNCTION("""COMPUTED_VALUE"""),19999.0)</f>
        <v>19999</v>
      </c>
      <c r="O21" s="24">
        <f>IFERROR(__xludf.DUMMYFUNCTION("""COMPUTED_VALUE"""),0.25)</f>
        <v>0.25</v>
      </c>
      <c r="P21" s="17">
        <f>IFERROR(__xludf.DUMMYFUNCTION("""COMPUTED_VALUE"""),4.2)</f>
        <v>4.2</v>
      </c>
      <c r="Q21" s="25">
        <f>IFERROR(__xludf.DUMMYFUNCTION("""COMPUTED_VALUE"""),34899.0)</f>
        <v>34899</v>
      </c>
    </row>
    <row r="22">
      <c r="A22" s="7" t="s">
        <v>41</v>
      </c>
      <c r="B22" s="7" t="s">
        <v>15</v>
      </c>
      <c r="C22" s="8">
        <v>970.0</v>
      </c>
      <c r="D22" s="8">
        <v>1799.0</v>
      </c>
      <c r="E22" s="19">
        <v>0.46</v>
      </c>
      <c r="F22" s="10">
        <v>4.5</v>
      </c>
      <c r="G22" s="10">
        <v>815.0</v>
      </c>
      <c r="K22" s="17" t="str">
        <f>IFERROR(__xludf.DUMMYFUNCTION("""COMPUTED_VALUE"""),"Duracell USB C To Lightning Apple Certified (Mfi) Braided Sync &amp; Charge Cable For Iphone, Ipad And Ipod. Fast Charging Lightning Cable, 3.9 Feet (1.2M) - Black")</f>
        <v>Duracell USB C To Lightning Apple Certified (Mfi) Braided Sync &amp; Charge Cable For Iphone, Ipad And Ipod. Fast Charging Lightning Cable, 3.9 Feet (1.2M) - Black</v>
      </c>
      <c r="L22" s="17" t="str">
        <f>IFERROR(__xludf.DUMMYFUNCTION("""COMPUTED_VALUE"""),"Computers&amp;Accessories|Accessories&amp;Peripherals|Cables&amp;Accessories|Cables|USBCables")</f>
        <v>Computers&amp;Accessories|Accessories&amp;Peripherals|Cables&amp;Accessories|Cables|USBCables</v>
      </c>
      <c r="M22" s="23">
        <f>IFERROR(__xludf.DUMMYFUNCTION("""COMPUTED_VALUE"""),970.0)</f>
        <v>970</v>
      </c>
      <c r="N22" s="23">
        <f>IFERROR(__xludf.DUMMYFUNCTION("""COMPUTED_VALUE"""),1999.0)</f>
        <v>1999</v>
      </c>
      <c r="O22" s="24">
        <f>IFERROR(__xludf.DUMMYFUNCTION("""COMPUTED_VALUE"""),0.51)</f>
        <v>0.51</v>
      </c>
      <c r="P22" s="17">
        <f>IFERROR(__xludf.DUMMYFUNCTION("""COMPUTED_VALUE"""),4.4)</f>
        <v>4.4</v>
      </c>
      <c r="Q22" s="17">
        <f>IFERROR(__xludf.DUMMYFUNCTION("""COMPUTED_VALUE"""),184.0)</f>
        <v>184</v>
      </c>
    </row>
    <row r="23">
      <c r="A23" s="7" t="s">
        <v>42</v>
      </c>
      <c r="B23" s="7" t="s">
        <v>31</v>
      </c>
      <c r="C23" s="8">
        <v>279.0</v>
      </c>
      <c r="D23" s="8">
        <v>499.0</v>
      </c>
      <c r="E23" s="19">
        <v>0.44</v>
      </c>
      <c r="F23" s="10">
        <v>3.7</v>
      </c>
      <c r="G23" s="11">
        <v>10962.0</v>
      </c>
      <c r="K23" s="17" t="str">
        <f>IFERROR(__xludf.DUMMYFUNCTION("""COMPUTED_VALUE"""),"boAt A400 USB Type-C to USB-A 2.0 Male Data Cable, 2 Meter (Black)")</f>
        <v>boAt A400 USB Type-C to USB-A 2.0 Male Data Cable, 2 Meter (Black)</v>
      </c>
      <c r="L23" s="17" t="str">
        <f>IFERROR(__xludf.DUMMYFUNCTION("""COMPUTED_VALUE"""),"Computers&amp;Accessories|Accessories&amp;Peripherals|Cables&amp;Accessories|Cables|USBCables")</f>
        <v>Computers&amp;Accessories|Accessories&amp;Peripherals|Cables&amp;Accessories|Cables|USBCables</v>
      </c>
      <c r="M23" s="23">
        <f>IFERROR(__xludf.DUMMYFUNCTION("""COMPUTED_VALUE"""),299.0)</f>
        <v>299</v>
      </c>
      <c r="N23" s="23">
        <f>IFERROR(__xludf.DUMMYFUNCTION("""COMPUTED_VALUE"""),999.0)</f>
        <v>999</v>
      </c>
      <c r="O23" s="24">
        <f>IFERROR(__xludf.DUMMYFUNCTION("""COMPUTED_VALUE"""),0.7)</f>
        <v>0.7</v>
      </c>
      <c r="P23" s="17">
        <f>IFERROR(__xludf.DUMMYFUNCTION("""COMPUTED_VALUE"""),4.3)</f>
        <v>4.3</v>
      </c>
      <c r="Q23" s="25">
        <f>IFERROR(__xludf.DUMMYFUNCTION("""COMPUTED_VALUE"""),20850.0)</f>
        <v>20850</v>
      </c>
    </row>
    <row r="24">
      <c r="A24" s="7" t="s">
        <v>43</v>
      </c>
      <c r="B24" s="7" t="s">
        <v>37</v>
      </c>
      <c r="C24" s="8">
        <v>13490.0</v>
      </c>
      <c r="D24" s="8">
        <v>22900.0</v>
      </c>
      <c r="E24" s="19">
        <v>0.41</v>
      </c>
      <c r="F24" s="10">
        <v>4.3</v>
      </c>
      <c r="G24" s="11">
        <v>16299.0</v>
      </c>
      <c r="K24" s="17" t="str">
        <f>IFERROR(__xludf.DUMMYFUNCTION("""COMPUTED_VALUE"""),"AmazonBasics USB 2.0 - A-Male to A-Female Extension Cable for Personal Computer, Printer (Black, 9.8 Feet/3 Meters)")</f>
        <v>AmazonBasics USB 2.0 - A-Male to A-Female Extension Cable for Personal Computer, Printer (Black, 9.8 Feet/3 Meters)</v>
      </c>
      <c r="L24" s="17" t="str">
        <f>IFERROR(__xludf.DUMMYFUNCTION("""COMPUTED_VALUE"""),"Computers&amp;Accessories|Accessories&amp;Peripherals|Cables&amp;Accessories|Cables|USBCables")</f>
        <v>Computers&amp;Accessories|Accessories&amp;Peripherals|Cables&amp;Accessories|Cables|USBCables</v>
      </c>
      <c r="M24" s="23">
        <f>IFERROR(__xludf.DUMMYFUNCTION("""COMPUTED_VALUE"""),199.0)</f>
        <v>199</v>
      </c>
      <c r="N24" s="23">
        <f>IFERROR(__xludf.DUMMYFUNCTION("""COMPUTED_VALUE"""),750.0)</f>
        <v>750</v>
      </c>
      <c r="O24" s="24">
        <f>IFERROR(__xludf.DUMMYFUNCTION("""COMPUTED_VALUE"""),0.73)</f>
        <v>0.73</v>
      </c>
      <c r="P24" s="17">
        <f>IFERROR(__xludf.DUMMYFUNCTION("""COMPUTED_VALUE"""),4.5)</f>
        <v>4.5</v>
      </c>
      <c r="Q24" s="25">
        <f>IFERROR(__xludf.DUMMYFUNCTION("""COMPUTED_VALUE"""),74976.0)</f>
        <v>74976</v>
      </c>
    </row>
    <row r="25">
      <c r="A25" s="7" t="s">
        <v>44</v>
      </c>
      <c r="B25" s="7" t="s">
        <v>15</v>
      </c>
      <c r="C25" s="8">
        <v>59.0</v>
      </c>
      <c r="D25" s="8">
        <v>199.0</v>
      </c>
      <c r="E25" s="19">
        <v>0.7</v>
      </c>
      <c r="F25" s="10">
        <v>4.0</v>
      </c>
      <c r="G25" s="11">
        <v>9378.0</v>
      </c>
      <c r="K25" s="17" t="str">
        <f>IFERROR(__xludf.DUMMYFUNCTION("""COMPUTED_VALUE"""),"Zoul USB C 60W Fast Charging 3A 6ft/2M Long Type C Nylon Braided Data Cable Quick Charger Cable QC 3.0 for Samsung Galaxy M31S M30 S10 S9 S20 Plus, Note 10 9 8, A20e A40 A50 A70 (2M, Grey)")</f>
        <v>Zoul USB C 60W Fast Charging 3A 6ft/2M Long Type C Nylon Braided Data Cable Quick Charger Cable QC 3.0 for Samsung Galaxy M31S M30 S10 S9 S20 Plus, Note 10 9 8, A20e A40 A50 A70 (2M, Grey)</v>
      </c>
      <c r="L25" s="17" t="str">
        <f>IFERROR(__xludf.DUMMYFUNCTION("""COMPUTED_VALUE"""),"Computers&amp;Accessories|Accessories&amp;Peripherals|Cables&amp;Accessories|Cables|USBCables")</f>
        <v>Computers&amp;Accessories|Accessories&amp;Peripherals|Cables&amp;Accessories|Cables|USBCables</v>
      </c>
      <c r="M25" s="23">
        <f>IFERROR(__xludf.DUMMYFUNCTION("""COMPUTED_VALUE"""),389.0)</f>
        <v>389</v>
      </c>
      <c r="N25" s="23">
        <f>IFERROR(__xludf.DUMMYFUNCTION("""COMPUTED_VALUE"""),1099.0)</f>
        <v>1099</v>
      </c>
      <c r="O25" s="24">
        <f>IFERROR(__xludf.DUMMYFUNCTION("""COMPUTED_VALUE"""),0.65)</f>
        <v>0.65</v>
      </c>
      <c r="P25" s="17">
        <f>IFERROR(__xludf.DUMMYFUNCTION("""COMPUTED_VALUE"""),4.3)</f>
        <v>4.3</v>
      </c>
      <c r="Q25" s="17">
        <f>IFERROR(__xludf.DUMMYFUNCTION("""COMPUTED_VALUE"""),974.0)</f>
        <v>974</v>
      </c>
    </row>
    <row r="26">
      <c r="A26" s="7" t="s">
        <v>45</v>
      </c>
      <c r="B26" s="7" t="s">
        <v>37</v>
      </c>
      <c r="C26" s="8">
        <v>11499.0</v>
      </c>
      <c r="D26" s="8">
        <v>19990.0</v>
      </c>
      <c r="E26" s="19">
        <v>0.42</v>
      </c>
      <c r="F26" s="10">
        <v>4.3</v>
      </c>
      <c r="G26" s="11">
        <v>4703.0</v>
      </c>
      <c r="K26" s="17" t="str">
        <f>IFERROR(__xludf.DUMMYFUNCTION("""COMPUTED_VALUE"""),"Samsung Original Type C to C Cable - 3.28 Feet (1 Meter), White")</f>
        <v>Samsung Original Type C to C Cable - 3.28 Feet (1 Meter), White</v>
      </c>
      <c r="L26" s="17" t="str">
        <f>IFERROR(__xludf.DUMMYFUNCTION("""COMPUTED_VALUE"""),"Computers&amp;Accessories|Accessories&amp;Peripherals|Cables&amp;Accessories|Cables|USBCables")</f>
        <v>Computers&amp;Accessories|Accessories&amp;Peripherals|Cables&amp;Accessories|Cables|USBCables</v>
      </c>
      <c r="M26" s="23">
        <f>IFERROR(__xludf.DUMMYFUNCTION("""COMPUTED_VALUE"""),599.0)</f>
        <v>599</v>
      </c>
      <c r="N26" s="23">
        <f>IFERROR(__xludf.DUMMYFUNCTION("""COMPUTED_VALUE"""),599.0)</f>
        <v>599</v>
      </c>
      <c r="O26" s="24">
        <f>IFERROR(__xludf.DUMMYFUNCTION("""COMPUTED_VALUE"""),0.0)</f>
        <v>0</v>
      </c>
      <c r="P26" s="17">
        <f>IFERROR(__xludf.DUMMYFUNCTION("""COMPUTED_VALUE"""),4.3)</f>
        <v>4.3</v>
      </c>
      <c r="Q26" s="17">
        <f>IFERROR(__xludf.DUMMYFUNCTION("""COMPUTED_VALUE"""),355.0)</f>
        <v>355</v>
      </c>
    </row>
    <row r="27">
      <c r="A27" s="7" t="s">
        <v>46</v>
      </c>
      <c r="B27" s="7" t="s">
        <v>31</v>
      </c>
      <c r="C27" s="8">
        <v>199.0</v>
      </c>
      <c r="D27" s="8">
        <v>699.0</v>
      </c>
      <c r="E27" s="19">
        <v>0.72</v>
      </c>
      <c r="F27" s="10">
        <v>4.2</v>
      </c>
      <c r="G27" s="11">
        <v>12153.0</v>
      </c>
      <c r="K27" s="17" t="str">
        <f>IFERROR(__xludf.DUMMYFUNCTION("""COMPUTED_VALUE"""),"Amazonbasics Nylon Braided Usb-C To Lightning Cable, Fast Charging Mfi Certified Smartphone, Iphone Charger (6-Foot, Dark Grey)")</f>
        <v>Amazonbasics Nylon Braided Usb-C To Lightning Cable, Fast Charging Mfi Certified Smartphone, Iphone Charger (6-Foot, Dark Grey)</v>
      </c>
      <c r="L27" s="17" t="str">
        <f>IFERROR(__xludf.DUMMYFUNCTION("""COMPUTED_VALUE"""),"Computers&amp;Accessories|Accessories&amp;Peripherals|Cables&amp;Accessories|Cables|USBCables")</f>
        <v>Computers&amp;Accessories|Accessories&amp;Peripherals|Cables&amp;Accessories|Cables|USBCables</v>
      </c>
      <c r="M27" s="23">
        <f>IFERROR(__xludf.DUMMYFUNCTION("""COMPUTED_VALUE"""),899.0)</f>
        <v>899</v>
      </c>
      <c r="N27" s="23">
        <f>IFERROR(__xludf.DUMMYFUNCTION("""COMPUTED_VALUE"""),1900.0)</f>
        <v>1900</v>
      </c>
      <c r="O27" s="24">
        <f>IFERROR(__xludf.DUMMYFUNCTION("""COMPUTED_VALUE"""),0.53)</f>
        <v>0.53</v>
      </c>
      <c r="P27" s="17">
        <f>IFERROR(__xludf.DUMMYFUNCTION("""COMPUTED_VALUE"""),4.4)</f>
        <v>4.4</v>
      </c>
      <c r="Q27" s="25">
        <f>IFERROR(__xludf.DUMMYFUNCTION("""COMPUTED_VALUE"""),13552.0)</f>
        <v>13552</v>
      </c>
    </row>
    <row r="28">
      <c r="A28" s="7" t="s">
        <v>47</v>
      </c>
      <c r="B28" s="7" t="s">
        <v>37</v>
      </c>
      <c r="C28" s="8">
        <v>14999.0</v>
      </c>
      <c r="D28" s="8">
        <v>19999.0</v>
      </c>
      <c r="E28" s="19">
        <v>0.25</v>
      </c>
      <c r="F28" s="10">
        <v>4.2</v>
      </c>
      <c r="G28" s="11">
        <v>34899.0</v>
      </c>
      <c r="K28" s="17" t="str">
        <f>IFERROR(__xludf.DUMMYFUNCTION("""COMPUTED_VALUE"""),"OnePlus 126 cm (50 inches) Y Series 4K Ultra HD Smart Android LED TV 50Y1S Pro (Black)")</f>
        <v>OnePlus 126 cm (50 inches) Y Series 4K Ultra HD Smart Android LED TV 50Y1S Pro (Black)</v>
      </c>
      <c r="L28" s="17" t="str">
        <f>IFERROR(__xludf.DUMMYFUNCTION("""COMPUTED_VALUE"""),"Electronics|HomeTheater,TV&amp;Video|Televisions|SmartTelevisions")</f>
        <v>Electronics|HomeTheater,TV&amp;Video|Televisions|SmartTelevisions</v>
      </c>
      <c r="M28" s="23">
        <f>IFERROR(__xludf.DUMMYFUNCTION("""COMPUTED_VALUE"""),32999.0)</f>
        <v>32999</v>
      </c>
      <c r="N28" s="23">
        <f>IFERROR(__xludf.DUMMYFUNCTION("""COMPUTED_VALUE"""),45999.0)</f>
        <v>45999</v>
      </c>
      <c r="O28" s="24">
        <f>IFERROR(__xludf.DUMMYFUNCTION("""COMPUTED_VALUE"""),0.28)</f>
        <v>0.28</v>
      </c>
      <c r="P28" s="17">
        <f>IFERROR(__xludf.DUMMYFUNCTION("""COMPUTED_VALUE"""),4.2)</f>
        <v>4.2</v>
      </c>
      <c r="Q28" s="25">
        <f>IFERROR(__xludf.DUMMYFUNCTION("""COMPUTED_VALUE"""),7298.0)</f>
        <v>7298</v>
      </c>
    </row>
    <row r="29">
      <c r="A29" s="7" t="s">
        <v>48</v>
      </c>
      <c r="B29" s="7" t="s">
        <v>15</v>
      </c>
      <c r="C29" s="8">
        <v>299.0</v>
      </c>
      <c r="D29" s="8">
        <v>399.0</v>
      </c>
      <c r="E29" s="19">
        <v>0.25</v>
      </c>
      <c r="F29" s="10">
        <v>4.0</v>
      </c>
      <c r="G29" s="11">
        <v>2766.0</v>
      </c>
      <c r="K29" s="17" t="str">
        <f>IFERROR(__xludf.DUMMYFUNCTION("""COMPUTED_VALUE"""),"Duracell Type C To Type C 5A (100W) Braided Sync &amp; Fast Charging Cable, 3.9 Feet (1.2M). USB C to C Cable, Supports PD &amp; QC 3.0 Charging, 5 GBPS Data Transmission – Black")</f>
        <v>Duracell Type C To Type C 5A (100W) Braided Sync &amp; Fast Charging Cable, 3.9 Feet (1.2M). USB C to C Cable, Supports PD &amp; QC 3.0 Charging, 5 GBPS Data Transmission – Black</v>
      </c>
      <c r="L29" s="17" t="str">
        <f>IFERROR(__xludf.DUMMYFUNCTION("""COMPUTED_VALUE"""),"Computers&amp;Accessories|Accessories&amp;Peripherals|Cables&amp;Accessories|Cables|USBCables")</f>
        <v>Computers&amp;Accessories|Accessories&amp;Peripherals|Cables&amp;Accessories|Cables|USBCables</v>
      </c>
      <c r="M29" s="23">
        <f>IFERROR(__xludf.DUMMYFUNCTION("""COMPUTED_VALUE"""),970.0)</f>
        <v>970</v>
      </c>
      <c r="N29" s="23">
        <f>IFERROR(__xludf.DUMMYFUNCTION("""COMPUTED_VALUE"""),1999.0)</f>
        <v>1999</v>
      </c>
      <c r="O29" s="24">
        <f>IFERROR(__xludf.DUMMYFUNCTION("""COMPUTED_VALUE"""),0.51)</f>
        <v>0.51</v>
      </c>
      <c r="P29" s="17">
        <f>IFERROR(__xludf.DUMMYFUNCTION("""COMPUTED_VALUE"""),4.2)</f>
        <v>4.2</v>
      </c>
      <c r="Q29" s="17">
        <f>IFERROR(__xludf.DUMMYFUNCTION("""COMPUTED_VALUE"""),462.0)</f>
        <v>462</v>
      </c>
    </row>
    <row r="30">
      <c r="A30" s="7" t="s">
        <v>49</v>
      </c>
      <c r="B30" s="7" t="s">
        <v>15</v>
      </c>
      <c r="C30" s="8">
        <v>970.0</v>
      </c>
      <c r="D30" s="8">
        <v>1999.0</v>
      </c>
      <c r="E30" s="19">
        <v>0.51</v>
      </c>
      <c r="F30" s="10">
        <v>4.4</v>
      </c>
      <c r="G30" s="10">
        <v>184.0</v>
      </c>
      <c r="K30" s="17" t="str">
        <f>IFERROR(__xludf.DUMMYFUNCTION("""COMPUTED_VALUE"""),"AmazonBasics USB 2.0 Cable - A-Male to B-Male - for Personal Computer, Printer- 6 Feet (1.8 Meters), Black")</f>
        <v>AmazonBasics USB 2.0 Cable - A-Male to B-Male - for Personal Computer, Printer- 6 Feet (1.8 Meters), Black</v>
      </c>
      <c r="L30" s="17" t="str">
        <f>IFERROR(__xludf.DUMMYFUNCTION("""COMPUTED_VALUE"""),"Computers&amp;Accessories|Accessories&amp;Peripherals|Cables&amp;Accessories|Cables|USBCables")</f>
        <v>Computers&amp;Accessories|Accessories&amp;Peripherals|Cables&amp;Accessories|Cables|USBCables</v>
      </c>
      <c r="M30" s="23">
        <f>IFERROR(__xludf.DUMMYFUNCTION("""COMPUTED_VALUE"""),209.0)</f>
        <v>209</v>
      </c>
      <c r="N30" s="23">
        <f>IFERROR(__xludf.DUMMYFUNCTION("""COMPUTED_VALUE"""),695.0)</f>
        <v>695</v>
      </c>
      <c r="O30" s="24">
        <f>IFERROR(__xludf.DUMMYFUNCTION("""COMPUTED_VALUE"""),0.7)</f>
        <v>0.7</v>
      </c>
      <c r="P30" s="17">
        <f>IFERROR(__xludf.DUMMYFUNCTION("""COMPUTED_VALUE"""),4.5)</f>
        <v>4.5</v>
      </c>
      <c r="Q30" s="17" t="str">
        <f>IFERROR(__xludf.DUMMYFUNCTION("""COMPUTED_VALUE"""),"1,07,687")</f>
        <v>1,07,687</v>
      </c>
    </row>
    <row r="31">
      <c r="A31" s="7" t="s">
        <v>50</v>
      </c>
      <c r="B31" s="7" t="s">
        <v>15</v>
      </c>
      <c r="C31" s="8">
        <v>299.0</v>
      </c>
      <c r="D31" s="8">
        <v>999.0</v>
      </c>
      <c r="E31" s="19">
        <v>0.7</v>
      </c>
      <c r="F31" s="10">
        <v>4.3</v>
      </c>
      <c r="G31" s="11">
        <v>20850.0</v>
      </c>
      <c r="K31" s="17" t="str">
        <f>IFERROR(__xludf.DUMMYFUNCTION("""COMPUTED_VALUE"""),"Mi 108 cm (43 inches) Full HD Android LED TV 4C | L43M6-INC (Black)")</f>
        <v>Mi 108 cm (43 inches) Full HD Android LED TV 4C | L43M6-INC (Black)</v>
      </c>
      <c r="L31" s="17" t="str">
        <f>IFERROR(__xludf.DUMMYFUNCTION("""COMPUTED_VALUE"""),"Electronics|HomeTheater,TV&amp;Video|Televisions|SmartTelevisions")</f>
        <v>Electronics|HomeTheater,TV&amp;Video|Televisions|SmartTelevisions</v>
      </c>
      <c r="M31" s="23">
        <f>IFERROR(__xludf.DUMMYFUNCTION("""COMPUTED_VALUE"""),19999.0)</f>
        <v>19999</v>
      </c>
      <c r="N31" s="23">
        <f>IFERROR(__xludf.DUMMYFUNCTION("""COMPUTED_VALUE"""),34999.0)</f>
        <v>34999</v>
      </c>
      <c r="O31" s="24">
        <f>IFERROR(__xludf.DUMMYFUNCTION("""COMPUTED_VALUE"""),0.43)</f>
        <v>0.43</v>
      </c>
      <c r="P31" s="17">
        <f>IFERROR(__xludf.DUMMYFUNCTION("""COMPUTED_VALUE"""),4.3)</f>
        <v>4.3</v>
      </c>
      <c r="Q31" s="25">
        <f>IFERROR(__xludf.DUMMYFUNCTION("""COMPUTED_VALUE"""),27151.0)</f>
        <v>27151</v>
      </c>
    </row>
    <row r="32">
      <c r="A32" s="7" t="s">
        <v>51</v>
      </c>
      <c r="B32" s="7" t="s">
        <v>15</v>
      </c>
      <c r="C32" s="8">
        <v>199.0</v>
      </c>
      <c r="D32" s="8">
        <v>750.0</v>
      </c>
      <c r="E32" s="19">
        <v>0.73</v>
      </c>
      <c r="F32" s="10">
        <v>4.5</v>
      </c>
      <c r="G32" s="11">
        <v>74976.0</v>
      </c>
      <c r="K32" s="17" t="str">
        <f>IFERROR(__xludf.DUMMYFUNCTION("""COMPUTED_VALUE"""),"Wayona Nylon Braided 3A Lightning to USB A Syncing and Fast Charging Data Cable for iPhone, Ipad (3 FT Pack of 1, Black)")</f>
        <v>Wayona Nylon Braided 3A Lightning to USB A Syncing and Fast Charging Data Cable for iPhone, Ipad (3 FT Pack of 1, Black)</v>
      </c>
      <c r="L32" s="17" t="str">
        <f>IFERROR(__xludf.DUMMYFUNCTION("""COMPUTED_VALUE"""),"Computers&amp;Accessories|Accessories&amp;Peripherals|Cables&amp;Accessories|Cables|USBCables")</f>
        <v>Computers&amp;Accessories|Accessories&amp;Peripherals|Cables&amp;Accessories|Cables|USBCables</v>
      </c>
      <c r="M32" s="23">
        <f>IFERROR(__xludf.DUMMYFUNCTION("""COMPUTED_VALUE"""),399.0)</f>
        <v>399</v>
      </c>
      <c r="N32" s="23">
        <f>IFERROR(__xludf.DUMMYFUNCTION("""COMPUTED_VALUE"""),1099.0)</f>
        <v>1099</v>
      </c>
      <c r="O32" s="24">
        <f>IFERROR(__xludf.DUMMYFUNCTION("""COMPUTED_VALUE"""),0.64)</f>
        <v>0.64</v>
      </c>
      <c r="P32" s="17">
        <f>IFERROR(__xludf.DUMMYFUNCTION("""COMPUTED_VALUE"""),4.2)</f>
        <v>4.2</v>
      </c>
      <c r="Q32" s="25">
        <f>IFERROR(__xludf.DUMMYFUNCTION("""COMPUTED_VALUE"""),24269.0)</f>
        <v>24269</v>
      </c>
    </row>
    <row r="33">
      <c r="A33" s="7" t="s">
        <v>52</v>
      </c>
      <c r="B33" s="7" t="s">
        <v>15</v>
      </c>
      <c r="C33" s="8">
        <v>179.0</v>
      </c>
      <c r="D33" s="8">
        <v>499.0</v>
      </c>
      <c r="E33" s="19">
        <v>0.64</v>
      </c>
      <c r="F33" s="10">
        <v>4.0</v>
      </c>
      <c r="G33" s="11">
        <v>1934.0</v>
      </c>
      <c r="K33" s="17" t="str">
        <f>IFERROR(__xludf.DUMMYFUNCTION("""COMPUTED_VALUE"""),"TP-Link Nano AC600 USB Wi-Fi Adapter(Archer T2U Nano)- 2.4G/5G Dual Band Wireless Network Adapter for PC Desktop Laptop, Mini Travel Size, Supports Windows 11,10, 8.1, 8, 7, XP/Mac OS 10.9-10.15")</f>
        <v>TP-Link Nano AC600 USB Wi-Fi Adapter(Archer T2U Nano)- 2.4G/5G Dual Band Wireless Network Adapter for PC Desktop Laptop, Mini Travel Size, Supports Windows 11,10, 8.1, 8, 7, XP/Mac OS 10.9-10.15</v>
      </c>
      <c r="L33" s="17" t="str">
        <f>IFERROR(__xludf.DUMMYFUNCTION("""COMPUTED_VALUE"""),"Computers&amp;Accessories|NetworkingDevices|NetworkAdapters|WirelessUSBAdapters")</f>
        <v>Computers&amp;Accessories|NetworkingDevices|NetworkAdapters|WirelessUSBAdapters</v>
      </c>
      <c r="M33" s="23">
        <f>IFERROR(__xludf.DUMMYFUNCTION("""COMPUTED_VALUE"""),999.0)</f>
        <v>999</v>
      </c>
      <c r="N33" s="23">
        <f>IFERROR(__xludf.DUMMYFUNCTION("""COMPUTED_VALUE"""),1599.0)</f>
        <v>1599</v>
      </c>
      <c r="O33" s="24">
        <f>IFERROR(__xludf.DUMMYFUNCTION("""COMPUTED_VALUE"""),0.38)</f>
        <v>0.38</v>
      </c>
      <c r="P33" s="17">
        <f>IFERROR(__xludf.DUMMYFUNCTION("""COMPUTED_VALUE"""),4.3)</f>
        <v>4.3</v>
      </c>
      <c r="Q33" s="25">
        <f>IFERROR(__xludf.DUMMYFUNCTION("""COMPUTED_VALUE"""),12093.0)</f>
        <v>12093</v>
      </c>
    </row>
    <row r="34">
      <c r="A34" s="7" t="s">
        <v>53</v>
      </c>
      <c r="B34" s="7" t="s">
        <v>15</v>
      </c>
      <c r="C34" s="8">
        <v>389.0</v>
      </c>
      <c r="D34" s="8">
        <v>1099.0</v>
      </c>
      <c r="E34" s="19">
        <v>0.65</v>
      </c>
      <c r="F34" s="10">
        <v>4.3</v>
      </c>
      <c r="G34" s="10">
        <v>974.0</v>
      </c>
      <c r="K34" s="17" t="str">
        <f>IFERROR(__xludf.DUMMYFUNCTION("""COMPUTED_VALUE"""),"D-Link DWA-131 300 Mbps Wireless Nano USB Adapter (Black)")</f>
        <v>D-Link DWA-131 300 Mbps Wireless Nano USB Adapter (Black)</v>
      </c>
      <c r="L34" s="17" t="str">
        <f>IFERROR(__xludf.DUMMYFUNCTION("""COMPUTED_VALUE"""),"Computers&amp;Accessories|NetworkingDevices|NetworkAdapters|WirelessUSBAdapters")</f>
        <v>Computers&amp;Accessories|NetworkingDevices|NetworkAdapters|WirelessUSBAdapters</v>
      </c>
      <c r="M34" s="23">
        <f>IFERROR(__xludf.DUMMYFUNCTION("""COMPUTED_VALUE"""),507.0)</f>
        <v>507</v>
      </c>
      <c r="N34" s="23">
        <f>IFERROR(__xludf.DUMMYFUNCTION("""COMPUTED_VALUE"""),1208.0)</f>
        <v>1208</v>
      </c>
      <c r="O34" s="24">
        <f>IFERROR(__xludf.DUMMYFUNCTION("""COMPUTED_VALUE"""),0.58)</f>
        <v>0.58</v>
      </c>
      <c r="P34" s="17">
        <f>IFERROR(__xludf.DUMMYFUNCTION("""COMPUTED_VALUE"""),4.1)</f>
        <v>4.1</v>
      </c>
      <c r="Q34" s="25">
        <f>IFERROR(__xludf.DUMMYFUNCTION("""COMPUTED_VALUE"""),8131.0)</f>
        <v>8131</v>
      </c>
    </row>
    <row r="35">
      <c r="A35" s="7" t="s">
        <v>54</v>
      </c>
      <c r="B35" s="7" t="s">
        <v>15</v>
      </c>
      <c r="C35" s="8">
        <v>599.0</v>
      </c>
      <c r="D35" s="8">
        <v>599.0</v>
      </c>
      <c r="E35" s="19">
        <v>0.0</v>
      </c>
      <c r="F35" s="10">
        <v>4.3</v>
      </c>
      <c r="G35" s="10">
        <v>355.0</v>
      </c>
      <c r="K35" s="17" t="str">
        <f>IFERROR(__xludf.DUMMYFUNCTION("""COMPUTED_VALUE"""),"Amazon Basics High-Speed HDMI Cable, 6 Feet - Supports Ethernet, 3D, 4K video,Black")</f>
        <v>Amazon Basics High-Speed HDMI Cable, 6 Feet - Supports Ethernet, 3D, 4K video,Black</v>
      </c>
      <c r="L35" s="17" t="str">
        <f>IFERROR(__xludf.DUMMYFUNCTION("""COMPUTED_VALUE"""),"Electronics|HomeTheater,TV&amp;Video|Accessories|Cables|HDMICables")</f>
        <v>Electronics|HomeTheater,TV&amp;Video|Accessories|Cables|HDMICables</v>
      </c>
      <c r="M35" s="23">
        <f>IFERROR(__xludf.DUMMYFUNCTION("""COMPUTED_VALUE"""),309.0)</f>
        <v>309</v>
      </c>
      <c r="N35" s="23">
        <f>IFERROR(__xludf.DUMMYFUNCTION("""COMPUTED_VALUE"""),475.0)</f>
        <v>475</v>
      </c>
      <c r="O35" s="24">
        <f>IFERROR(__xludf.DUMMYFUNCTION("""COMPUTED_VALUE"""),0.35)</f>
        <v>0.35</v>
      </c>
      <c r="P35" s="17">
        <f>IFERROR(__xludf.DUMMYFUNCTION("""COMPUTED_VALUE"""),4.4)</f>
        <v>4.4</v>
      </c>
      <c r="Q35" s="17" t="str">
        <f>IFERROR(__xludf.DUMMYFUNCTION("""COMPUTED_VALUE"""),"4,26,973")</f>
        <v>4,26,973</v>
      </c>
    </row>
    <row r="36">
      <c r="A36" s="7" t="s">
        <v>55</v>
      </c>
      <c r="B36" s="7" t="s">
        <v>15</v>
      </c>
      <c r="C36" s="8">
        <v>199.0</v>
      </c>
      <c r="D36" s="8">
        <v>999.0</v>
      </c>
      <c r="E36" s="19">
        <v>0.8</v>
      </c>
      <c r="F36" s="10">
        <v>3.9</v>
      </c>
      <c r="G36" s="11">
        <v>1075.0</v>
      </c>
      <c r="K36" s="17" t="str">
        <f>IFERROR(__xludf.DUMMYFUNCTION("""COMPUTED_VALUE"""),"Amazonbasics Micro Usb Fast Charging Cable For Android Smartphone,Personal Computer,Printer With Gold Plated Connectors (6 Feet, Black)")</f>
        <v>Amazonbasics Micro Usb Fast Charging Cable For Android Smartphone,Personal Computer,Printer With Gold Plated Connectors (6 Feet, Black)</v>
      </c>
      <c r="L36" s="17" t="str">
        <f>IFERROR(__xludf.DUMMYFUNCTION("""COMPUTED_VALUE"""),"Computers&amp;Accessories|Accessories&amp;Peripherals|Cables&amp;Accessories|Cables|USBCables")</f>
        <v>Computers&amp;Accessories|Accessories&amp;Peripherals|Cables&amp;Accessories|Cables|USBCables</v>
      </c>
      <c r="M36" s="23">
        <f>IFERROR(__xludf.DUMMYFUNCTION("""COMPUTED_VALUE"""),199.0)</f>
        <v>199</v>
      </c>
      <c r="N36" s="23">
        <f>IFERROR(__xludf.DUMMYFUNCTION("""COMPUTED_VALUE"""),395.0)</f>
        <v>395</v>
      </c>
      <c r="O36" s="24">
        <f>IFERROR(__xludf.DUMMYFUNCTION("""COMPUTED_VALUE"""),0.5)</f>
        <v>0.5</v>
      </c>
      <c r="P36" s="17">
        <f>IFERROR(__xludf.DUMMYFUNCTION("""COMPUTED_VALUE"""),4.2)</f>
        <v>4.2</v>
      </c>
      <c r="Q36" s="25">
        <f>IFERROR(__xludf.DUMMYFUNCTION("""COMPUTED_VALUE"""),92595.0)</f>
        <v>92595</v>
      </c>
    </row>
    <row r="37">
      <c r="A37" s="7" t="s">
        <v>56</v>
      </c>
      <c r="B37" s="7" t="s">
        <v>15</v>
      </c>
      <c r="C37" s="8">
        <v>99.0</v>
      </c>
      <c r="D37" s="8">
        <v>666.66</v>
      </c>
      <c r="E37" s="19">
        <v>0.85</v>
      </c>
      <c r="F37" s="10">
        <v>3.9</v>
      </c>
      <c r="G37" s="11">
        <v>24871.0</v>
      </c>
      <c r="K37" s="17" t="str">
        <f>IFERROR(__xludf.DUMMYFUNCTION("""COMPUTED_VALUE"""),"TP-Link AC600 600 Mbps WiFi Wireless Network USB Adapter for Desktop PC with 2.4GHz/5GHz High Gain Dual Band 5dBi Antenna Wi-Fi, Supports Windows 11/10/8.1/8/7/XP, Mac OS 10.15 and earlier (Archer T2U Plus)")</f>
        <v>TP-Link AC600 600 Mbps WiFi Wireless Network USB Adapter for Desktop PC with 2.4GHz/5GHz High Gain Dual Band 5dBi Antenna Wi-Fi, Supports Windows 11/10/8.1/8/7/XP, Mac OS 10.15 and earlier (Archer T2U Plus)</v>
      </c>
      <c r="L37" s="17" t="str">
        <f>IFERROR(__xludf.DUMMYFUNCTION("""COMPUTED_VALUE"""),"Computers&amp;Accessories|NetworkingDevices|NetworkAdapters|WirelessUSBAdapters")</f>
        <v>Computers&amp;Accessories|NetworkingDevices|NetworkAdapters|WirelessUSBAdapters</v>
      </c>
      <c r="M37" s="23">
        <f>IFERROR(__xludf.DUMMYFUNCTION("""COMPUTED_VALUE"""),1199.0)</f>
        <v>1199</v>
      </c>
      <c r="N37" s="23">
        <f>IFERROR(__xludf.DUMMYFUNCTION("""COMPUTED_VALUE"""),2199.0)</f>
        <v>2199</v>
      </c>
      <c r="O37" s="24">
        <f>IFERROR(__xludf.DUMMYFUNCTION("""COMPUTED_VALUE"""),0.45)</f>
        <v>0.45</v>
      </c>
      <c r="P37" s="17">
        <f>IFERROR(__xludf.DUMMYFUNCTION("""COMPUTED_VALUE"""),4.4)</f>
        <v>4.4</v>
      </c>
      <c r="Q37" s="25">
        <f>IFERROR(__xludf.DUMMYFUNCTION("""COMPUTED_VALUE"""),24780.0)</f>
        <v>24780</v>
      </c>
    </row>
    <row r="38">
      <c r="A38" s="7" t="s">
        <v>57</v>
      </c>
      <c r="B38" s="7" t="s">
        <v>15</v>
      </c>
      <c r="C38" s="8">
        <v>899.0</v>
      </c>
      <c r="D38" s="8">
        <v>1900.0</v>
      </c>
      <c r="E38" s="19">
        <v>0.53</v>
      </c>
      <c r="F38" s="10">
        <v>4.4</v>
      </c>
      <c r="G38" s="11">
        <v>13552.0</v>
      </c>
      <c r="K38" s="17" t="str">
        <f>IFERROR(__xludf.DUMMYFUNCTION("""COMPUTED_VALUE"""),"AmazonBasics Micro USB Fast Charging Cable for Android Phones with Gold Plated Connectors (3 Feet, Black)")</f>
        <v>AmazonBasics Micro USB Fast Charging Cable for Android Phones with Gold Plated Connectors (3 Feet, Black)</v>
      </c>
      <c r="L38" s="17" t="str">
        <f>IFERROR(__xludf.DUMMYFUNCTION("""COMPUTED_VALUE"""),"Computers&amp;Accessories|Accessories&amp;Peripherals|Cables&amp;Accessories|Cables|USBCables")</f>
        <v>Computers&amp;Accessories|Accessories&amp;Peripherals|Cables&amp;Accessories|Cables|USBCables</v>
      </c>
      <c r="M38" s="23">
        <f>IFERROR(__xludf.DUMMYFUNCTION("""COMPUTED_VALUE"""),179.0)</f>
        <v>179</v>
      </c>
      <c r="N38" s="23">
        <f>IFERROR(__xludf.DUMMYFUNCTION("""COMPUTED_VALUE"""),500.0)</f>
        <v>500</v>
      </c>
      <c r="O38" s="24">
        <f>IFERROR(__xludf.DUMMYFUNCTION("""COMPUTED_VALUE"""),0.64)</f>
        <v>0.64</v>
      </c>
      <c r="P38" s="17">
        <f>IFERROR(__xludf.DUMMYFUNCTION("""COMPUTED_VALUE"""),4.2)</f>
        <v>4.2</v>
      </c>
      <c r="Q38" s="25">
        <f>IFERROR(__xludf.DUMMYFUNCTION("""COMPUTED_VALUE"""),92595.0)</f>
        <v>92595</v>
      </c>
    </row>
    <row r="39">
      <c r="A39" s="7" t="s">
        <v>58</v>
      </c>
      <c r="B39" s="7" t="s">
        <v>15</v>
      </c>
      <c r="C39" s="8">
        <v>199.0</v>
      </c>
      <c r="D39" s="8">
        <v>999.0</v>
      </c>
      <c r="E39" s="19">
        <v>0.8</v>
      </c>
      <c r="F39" s="10">
        <v>4.0</v>
      </c>
      <c r="G39" s="10">
        <v>576.0</v>
      </c>
      <c r="K39" s="17" t="str">
        <f>IFERROR(__xludf.DUMMYFUNCTION("""COMPUTED_VALUE"""),"AmazonBasics New Release Nylon USB-A to Lightning Cable Cord, Fast Charging MFi Certified Charger for Apple iPhone, iPad (6-Ft, Rose Gold)")</f>
        <v>AmazonBasics New Release Nylon USB-A to Lightning Cable Cord, Fast Charging MFi Certified Charger for Apple iPhone, iPad (6-Ft, Rose Gold)</v>
      </c>
      <c r="L39" s="17" t="str">
        <f>IFERROR(__xludf.DUMMYFUNCTION("""COMPUTED_VALUE"""),"Computers&amp;Accessories|Accessories&amp;Peripherals|Cables&amp;Accessories|Cables|USBCables")</f>
        <v>Computers&amp;Accessories|Accessories&amp;Peripherals|Cables&amp;Accessories|Cables|USBCables</v>
      </c>
      <c r="M39" s="23">
        <f>IFERROR(__xludf.DUMMYFUNCTION("""COMPUTED_VALUE"""),799.0)</f>
        <v>799</v>
      </c>
      <c r="N39" s="23">
        <f>IFERROR(__xludf.DUMMYFUNCTION("""COMPUTED_VALUE"""),2100.0)</f>
        <v>2100</v>
      </c>
      <c r="O39" s="24">
        <f>IFERROR(__xludf.DUMMYFUNCTION("""COMPUTED_VALUE"""),0.62)</f>
        <v>0.62</v>
      </c>
      <c r="P39" s="17">
        <f>IFERROR(__xludf.DUMMYFUNCTION("""COMPUTED_VALUE"""),4.3)</f>
        <v>4.3</v>
      </c>
      <c r="Q39" s="25">
        <f>IFERROR(__xludf.DUMMYFUNCTION("""COMPUTED_VALUE"""),8188.0)</f>
        <v>8188</v>
      </c>
    </row>
    <row r="40">
      <c r="A40" s="7" t="s">
        <v>59</v>
      </c>
      <c r="B40" s="7" t="s">
        <v>37</v>
      </c>
      <c r="C40" s="8">
        <v>32999.0</v>
      </c>
      <c r="D40" s="8">
        <v>45999.0</v>
      </c>
      <c r="E40" s="19">
        <v>0.28</v>
      </c>
      <c r="F40" s="10">
        <v>4.2</v>
      </c>
      <c r="G40" s="11">
        <v>7298.0</v>
      </c>
      <c r="K40" s="17" t="str">
        <f>IFERROR(__xludf.DUMMYFUNCTION("""COMPUTED_VALUE"""),"VW 80 cm (32 inches) Frameless Series HD Ready LED TV VW32A (Black)")</f>
        <v>VW 80 cm (32 inches) Frameless Series HD Ready LED TV VW32A (Black)</v>
      </c>
      <c r="L40" s="17" t="str">
        <f>IFERROR(__xludf.DUMMYFUNCTION("""COMPUTED_VALUE"""),"Electronics|HomeTheater,TV&amp;Video|Televisions|StandardTelevisions")</f>
        <v>Electronics|HomeTheater,TV&amp;Video|Televisions|StandardTelevisions</v>
      </c>
      <c r="M40" s="23">
        <f>IFERROR(__xludf.DUMMYFUNCTION("""COMPUTED_VALUE"""),6999.0)</f>
        <v>6999</v>
      </c>
      <c r="N40" s="23">
        <f>IFERROR(__xludf.DUMMYFUNCTION("""COMPUTED_VALUE"""),12999.0)</f>
        <v>12999</v>
      </c>
      <c r="O40" s="24">
        <f>IFERROR(__xludf.DUMMYFUNCTION("""COMPUTED_VALUE"""),0.46)</f>
        <v>0.46</v>
      </c>
      <c r="P40" s="17">
        <f>IFERROR(__xludf.DUMMYFUNCTION("""COMPUTED_VALUE"""),4.2)</f>
        <v>4.2</v>
      </c>
      <c r="Q40" s="25">
        <f>IFERROR(__xludf.DUMMYFUNCTION("""COMPUTED_VALUE"""),4003.0)</f>
        <v>4003</v>
      </c>
    </row>
    <row r="41">
      <c r="A41" s="7" t="s">
        <v>60</v>
      </c>
      <c r="B41" s="7" t="s">
        <v>15</v>
      </c>
      <c r="C41" s="8">
        <v>970.0</v>
      </c>
      <c r="D41" s="8">
        <v>1999.0</v>
      </c>
      <c r="E41" s="19">
        <v>0.51</v>
      </c>
      <c r="F41" s="10">
        <v>4.2</v>
      </c>
      <c r="G41" s="10">
        <v>462.0</v>
      </c>
      <c r="K41" s="17" t="str">
        <f>IFERROR(__xludf.DUMMYFUNCTION("""COMPUTED_VALUE"""),"Ambrane Unbreakable 3A Fast Charging Braided Type C Cable    1.5 Meter (RCT15, Blue) Supports QC 2.0/3.0 Charging")</f>
        <v>Ambrane Unbreakable 3A Fast Charging Braided Type C Cable    1.5 Meter (RCT15, Blue) Supports QC 2.0/3.0 Charging</v>
      </c>
      <c r="L41" s="17" t="str">
        <f>IFERROR(__xludf.DUMMYFUNCTION("""COMPUTED_VALUE"""),"Computers&amp;Accessories|Accessories&amp;Peripherals|Cables&amp;Accessories|Cables|USBCables")</f>
        <v>Computers&amp;Accessories|Accessories&amp;Peripherals|Cables&amp;Accessories|Cables|USBCables</v>
      </c>
      <c r="M41" s="23">
        <f>IFERROR(__xludf.DUMMYFUNCTION("""COMPUTED_VALUE"""),199.0)</f>
        <v>199</v>
      </c>
      <c r="N41" s="23">
        <f>IFERROR(__xludf.DUMMYFUNCTION("""COMPUTED_VALUE"""),349.0)</f>
        <v>349</v>
      </c>
      <c r="O41" s="24">
        <f>IFERROR(__xludf.DUMMYFUNCTION("""COMPUTED_VALUE"""),0.43)</f>
        <v>0.43</v>
      </c>
      <c r="P41" s="17">
        <f>IFERROR(__xludf.DUMMYFUNCTION("""COMPUTED_VALUE"""),4.1)</f>
        <v>4.1</v>
      </c>
      <c r="Q41" s="17">
        <f>IFERROR(__xludf.DUMMYFUNCTION("""COMPUTED_VALUE"""),314.0)</f>
        <v>314</v>
      </c>
    </row>
    <row r="42">
      <c r="A42" s="7" t="s">
        <v>61</v>
      </c>
      <c r="B42" s="7" t="s">
        <v>15</v>
      </c>
      <c r="C42" s="8">
        <v>209.0</v>
      </c>
      <c r="D42" s="8">
        <v>695.0</v>
      </c>
      <c r="E42" s="19">
        <v>0.7</v>
      </c>
      <c r="F42" s="10">
        <v>4.5</v>
      </c>
      <c r="G42" s="7" t="s">
        <v>62</v>
      </c>
      <c r="K42" s="17" t="str">
        <f>IFERROR(__xludf.DUMMYFUNCTION("""COMPUTED_VALUE"""),"TP-LINK WiFi Dongle 300 Mbps Mini Wireless Network USB Wi-Fi Adapter for PC Desktop Laptop(Supports Windows 11/10/8.1/8/7/XP, Mac OS 10.9-10.15 and Linux, WPS, Soft AP Mode, USB 2.0) (TL-WN823N),Black")</f>
        <v>TP-LINK WiFi Dongle 300 Mbps Mini Wireless Network USB Wi-Fi Adapter for PC Desktop Laptop(Supports Windows 11/10/8.1/8/7/XP, Mac OS 10.9-10.15 and Linux, WPS, Soft AP Mode, USB 2.0) (TL-WN823N),Black</v>
      </c>
      <c r="L42" s="17" t="str">
        <f>IFERROR(__xludf.DUMMYFUNCTION("""COMPUTED_VALUE"""),"Computers&amp;Accessories|NetworkingDevices|NetworkAdapters|WirelessUSBAdapters")</f>
        <v>Computers&amp;Accessories|NetworkingDevices|NetworkAdapters|WirelessUSBAdapters</v>
      </c>
      <c r="M42" s="23">
        <f>IFERROR(__xludf.DUMMYFUNCTION("""COMPUTED_VALUE"""),649.0)</f>
        <v>649</v>
      </c>
      <c r="N42" s="23">
        <f>IFERROR(__xludf.DUMMYFUNCTION("""COMPUTED_VALUE"""),1399.0)</f>
        <v>1399</v>
      </c>
      <c r="O42" s="24">
        <f>IFERROR(__xludf.DUMMYFUNCTION("""COMPUTED_VALUE"""),0.54)</f>
        <v>0.54</v>
      </c>
      <c r="P42" s="17">
        <f>IFERROR(__xludf.DUMMYFUNCTION("""COMPUTED_VALUE"""),4.2)</f>
        <v>4.2</v>
      </c>
      <c r="Q42" s="17" t="str">
        <f>IFERROR(__xludf.DUMMYFUNCTION("""COMPUTED_VALUE"""),"1,79,691")</f>
        <v>1,79,691</v>
      </c>
    </row>
    <row r="43">
      <c r="A43" s="7" t="s">
        <v>63</v>
      </c>
      <c r="B43" s="7" t="s">
        <v>37</v>
      </c>
      <c r="C43" s="8">
        <v>19999.0</v>
      </c>
      <c r="D43" s="8">
        <v>34999.0</v>
      </c>
      <c r="E43" s="19">
        <v>0.43</v>
      </c>
      <c r="F43" s="10">
        <v>4.3</v>
      </c>
      <c r="G43" s="11">
        <v>27151.0</v>
      </c>
      <c r="K43" s="17" t="str">
        <f>IFERROR(__xludf.DUMMYFUNCTION("""COMPUTED_VALUE"""),"OnePlus 80 cm (32 inches) Y Series HD Ready Smart Android LED TV 32 Y1S (Black)")</f>
        <v>OnePlus 80 cm (32 inches) Y Series HD Ready Smart Android LED TV 32 Y1S (Black)</v>
      </c>
      <c r="L43" s="17" t="str">
        <f>IFERROR(__xludf.DUMMYFUNCTION("""COMPUTED_VALUE"""),"Electronics|HomeTheater,TV&amp;Video|Televisions|SmartTelevisions")</f>
        <v>Electronics|HomeTheater,TV&amp;Video|Televisions|SmartTelevisions</v>
      </c>
      <c r="M43" s="23">
        <f>IFERROR(__xludf.DUMMYFUNCTION("""COMPUTED_VALUE"""),15999.0)</f>
        <v>15999</v>
      </c>
      <c r="N43" s="23">
        <f>IFERROR(__xludf.DUMMYFUNCTION("""COMPUTED_VALUE"""),21999.0)</f>
        <v>21999</v>
      </c>
      <c r="O43" s="24">
        <f>IFERROR(__xludf.DUMMYFUNCTION("""COMPUTED_VALUE"""),0.27)</f>
        <v>0.27</v>
      </c>
      <c r="P43" s="17">
        <f>IFERROR(__xludf.DUMMYFUNCTION("""COMPUTED_VALUE"""),4.2)</f>
        <v>4.2</v>
      </c>
      <c r="Q43" s="25">
        <f>IFERROR(__xludf.DUMMYFUNCTION("""COMPUTED_VALUE"""),34899.0)</f>
        <v>34899</v>
      </c>
    </row>
    <row r="44">
      <c r="A44" s="7" t="s">
        <v>64</v>
      </c>
      <c r="B44" s="7" t="s">
        <v>15</v>
      </c>
      <c r="C44" s="8">
        <v>399.0</v>
      </c>
      <c r="D44" s="8">
        <v>1099.0</v>
      </c>
      <c r="E44" s="19">
        <v>0.64</v>
      </c>
      <c r="F44" s="10">
        <v>4.2</v>
      </c>
      <c r="G44" s="11">
        <v>24269.0</v>
      </c>
      <c r="K44" s="17" t="str">
        <f>IFERROR(__xludf.DUMMYFUNCTION("""COMPUTED_VALUE"""),"Wecool Unbreakable 3 in 1 Charging Cable with 3A Speed, Fast Charging Multi Purpose Cable 1.25 Mtr Long, Type C cable, Micro Usb Cable and Cable for iPhone, White")</f>
        <v>Wecool Unbreakable 3 in 1 Charging Cable with 3A Speed, Fast Charging Multi Purpose Cable 1.25 Mtr Long, Type C cable, Micro Usb Cable and Cable for iPhone, White</v>
      </c>
      <c r="L44" s="17" t="str">
        <f>IFERROR(__xludf.DUMMYFUNCTION("""COMPUTED_VALUE"""),"Computers&amp;Accessories|Accessories&amp;Peripherals|Cables&amp;Accessories|Cables|USBCables")</f>
        <v>Computers&amp;Accessories|Accessories&amp;Peripherals|Cables&amp;Accessories|Cables|USBCables</v>
      </c>
      <c r="M44" s="23">
        <f>IFERROR(__xludf.DUMMYFUNCTION("""COMPUTED_VALUE"""),348.0)</f>
        <v>348</v>
      </c>
      <c r="N44" s="23">
        <f>IFERROR(__xludf.DUMMYFUNCTION("""COMPUTED_VALUE"""),1499.0)</f>
        <v>1499</v>
      </c>
      <c r="O44" s="24">
        <f>IFERROR(__xludf.DUMMYFUNCTION("""COMPUTED_VALUE"""),0.77)</f>
        <v>0.77</v>
      </c>
      <c r="P44" s="17">
        <f>IFERROR(__xludf.DUMMYFUNCTION("""COMPUTED_VALUE"""),4.2)</f>
        <v>4.2</v>
      </c>
      <c r="Q44" s="17">
        <f>IFERROR(__xludf.DUMMYFUNCTION("""COMPUTED_VALUE"""),656.0)</f>
        <v>656</v>
      </c>
    </row>
    <row r="45">
      <c r="A45" s="7" t="s">
        <v>65</v>
      </c>
      <c r="B45" s="7" t="s">
        <v>25</v>
      </c>
      <c r="C45" s="8">
        <v>999.0</v>
      </c>
      <c r="D45" s="8">
        <v>1599.0</v>
      </c>
      <c r="E45" s="19">
        <v>0.38</v>
      </c>
      <c r="F45" s="10">
        <v>4.3</v>
      </c>
      <c r="G45" s="11">
        <v>12093.0</v>
      </c>
      <c r="K45" s="17" t="str">
        <f>IFERROR(__xludf.DUMMYFUNCTION("""COMPUTED_VALUE"""),"Portronics Konnect L 1.2Mtr, Fast Charging 3A Micro USB Cable with Charge &amp; Sync Function (Grey)")</f>
        <v>Portronics Konnect L 1.2Mtr, Fast Charging 3A Micro USB Cable with Charge &amp; Sync Function (Grey)</v>
      </c>
      <c r="L45" s="17" t="str">
        <f>IFERROR(__xludf.DUMMYFUNCTION("""COMPUTED_VALUE"""),"Computers&amp;Accessories|Accessories&amp;Peripherals|Cables&amp;Accessories|Cables|USBCables")</f>
        <v>Computers&amp;Accessories|Accessories&amp;Peripherals|Cables&amp;Accessories|Cables|USBCables</v>
      </c>
      <c r="M45" s="23">
        <f>IFERROR(__xludf.DUMMYFUNCTION("""COMPUTED_VALUE"""),154.0)</f>
        <v>154</v>
      </c>
      <c r="N45" s="23">
        <f>IFERROR(__xludf.DUMMYFUNCTION("""COMPUTED_VALUE"""),349.0)</f>
        <v>349</v>
      </c>
      <c r="O45" s="24">
        <f>IFERROR(__xludf.DUMMYFUNCTION("""COMPUTED_VALUE"""),0.56)</f>
        <v>0.56</v>
      </c>
      <c r="P45" s="17">
        <f>IFERROR(__xludf.DUMMYFUNCTION("""COMPUTED_VALUE"""),4.3)</f>
        <v>4.3</v>
      </c>
      <c r="Q45" s="25">
        <f>IFERROR(__xludf.DUMMYFUNCTION("""COMPUTED_VALUE"""),7064.0)</f>
        <v>7064</v>
      </c>
    </row>
    <row r="46">
      <c r="A46" s="7" t="s">
        <v>66</v>
      </c>
      <c r="B46" s="7" t="s">
        <v>15</v>
      </c>
      <c r="C46" s="8">
        <v>59.0</v>
      </c>
      <c r="D46" s="8">
        <v>199.0</v>
      </c>
      <c r="E46" s="19">
        <v>0.7</v>
      </c>
      <c r="F46" s="10">
        <v>4.0</v>
      </c>
      <c r="G46" s="11">
        <v>9378.0</v>
      </c>
      <c r="K46" s="17" t="str">
        <f>IFERROR(__xludf.DUMMYFUNCTION("""COMPUTED_VALUE"""),"Samsung 108 cm (43 inches) Crystal 4K Neo Series Ultra HD Smart LED TV UA43AUE65AKXXL (Black)")</f>
        <v>Samsung 108 cm (43 inches) Crystal 4K Neo Series Ultra HD Smart LED TV UA43AUE65AKXXL (Black)</v>
      </c>
      <c r="L46" s="17" t="str">
        <f>IFERROR(__xludf.DUMMYFUNCTION("""COMPUTED_VALUE"""),"Electronics|HomeTheater,TV&amp;Video|Televisions|SmartTelevisions")</f>
        <v>Electronics|HomeTheater,TV&amp;Video|Televisions|SmartTelevisions</v>
      </c>
      <c r="M46" s="23">
        <f>IFERROR(__xludf.DUMMYFUNCTION("""COMPUTED_VALUE"""),32990.0)</f>
        <v>32990</v>
      </c>
      <c r="N46" s="23">
        <f>IFERROR(__xludf.DUMMYFUNCTION("""COMPUTED_VALUE"""),47900.0)</f>
        <v>47900</v>
      </c>
      <c r="O46" s="24">
        <f>IFERROR(__xludf.DUMMYFUNCTION("""COMPUTED_VALUE"""),0.31)</f>
        <v>0.31</v>
      </c>
      <c r="P46" s="17">
        <f>IFERROR(__xludf.DUMMYFUNCTION("""COMPUTED_VALUE"""),4.3)</f>
        <v>4.3</v>
      </c>
      <c r="Q46" s="25">
        <f>IFERROR(__xludf.DUMMYFUNCTION("""COMPUTED_VALUE"""),7109.0)</f>
        <v>7109</v>
      </c>
    </row>
    <row r="47">
      <c r="A47" s="7" t="s">
        <v>67</v>
      </c>
      <c r="B47" s="7" t="s">
        <v>15</v>
      </c>
      <c r="C47" s="8">
        <v>333.0</v>
      </c>
      <c r="D47" s="8">
        <v>999.0</v>
      </c>
      <c r="E47" s="19">
        <v>0.67</v>
      </c>
      <c r="F47" s="10">
        <v>3.3</v>
      </c>
      <c r="G47" s="11">
        <v>9792.0</v>
      </c>
      <c r="K47" s="17" t="str">
        <f>IFERROR(__xludf.DUMMYFUNCTION("""COMPUTED_VALUE"""),"AmazonBasics USB Type-C to USB Type-C 2.0 Cable - 3 Feet Laptop (0.9 Meters) - White")</f>
        <v>AmazonBasics USB Type-C to USB Type-C 2.0 Cable - 3 Feet Laptop (0.9 Meters) - White</v>
      </c>
      <c r="L47" s="17" t="str">
        <f>IFERROR(__xludf.DUMMYFUNCTION("""COMPUTED_VALUE"""),"Computers&amp;Accessories|Accessories&amp;Peripherals|Cables&amp;Accessories|Cables|USBCables")</f>
        <v>Computers&amp;Accessories|Accessories&amp;Peripherals|Cables&amp;Accessories|Cables|USBCables</v>
      </c>
      <c r="M47" s="23">
        <f>IFERROR(__xludf.DUMMYFUNCTION("""COMPUTED_VALUE"""),329.0)</f>
        <v>329</v>
      </c>
      <c r="N47" s="23">
        <f>IFERROR(__xludf.DUMMYFUNCTION("""COMPUTED_VALUE"""),845.0)</f>
        <v>845</v>
      </c>
      <c r="O47" s="24">
        <f>IFERROR(__xludf.DUMMYFUNCTION("""COMPUTED_VALUE"""),0.61)</f>
        <v>0.61</v>
      </c>
      <c r="P47" s="17">
        <f>IFERROR(__xludf.DUMMYFUNCTION("""COMPUTED_VALUE"""),4.2)</f>
        <v>4.2</v>
      </c>
      <c r="Q47" s="25">
        <f>IFERROR(__xludf.DUMMYFUNCTION("""COMPUTED_VALUE"""),29746.0)</f>
        <v>29746</v>
      </c>
    </row>
    <row r="48">
      <c r="A48" s="7" t="s">
        <v>68</v>
      </c>
      <c r="B48" s="7" t="s">
        <v>25</v>
      </c>
      <c r="C48" s="8">
        <v>507.0</v>
      </c>
      <c r="D48" s="8">
        <v>1208.0</v>
      </c>
      <c r="E48" s="19">
        <v>0.58</v>
      </c>
      <c r="F48" s="10">
        <v>4.1</v>
      </c>
      <c r="G48" s="11">
        <v>8131.0</v>
      </c>
      <c r="K48" s="17" t="str">
        <f>IFERROR(__xludf.DUMMYFUNCTION("""COMPUTED_VALUE"""),"Redmi 80 cm (32 inches) Android 11 Series HD Ready Smart LED TV | L32M6-RA/L32M7-RA (Black)")</f>
        <v>Redmi 80 cm (32 inches) Android 11 Series HD Ready Smart LED TV | L32M6-RA/L32M7-RA (Black)</v>
      </c>
      <c r="L48" s="17" t="str">
        <f>IFERROR(__xludf.DUMMYFUNCTION("""COMPUTED_VALUE"""),"Electronics|HomeTheater,TV&amp;Video|Televisions|SmartTelevisions")</f>
        <v>Electronics|HomeTheater,TV&amp;Video|Televisions|SmartTelevisions</v>
      </c>
      <c r="M48" s="23">
        <f>IFERROR(__xludf.DUMMYFUNCTION("""COMPUTED_VALUE"""),13999.0)</f>
        <v>13999</v>
      </c>
      <c r="N48" s="23">
        <f>IFERROR(__xludf.DUMMYFUNCTION("""COMPUTED_VALUE"""),24999.0)</f>
        <v>24999</v>
      </c>
      <c r="O48" s="24">
        <f>IFERROR(__xludf.DUMMYFUNCTION("""COMPUTED_VALUE"""),0.44)</f>
        <v>0.44</v>
      </c>
      <c r="P48" s="17">
        <f>IFERROR(__xludf.DUMMYFUNCTION("""COMPUTED_VALUE"""),4.2)</f>
        <v>4.2</v>
      </c>
      <c r="Q48" s="25">
        <f>IFERROR(__xludf.DUMMYFUNCTION("""COMPUTED_VALUE"""),45238.0)</f>
        <v>45238</v>
      </c>
    </row>
    <row r="49">
      <c r="A49" s="7" t="s">
        <v>69</v>
      </c>
      <c r="B49" s="7" t="s">
        <v>31</v>
      </c>
      <c r="C49" s="8">
        <v>309.0</v>
      </c>
      <c r="D49" s="8">
        <v>475.0</v>
      </c>
      <c r="E49" s="19">
        <v>0.35</v>
      </c>
      <c r="F49" s="10">
        <v>4.4</v>
      </c>
      <c r="G49" s="7" t="s">
        <v>32</v>
      </c>
      <c r="K49" s="17" t="str">
        <f>IFERROR(__xludf.DUMMYFUNCTION("""COMPUTED_VALUE"""),"Amazon Basics High-Speed HDMI Cable, 6 Feet (2-Pack),Black")</f>
        <v>Amazon Basics High-Speed HDMI Cable, 6 Feet (2-Pack),Black</v>
      </c>
      <c r="L49" s="17" t="str">
        <f>IFERROR(__xludf.DUMMYFUNCTION("""COMPUTED_VALUE"""),"Electronics|HomeTheater,TV&amp;Video|Accessories|Cables|HDMICables")</f>
        <v>Electronics|HomeTheater,TV&amp;Video|Accessories|Cables|HDMICables</v>
      </c>
      <c r="M49" s="23">
        <f>IFERROR(__xludf.DUMMYFUNCTION("""COMPUTED_VALUE"""),309.0)</f>
        <v>309</v>
      </c>
      <c r="N49" s="23">
        <f>IFERROR(__xludf.DUMMYFUNCTION("""COMPUTED_VALUE"""),1400.0)</f>
        <v>1400</v>
      </c>
      <c r="O49" s="24">
        <f>IFERROR(__xludf.DUMMYFUNCTION("""COMPUTED_VALUE"""),0.78)</f>
        <v>0.78</v>
      </c>
      <c r="P49" s="17">
        <f>IFERROR(__xludf.DUMMYFUNCTION("""COMPUTED_VALUE"""),4.4)</f>
        <v>4.4</v>
      </c>
      <c r="Q49" s="17" t="str">
        <f>IFERROR(__xludf.DUMMYFUNCTION("""COMPUTED_VALUE"""),"4,26,973")</f>
        <v>4,26,973</v>
      </c>
    </row>
    <row r="50">
      <c r="A50" s="7" t="s">
        <v>70</v>
      </c>
      <c r="B50" s="7" t="s">
        <v>71</v>
      </c>
      <c r="C50" s="8">
        <v>399.0</v>
      </c>
      <c r="D50" s="8">
        <v>999.0</v>
      </c>
      <c r="E50" s="19">
        <v>0.6</v>
      </c>
      <c r="F50" s="10">
        <v>3.6</v>
      </c>
      <c r="G50" s="10">
        <v>493.0</v>
      </c>
      <c r="K50" s="17" t="str">
        <f>IFERROR(__xludf.DUMMYFUNCTION("""COMPUTED_VALUE"""),"Portronics Konnect L 20W PD Quick Charge Type-C to 8-Pin USB Mobile Charging Cable, 1.2M, Tangle Resistant, Fast Data Sync(Grey)")</f>
        <v>Portronics Konnect L 20W PD Quick Charge Type-C to 8-Pin USB Mobile Charging Cable, 1.2M, Tangle Resistant, Fast Data Sync(Grey)</v>
      </c>
      <c r="L50" s="17" t="str">
        <f>IFERROR(__xludf.DUMMYFUNCTION("""COMPUTED_VALUE"""),"Computers&amp;Accessories|Accessories&amp;Peripherals|Cables&amp;Accessories|Cables|USBCables")</f>
        <v>Computers&amp;Accessories|Accessories&amp;Peripherals|Cables&amp;Accessories|Cables|USBCables</v>
      </c>
      <c r="M50" s="23">
        <f>IFERROR(__xludf.DUMMYFUNCTION("""COMPUTED_VALUE"""),263.0)</f>
        <v>263</v>
      </c>
      <c r="N50" s="23">
        <f>IFERROR(__xludf.DUMMYFUNCTION("""COMPUTED_VALUE"""),699.0)</f>
        <v>699</v>
      </c>
      <c r="O50" s="24">
        <f>IFERROR(__xludf.DUMMYFUNCTION("""COMPUTED_VALUE"""),0.62)</f>
        <v>0.62</v>
      </c>
      <c r="P50" s="17">
        <f>IFERROR(__xludf.DUMMYFUNCTION("""COMPUTED_VALUE"""),4.1)</f>
        <v>4.1</v>
      </c>
      <c r="Q50" s="17">
        <f>IFERROR(__xludf.DUMMYFUNCTION("""COMPUTED_VALUE"""),450.0)</f>
        <v>450</v>
      </c>
    </row>
    <row r="51">
      <c r="A51" s="7" t="s">
        <v>72</v>
      </c>
      <c r="B51" s="7" t="s">
        <v>15</v>
      </c>
      <c r="C51" s="8">
        <v>199.0</v>
      </c>
      <c r="D51" s="8">
        <v>395.0</v>
      </c>
      <c r="E51" s="19">
        <v>0.5</v>
      </c>
      <c r="F51" s="10">
        <v>4.2</v>
      </c>
      <c r="G51" s="11">
        <v>92595.0</v>
      </c>
      <c r="K51" s="17" t="str">
        <f>IFERROR(__xludf.DUMMYFUNCTION("""COMPUTED_VALUE"""),"Acer 80 cm (32 inches) N Series HD Ready TV AR32NSV53HD (Black)")</f>
        <v>Acer 80 cm (32 inches) N Series HD Ready TV AR32NSV53HD (Black)</v>
      </c>
      <c r="L51" s="17" t="str">
        <f>IFERROR(__xludf.DUMMYFUNCTION("""COMPUTED_VALUE"""),"Electronics|HomeTheater,TV&amp;Video|Televisions|StandardTelevisions")</f>
        <v>Electronics|HomeTheater,TV&amp;Video|Televisions|StandardTelevisions</v>
      </c>
      <c r="M51" s="23">
        <f>IFERROR(__xludf.DUMMYFUNCTION("""COMPUTED_VALUE"""),7999.0)</f>
        <v>7999</v>
      </c>
      <c r="N51" s="23">
        <f>IFERROR(__xludf.DUMMYFUNCTION("""COMPUTED_VALUE"""),14990.0)</f>
        <v>14990</v>
      </c>
      <c r="O51" s="24">
        <f>IFERROR(__xludf.DUMMYFUNCTION("""COMPUTED_VALUE"""),0.47)</f>
        <v>0.47</v>
      </c>
      <c r="P51" s="17">
        <f>IFERROR(__xludf.DUMMYFUNCTION("""COMPUTED_VALUE"""),4.3)</f>
        <v>4.3</v>
      </c>
      <c r="Q51" s="17">
        <f>IFERROR(__xludf.DUMMYFUNCTION("""COMPUTED_VALUE"""),457.0)</f>
        <v>457</v>
      </c>
    </row>
    <row r="52">
      <c r="A52" s="7" t="s">
        <v>73</v>
      </c>
      <c r="B52" s="7" t="s">
        <v>25</v>
      </c>
      <c r="C52" s="8">
        <v>1199.0</v>
      </c>
      <c r="D52" s="8">
        <v>2199.0</v>
      </c>
      <c r="E52" s="19">
        <v>0.45</v>
      </c>
      <c r="F52" s="10">
        <v>4.4</v>
      </c>
      <c r="G52" s="11">
        <v>24780.0</v>
      </c>
      <c r="K52" s="17" t="str">
        <f>IFERROR(__xludf.DUMMYFUNCTION("""COMPUTED_VALUE"""),"Model-P4 6 Way Swivel Tilt Wall Mount 32-55-inch Full Motion Cantilever for LED,LCD and Plasma TV's")</f>
        <v>Model-P4 6 Way Swivel Tilt Wall Mount 32-55-inch Full Motion Cantilever for LED,LCD and Plasma TV's</v>
      </c>
      <c r="L52" s="17" t="str">
        <f>IFERROR(__xludf.DUMMYFUNCTION("""COMPUTED_VALUE"""),"Electronics|HomeTheater,TV&amp;Video|Accessories|TVMounts,Stands&amp;Turntables|TVWall&amp;CeilingMounts")</f>
        <v>Electronics|HomeTheater,TV&amp;Video|Accessories|TVMounts,Stands&amp;Turntables|TVWall&amp;CeilingMounts</v>
      </c>
      <c r="M52" s="23">
        <f>IFERROR(__xludf.DUMMYFUNCTION("""COMPUTED_VALUE"""),1599.0)</f>
        <v>1599</v>
      </c>
      <c r="N52" s="23">
        <f>IFERROR(__xludf.DUMMYFUNCTION("""COMPUTED_VALUE"""),2999.0)</f>
        <v>2999</v>
      </c>
      <c r="O52" s="24">
        <f>IFERROR(__xludf.DUMMYFUNCTION("""COMPUTED_VALUE"""),0.47)</f>
        <v>0.47</v>
      </c>
      <c r="P52" s="17">
        <f>IFERROR(__xludf.DUMMYFUNCTION("""COMPUTED_VALUE"""),4.2)</f>
        <v>4.2</v>
      </c>
      <c r="Q52" s="25">
        <f>IFERROR(__xludf.DUMMYFUNCTION("""COMPUTED_VALUE"""),2727.0)</f>
        <v>2727</v>
      </c>
    </row>
    <row r="53">
      <c r="A53" s="7" t="s">
        <v>74</v>
      </c>
      <c r="B53" s="7" t="s">
        <v>15</v>
      </c>
      <c r="C53" s="8">
        <v>179.0</v>
      </c>
      <c r="D53" s="8">
        <v>500.0</v>
      </c>
      <c r="E53" s="19">
        <v>0.64</v>
      </c>
      <c r="F53" s="10">
        <v>4.2</v>
      </c>
      <c r="G53" s="11">
        <v>92595.0</v>
      </c>
      <c r="K53" s="17" t="str">
        <f>IFERROR(__xludf.DUMMYFUNCTION("""COMPUTED_VALUE"""),"Amazon Basics USB Type-C to USB-A 2.0 Male Fast Charging Cable for Laptop - 3 Feet (0.9 Meters), Black")</f>
        <v>Amazon Basics USB Type-C to USB-A 2.0 Male Fast Charging Cable for Laptop - 3 Feet (0.9 Meters), Black</v>
      </c>
      <c r="L53" s="17" t="str">
        <f>IFERROR(__xludf.DUMMYFUNCTION("""COMPUTED_VALUE"""),"Computers&amp;Accessories|Accessories&amp;Peripherals|Cables&amp;Accessories|Cables|USBCables")</f>
        <v>Computers&amp;Accessories|Accessories&amp;Peripherals|Cables&amp;Accessories|Cables|USBCables</v>
      </c>
      <c r="M53" s="23">
        <f>IFERROR(__xludf.DUMMYFUNCTION("""COMPUTED_VALUE"""),219.0)</f>
        <v>219</v>
      </c>
      <c r="N53" s="23">
        <f>IFERROR(__xludf.DUMMYFUNCTION("""COMPUTED_VALUE"""),700.0)</f>
        <v>700</v>
      </c>
      <c r="O53" s="24">
        <f>IFERROR(__xludf.DUMMYFUNCTION("""COMPUTED_VALUE"""),0.69)</f>
        <v>0.69</v>
      </c>
      <c r="P53" s="17">
        <f>IFERROR(__xludf.DUMMYFUNCTION("""COMPUTED_VALUE"""),4.3)</f>
        <v>4.3</v>
      </c>
      <c r="Q53" s="25">
        <f>IFERROR(__xludf.DUMMYFUNCTION("""COMPUTED_VALUE"""),20053.0)</f>
        <v>20053</v>
      </c>
    </row>
    <row r="54">
      <c r="A54" s="7" t="s">
        <v>75</v>
      </c>
      <c r="B54" s="7" t="s">
        <v>15</v>
      </c>
      <c r="C54" s="8">
        <v>799.0</v>
      </c>
      <c r="D54" s="8">
        <v>2100.0</v>
      </c>
      <c r="E54" s="19">
        <v>0.62</v>
      </c>
      <c r="F54" s="10">
        <v>4.3</v>
      </c>
      <c r="G54" s="11">
        <v>8188.0</v>
      </c>
      <c r="K54" s="17" t="str">
        <f>IFERROR(__xludf.DUMMYFUNCTION("""COMPUTED_VALUE"""),"oraimo 65W Type C to C Fast Charging Cable USB C to USB C Cable High Speed Syncing, Nylon Braided 1M length with LED Indicator Compatible For Laptop, Macbook, Samsung Galaxy S22 S20 S10 S20Fe S21 S21 Ultra A70 A51 A71 A50S M31 M51 M31S M53 5G")</f>
        <v>oraimo 65W Type C to C Fast Charging Cable USB C to USB C Cable High Speed Syncing, Nylon Braided 1M length with LED Indicator Compatible For Laptop, Macbook, Samsung Galaxy S22 S20 S10 S20Fe S21 S21 Ultra A70 A51 A71 A50S M31 M51 M31S M53 5G</v>
      </c>
      <c r="L54" s="17" t="str">
        <f>IFERROR(__xludf.DUMMYFUNCTION("""COMPUTED_VALUE"""),"Computers&amp;Accessories|Accessories&amp;Peripherals|Cables&amp;Accessories|Cables|USBCables")</f>
        <v>Computers&amp;Accessories|Accessories&amp;Peripherals|Cables&amp;Accessories|Cables|USBCables</v>
      </c>
      <c r="M54" s="23">
        <f>IFERROR(__xludf.DUMMYFUNCTION("""COMPUTED_VALUE"""),349.0)</f>
        <v>349</v>
      </c>
      <c r="N54" s="23">
        <f>IFERROR(__xludf.DUMMYFUNCTION("""COMPUTED_VALUE"""),899.0)</f>
        <v>899</v>
      </c>
      <c r="O54" s="24">
        <f>IFERROR(__xludf.DUMMYFUNCTION("""COMPUTED_VALUE"""),0.61)</f>
        <v>0.61</v>
      </c>
      <c r="P54" s="17">
        <f>IFERROR(__xludf.DUMMYFUNCTION("""COMPUTED_VALUE"""),4.5)</f>
        <v>4.5</v>
      </c>
      <c r="Q54" s="17">
        <f>IFERROR(__xludf.DUMMYFUNCTION("""COMPUTED_VALUE"""),149.0)</f>
        <v>149</v>
      </c>
    </row>
    <row r="55">
      <c r="A55" s="7" t="s">
        <v>76</v>
      </c>
      <c r="B55" s="7" t="s">
        <v>77</v>
      </c>
      <c r="C55" s="8">
        <v>6999.0</v>
      </c>
      <c r="D55" s="8">
        <v>12999.0</v>
      </c>
      <c r="E55" s="19">
        <v>0.46</v>
      </c>
      <c r="F55" s="10">
        <v>4.2</v>
      </c>
      <c r="G55" s="11">
        <v>4003.0</v>
      </c>
      <c r="K55" s="17" t="str">
        <f>IFERROR(__xludf.DUMMYFUNCTION("""COMPUTED_VALUE"""),"CEDO 65W OnePlus Dash Warp Charge Cable, USB A to Type C Data Sync Fast Charging Cable Compatible with One Plus 3 /3T /5 /5T /6 /6T /7 /7T /7 pro &amp; for All Type C Devices - 1 Meter, Red")</f>
        <v>CEDO 65W OnePlus Dash Warp Charge Cable, USB A to Type C Data Sync Fast Charging Cable Compatible with One Plus 3 /3T /5 /5T /6 /6T /7 /7T /7 pro &amp; for All Type C Devices - 1 Meter, Red</v>
      </c>
      <c r="L55" s="17" t="str">
        <f>IFERROR(__xludf.DUMMYFUNCTION("""COMPUTED_VALUE"""),"Computers&amp;Accessories|Accessories&amp;Peripherals|Cables&amp;Accessories|Cables|USBCables")</f>
        <v>Computers&amp;Accessories|Accessories&amp;Peripherals|Cables&amp;Accessories|Cables|USBCables</v>
      </c>
      <c r="M55" s="23">
        <f>IFERROR(__xludf.DUMMYFUNCTION("""COMPUTED_VALUE"""),349.0)</f>
        <v>349</v>
      </c>
      <c r="N55" s="23">
        <f>IFERROR(__xludf.DUMMYFUNCTION("""COMPUTED_VALUE"""),599.0)</f>
        <v>599</v>
      </c>
      <c r="O55" s="24">
        <f>IFERROR(__xludf.DUMMYFUNCTION("""COMPUTED_VALUE"""),0.42)</f>
        <v>0.42</v>
      </c>
      <c r="P55" s="17">
        <f>IFERROR(__xludf.DUMMYFUNCTION("""COMPUTED_VALUE"""),4.1)</f>
        <v>4.1</v>
      </c>
      <c r="Q55" s="17">
        <f>IFERROR(__xludf.DUMMYFUNCTION("""COMPUTED_VALUE"""),210.0)</f>
        <v>210</v>
      </c>
    </row>
    <row r="56">
      <c r="A56" s="7" t="s">
        <v>78</v>
      </c>
      <c r="B56" s="7" t="s">
        <v>15</v>
      </c>
      <c r="C56" s="8">
        <v>199.0</v>
      </c>
      <c r="D56" s="8">
        <v>349.0</v>
      </c>
      <c r="E56" s="19">
        <v>0.43</v>
      </c>
      <c r="F56" s="10">
        <v>4.1</v>
      </c>
      <c r="G56" s="10">
        <v>314.0</v>
      </c>
      <c r="K56" s="17" t="str">
        <f>IFERROR(__xludf.DUMMYFUNCTION("""COMPUTED_VALUE"""),"Redmi 108 cm (43 inches) 4K Ultra HD Android Smart LED TV X43 | L43R7-7AIN (Black)")</f>
        <v>Redmi 108 cm (43 inches) 4K Ultra HD Android Smart LED TV X43 | L43R7-7AIN (Black)</v>
      </c>
      <c r="L56" s="17" t="str">
        <f>IFERROR(__xludf.DUMMYFUNCTION("""COMPUTED_VALUE"""),"Electronics|HomeTheater,TV&amp;Video|Televisions|SmartTelevisions")</f>
        <v>Electronics|HomeTheater,TV&amp;Video|Televisions|SmartTelevisions</v>
      </c>
      <c r="M56" s="23">
        <f>IFERROR(__xludf.DUMMYFUNCTION("""COMPUTED_VALUE"""),26999.0)</f>
        <v>26999</v>
      </c>
      <c r="N56" s="23">
        <f>IFERROR(__xludf.DUMMYFUNCTION("""COMPUTED_VALUE"""),42999.0)</f>
        <v>42999</v>
      </c>
      <c r="O56" s="24">
        <f>IFERROR(__xludf.DUMMYFUNCTION("""COMPUTED_VALUE"""),0.37)</f>
        <v>0.37</v>
      </c>
      <c r="P56" s="17">
        <f>IFERROR(__xludf.DUMMYFUNCTION("""COMPUTED_VALUE"""),4.2)</f>
        <v>4.2</v>
      </c>
      <c r="Q56" s="25">
        <f>IFERROR(__xludf.DUMMYFUNCTION("""COMPUTED_VALUE"""),45238.0)</f>
        <v>45238</v>
      </c>
    </row>
    <row r="57">
      <c r="A57" s="7" t="s">
        <v>79</v>
      </c>
      <c r="B57" s="7" t="s">
        <v>71</v>
      </c>
      <c r="C57" s="8">
        <v>230.0</v>
      </c>
      <c r="D57" s="8">
        <v>499.0</v>
      </c>
      <c r="E57" s="19">
        <v>0.54</v>
      </c>
      <c r="F57" s="10">
        <v>3.7</v>
      </c>
      <c r="G57" s="11">
        <v>2960.0</v>
      </c>
      <c r="K57" s="17" t="str">
        <f>IFERROR(__xludf.DUMMYFUNCTION("""COMPUTED_VALUE"""),"boAt Type C A750 Stress Resistant, Tangle-free, Sturdy Flat Cable with 6.5A Fast Charging &amp; 480Mbps Data Transmission, 10000+ Bends Lifespan and Extended 1.5m Length(Rebellious Black)")</f>
        <v>boAt Type C A750 Stress Resistant, Tangle-free, Sturdy Flat Cable with 6.5A Fast Charging &amp; 480Mbps Data Transmission, 10000+ Bends Lifespan and Extended 1.5m Length(Rebellious Black)</v>
      </c>
      <c r="L57" s="17" t="str">
        <f>IFERROR(__xludf.DUMMYFUNCTION("""COMPUTED_VALUE"""),"Computers&amp;Accessories|Accessories&amp;Peripherals|Cables&amp;Accessories|Cables|USBCables")</f>
        <v>Computers&amp;Accessories|Accessories&amp;Peripherals|Cables&amp;Accessories|Cables|USBCables</v>
      </c>
      <c r="M57" s="23">
        <f>IFERROR(__xludf.DUMMYFUNCTION("""COMPUTED_VALUE"""),399.0)</f>
        <v>399</v>
      </c>
      <c r="N57" s="23">
        <f>IFERROR(__xludf.DUMMYFUNCTION("""COMPUTED_VALUE"""),999.0)</f>
        <v>999</v>
      </c>
      <c r="O57" s="24">
        <f>IFERROR(__xludf.DUMMYFUNCTION("""COMPUTED_VALUE"""),0.6)</f>
        <v>0.6</v>
      </c>
      <c r="P57" s="17">
        <f>IFERROR(__xludf.DUMMYFUNCTION("""COMPUTED_VALUE"""),4.1)</f>
        <v>4.1</v>
      </c>
      <c r="Q57" s="25">
        <f>IFERROR(__xludf.DUMMYFUNCTION("""COMPUTED_VALUE"""),1780.0)</f>
        <v>1780</v>
      </c>
    </row>
    <row r="58">
      <c r="A58" s="7" t="s">
        <v>80</v>
      </c>
      <c r="B58" s="7" t="s">
        <v>25</v>
      </c>
      <c r="C58" s="8">
        <v>649.0</v>
      </c>
      <c r="D58" s="8">
        <v>1399.0</v>
      </c>
      <c r="E58" s="19">
        <v>0.54</v>
      </c>
      <c r="F58" s="10">
        <v>4.2</v>
      </c>
      <c r="G58" s="7" t="s">
        <v>26</v>
      </c>
      <c r="K58" s="17" t="str">
        <f>IFERROR(__xludf.DUMMYFUNCTION("""COMPUTED_VALUE"""),"Ambrane 2 in 1 Type-C &amp; Micro USB Cable with 60W / 3A Fast Charging, 480 mbps High Data, PD Technology &amp; Quick Charge 3.0, Compatible with All Type-C &amp; Micro USB Devices (ABDC-10, Black)")</f>
        <v>Ambrane 2 in 1 Type-C &amp; Micro USB Cable with 60W / 3A Fast Charging, 480 mbps High Data, PD Technology &amp; Quick Charge 3.0, Compatible with All Type-C &amp; Micro USB Devices (ABDC-10, Black)</v>
      </c>
      <c r="L58" s="17" t="str">
        <f>IFERROR(__xludf.DUMMYFUNCTION("""COMPUTED_VALUE"""),"Computers&amp;Accessories|Accessories&amp;Peripherals|Cables&amp;Accessories|Cables|USBCables")</f>
        <v>Computers&amp;Accessories|Accessories&amp;Peripherals|Cables&amp;Accessories|Cables|USBCables</v>
      </c>
      <c r="M58" s="23">
        <f>IFERROR(__xludf.DUMMYFUNCTION("""COMPUTED_VALUE"""),199.0)</f>
        <v>199</v>
      </c>
      <c r="N58" s="23">
        <f>IFERROR(__xludf.DUMMYFUNCTION("""COMPUTED_VALUE"""),499.0)</f>
        <v>499</v>
      </c>
      <c r="O58" s="24">
        <f>IFERROR(__xludf.DUMMYFUNCTION("""COMPUTED_VALUE"""),0.6)</f>
        <v>0.6</v>
      </c>
      <c r="P58" s="17">
        <f>IFERROR(__xludf.DUMMYFUNCTION("""COMPUTED_VALUE"""),4.1)</f>
        <v>4.1</v>
      </c>
      <c r="Q58" s="17">
        <f>IFERROR(__xludf.DUMMYFUNCTION("""COMPUTED_VALUE"""),602.0)</f>
        <v>602</v>
      </c>
    </row>
    <row r="59">
      <c r="A59" s="7" t="s">
        <v>81</v>
      </c>
      <c r="B59" s="7" t="s">
        <v>37</v>
      </c>
      <c r="C59" s="8">
        <v>15999.0</v>
      </c>
      <c r="D59" s="8">
        <v>21999.0</v>
      </c>
      <c r="E59" s="19">
        <v>0.27</v>
      </c>
      <c r="F59" s="10">
        <v>4.2</v>
      </c>
      <c r="G59" s="11">
        <v>34899.0</v>
      </c>
      <c r="K59" s="17" t="str">
        <f>IFERROR(__xludf.DUMMYFUNCTION("""COMPUTED_VALUE"""),"TCL 80 cm (32 inches) HD Ready Certified Android Smart LED TV 32S5205 (Black)")</f>
        <v>TCL 80 cm (32 inches) HD Ready Certified Android Smart LED TV 32S5205 (Black)</v>
      </c>
      <c r="L59" s="17" t="str">
        <f>IFERROR(__xludf.DUMMYFUNCTION("""COMPUTED_VALUE"""),"Electronics|HomeTheater,TV&amp;Video|Televisions|SmartTelevisions")</f>
        <v>Electronics|HomeTheater,TV&amp;Video|Televisions|SmartTelevisions</v>
      </c>
      <c r="M59" s="23">
        <f>IFERROR(__xludf.DUMMYFUNCTION("""COMPUTED_VALUE"""),10901.0)</f>
        <v>10901</v>
      </c>
      <c r="N59" s="23">
        <f>IFERROR(__xludf.DUMMYFUNCTION("""COMPUTED_VALUE"""),30990.0)</f>
        <v>30990</v>
      </c>
      <c r="O59" s="24">
        <f>IFERROR(__xludf.DUMMYFUNCTION("""COMPUTED_VALUE"""),0.65)</f>
        <v>0.65</v>
      </c>
      <c r="P59" s="17">
        <f>IFERROR(__xludf.DUMMYFUNCTION("""COMPUTED_VALUE"""),4.1)</f>
        <v>4.1</v>
      </c>
      <c r="Q59" s="17">
        <f>IFERROR(__xludf.DUMMYFUNCTION("""COMPUTED_VALUE"""),398.0)</f>
        <v>398</v>
      </c>
    </row>
    <row r="60">
      <c r="A60" s="7" t="s">
        <v>82</v>
      </c>
      <c r="B60" s="7" t="s">
        <v>15</v>
      </c>
      <c r="C60" s="8">
        <v>348.0</v>
      </c>
      <c r="D60" s="8">
        <v>1499.0</v>
      </c>
      <c r="E60" s="19">
        <v>0.77</v>
      </c>
      <c r="F60" s="10">
        <v>4.2</v>
      </c>
      <c r="G60" s="10">
        <v>656.0</v>
      </c>
      <c r="K60" s="17" t="str">
        <f>IFERROR(__xludf.DUMMYFUNCTION("""COMPUTED_VALUE"""),"Wayona Usb Nylon Braided Data Sync And Charging Cable For Iphone, Ipad Tablet (Red, Black)")</f>
        <v>Wayona Usb Nylon Braided Data Sync And Charging Cable For Iphone, Ipad Tablet (Red, Black)</v>
      </c>
      <c r="L60" s="17" t="str">
        <f>IFERROR(__xludf.DUMMYFUNCTION("""COMPUTED_VALUE"""),"Computers&amp;Accessories|Accessories&amp;Peripherals|Cables&amp;Accessories|Cables|USBCables")</f>
        <v>Computers&amp;Accessories|Accessories&amp;Peripherals|Cables&amp;Accessories|Cables|USBCables</v>
      </c>
      <c r="M60" s="23">
        <f>IFERROR(__xludf.DUMMYFUNCTION("""COMPUTED_VALUE"""),399.0)</f>
        <v>399</v>
      </c>
      <c r="N60" s="23">
        <f>IFERROR(__xludf.DUMMYFUNCTION("""COMPUTED_VALUE"""),1099.0)</f>
        <v>1099</v>
      </c>
      <c r="O60" s="24">
        <f>IFERROR(__xludf.DUMMYFUNCTION("""COMPUTED_VALUE"""),0.64)</f>
        <v>0.64</v>
      </c>
      <c r="P60" s="17">
        <f>IFERROR(__xludf.DUMMYFUNCTION("""COMPUTED_VALUE"""),4.2)</f>
        <v>4.2</v>
      </c>
      <c r="Q60" s="25">
        <f>IFERROR(__xludf.DUMMYFUNCTION("""COMPUTED_VALUE"""),24269.0)</f>
        <v>24269</v>
      </c>
    </row>
    <row r="61">
      <c r="A61" s="7" t="s">
        <v>83</v>
      </c>
      <c r="B61" s="7" t="s">
        <v>15</v>
      </c>
      <c r="C61" s="8">
        <v>154.0</v>
      </c>
      <c r="D61" s="8">
        <v>349.0</v>
      </c>
      <c r="E61" s="19">
        <v>0.56</v>
      </c>
      <c r="F61" s="10">
        <v>4.3</v>
      </c>
      <c r="G61" s="11">
        <v>7064.0</v>
      </c>
      <c r="K61" s="17" t="str">
        <f>IFERROR(__xludf.DUMMYFUNCTION("""COMPUTED_VALUE"""),"boAt A 350 Type C Cable for Smartphone, Charging Adapter (1.5m, Carbon Black)")</f>
        <v>boAt A 350 Type C Cable for Smartphone, Charging Adapter (1.5m, Carbon Black)</v>
      </c>
      <c r="L61" s="17" t="str">
        <f>IFERROR(__xludf.DUMMYFUNCTION("""COMPUTED_VALUE"""),"Computers&amp;Accessories|Accessories&amp;Peripherals|Cables&amp;Accessories|Cables|USBCables")</f>
        <v>Computers&amp;Accessories|Accessories&amp;Peripherals|Cables&amp;Accessories|Cables|USBCables</v>
      </c>
      <c r="M61" s="23">
        <f>IFERROR(__xludf.DUMMYFUNCTION("""COMPUTED_VALUE"""),299.0)</f>
        <v>299</v>
      </c>
      <c r="N61" s="23">
        <f>IFERROR(__xludf.DUMMYFUNCTION("""COMPUTED_VALUE"""),799.0)</f>
        <v>799</v>
      </c>
      <c r="O61" s="24">
        <f>IFERROR(__xludf.DUMMYFUNCTION("""COMPUTED_VALUE"""),0.63)</f>
        <v>0.63</v>
      </c>
      <c r="P61" s="17">
        <f>IFERROR(__xludf.DUMMYFUNCTION("""COMPUTED_VALUE"""),4.4)</f>
        <v>4.4</v>
      </c>
      <c r="Q61" s="25">
        <f>IFERROR(__xludf.DUMMYFUNCTION("""COMPUTED_VALUE"""),28791.0)</f>
        <v>28791</v>
      </c>
    </row>
    <row r="62">
      <c r="A62" s="7" t="s">
        <v>84</v>
      </c>
      <c r="B62" s="7" t="s">
        <v>71</v>
      </c>
      <c r="C62" s="8">
        <v>179.0</v>
      </c>
      <c r="D62" s="8">
        <v>799.0</v>
      </c>
      <c r="E62" s="19">
        <v>0.78</v>
      </c>
      <c r="F62" s="10">
        <v>3.7</v>
      </c>
      <c r="G62" s="11">
        <v>2201.0</v>
      </c>
      <c r="K62" s="17" t="str">
        <f>IFERROR(__xludf.DUMMYFUNCTION("""COMPUTED_VALUE"""),"Wayona Usb Type C Fast Charger Cable Fast Charging Usb C Cable/Cord Compatible For Samsung Galaxy S10E S10 S9 S8 Plus S10+,Note 10 Note 9 Note 8,S20,M31S,M40,Realme X3,Pixel 2 Xl (3 Ft Pack Of 1,Grey)")</f>
        <v>Wayona Usb Type C Fast Charger Cable Fast Charging Usb C Cable/Cord Compatible For Samsung Galaxy S10E S10 S9 S8 Plus S10+,Note 10 Note 9 Note 8,S20,M31S,M40,Realme X3,Pixel 2 Xl (3 Ft Pack Of 1,Grey)</v>
      </c>
      <c r="L62" s="17" t="str">
        <f>IFERROR(__xludf.DUMMYFUNCTION("""COMPUTED_VALUE"""),"Computers&amp;Accessories|Accessories&amp;Peripherals|Cables&amp;Accessories|Cables|USBCables")</f>
        <v>Computers&amp;Accessories|Accessories&amp;Peripherals|Cables&amp;Accessories|Cables|USBCables</v>
      </c>
      <c r="M62" s="23">
        <f>IFERROR(__xludf.DUMMYFUNCTION("""COMPUTED_VALUE"""),325.0)</f>
        <v>325</v>
      </c>
      <c r="N62" s="23">
        <f>IFERROR(__xludf.DUMMYFUNCTION("""COMPUTED_VALUE"""),1299.0)</f>
        <v>1299</v>
      </c>
      <c r="O62" s="24">
        <f>IFERROR(__xludf.DUMMYFUNCTION("""COMPUTED_VALUE"""),0.75)</f>
        <v>0.75</v>
      </c>
      <c r="P62" s="17">
        <f>IFERROR(__xludf.DUMMYFUNCTION("""COMPUTED_VALUE"""),4.2)</f>
        <v>4.2</v>
      </c>
      <c r="Q62" s="25">
        <f>IFERROR(__xludf.DUMMYFUNCTION("""COMPUTED_VALUE"""),10576.0)</f>
        <v>10576</v>
      </c>
    </row>
    <row r="63">
      <c r="A63" s="7" t="s">
        <v>85</v>
      </c>
      <c r="B63" s="7" t="s">
        <v>37</v>
      </c>
      <c r="C63" s="8">
        <v>32990.0</v>
      </c>
      <c r="D63" s="8">
        <v>47900.0</v>
      </c>
      <c r="E63" s="19">
        <v>0.31</v>
      </c>
      <c r="F63" s="10">
        <v>4.3</v>
      </c>
      <c r="G63" s="11">
        <v>7109.0</v>
      </c>
      <c r="K63" s="17" t="str">
        <f>IFERROR(__xludf.DUMMYFUNCTION("""COMPUTED_VALUE"""),"OnePlus 108 cm (43 inches) Y Series 4K Ultra HD Smart Android LED TV 43Y1S Pro (Black)")</f>
        <v>OnePlus 108 cm (43 inches) Y Series 4K Ultra HD Smart Android LED TV 43Y1S Pro (Black)</v>
      </c>
      <c r="L63" s="17" t="str">
        <f>IFERROR(__xludf.DUMMYFUNCTION("""COMPUTED_VALUE"""),"Electronics|HomeTheater,TV&amp;Video|Televisions|SmartTelevisions")</f>
        <v>Electronics|HomeTheater,TV&amp;Video|Televisions|SmartTelevisions</v>
      </c>
      <c r="M63" s="23">
        <f>IFERROR(__xludf.DUMMYFUNCTION("""COMPUTED_VALUE"""),29999.0)</f>
        <v>29999</v>
      </c>
      <c r="N63" s="23">
        <f>IFERROR(__xludf.DUMMYFUNCTION("""COMPUTED_VALUE"""),39999.0)</f>
        <v>39999</v>
      </c>
      <c r="O63" s="24">
        <f>IFERROR(__xludf.DUMMYFUNCTION("""COMPUTED_VALUE"""),0.25)</f>
        <v>0.25</v>
      </c>
      <c r="P63" s="17">
        <f>IFERROR(__xludf.DUMMYFUNCTION("""COMPUTED_VALUE"""),4.2)</f>
        <v>4.2</v>
      </c>
      <c r="Q63" s="25">
        <f>IFERROR(__xludf.DUMMYFUNCTION("""COMPUTED_VALUE"""),7298.0)</f>
        <v>7298</v>
      </c>
    </row>
    <row r="64">
      <c r="A64" s="7" t="s">
        <v>86</v>
      </c>
      <c r="B64" s="7" t="s">
        <v>15</v>
      </c>
      <c r="C64" s="8">
        <v>139.0</v>
      </c>
      <c r="D64" s="8">
        <v>999.0</v>
      </c>
      <c r="E64" s="19">
        <v>0.86</v>
      </c>
      <c r="F64" s="10">
        <v>4.0</v>
      </c>
      <c r="G64" s="11">
        <v>1313.0</v>
      </c>
      <c r="K64" s="17" t="str">
        <f>IFERROR(__xludf.DUMMYFUNCTION("""COMPUTED_VALUE"""),"Acer 127 cm (50 inches) I Series 4K Ultra HD Android Smart LED TV AR50AR2851UDFL (Black)")</f>
        <v>Acer 127 cm (50 inches) I Series 4K Ultra HD Android Smart LED TV AR50AR2851UDFL (Black)</v>
      </c>
      <c r="L64" s="17" t="str">
        <f>IFERROR(__xludf.DUMMYFUNCTION("""COMPUTED_VALUE"""),"Electronics|HomeTheater,TV&amp;Video|Televisions|SmartTelevisions")</f>
        <v>Electronics|HomeTheater,TV&amp;Video|Televisions|SmartTelevisions</v>
      </c>
      <c r="M64" s="23">
        <f>IFERROR(__xludf.DUMMYFUNCTION("""COMPUTED_VALUE"""),27999.0)</f>
        <v>27999</v>
      </c>
      <c r="N64" s="23">
        <f>IFERROR(__xludf.DUMMYFUNCTION("""COMPUTED_VALUE"""),40990.0)</f>
        <v>40990</v>
      </c>
      <c r="O64" s="24">
        <f>IFERROR(__xludf.DUMMYFUNCTION("""COMPUTED_VALUE"""),0.32)</f>
        <v>0.32</v>
      </c>
      <c r="P64" s="17">
        <f>IFERROR(__xludf.DUMMYFUNCTION("""COMPUTED_VALUE"""),4.3)</f>
        <v>4.3</v>
      </c>
      <c r="Q64" s="25">
        <f>IFERROR(__xludf.DUMMYFUNCTION("""COMPUTED_VALUE"""),4703.0)</f>
        <v>4703</v>
      </c>
    </row>
    <row r="65">
      <c r="A65" s="7" t="s">
        <v>87</v>
      </c>
      <c r="B65" s="7" t="s">
        <v>15</v>
      </c>
      <c r="C65" s="8">
        <v>329.0</v>
      </c>
      <c r="D65" s="8">
        <v>845.0</v>
      </c>
      <c r="E65" s="19">
        <v>0.61</v>
      </c>
      <c r="F65" s="10">
        <v>4.2</v>
      </c>
      <c r="G65" s="11">
        <v>29746.0</v>
      </c>
      <c r="K65" s="17" t="str">
        <f>IFERROR(__xludf.DUMMYFUNCTION("""COMPUTED_VALUE"""),"Samsung 108 cm (43 inches) Crystal 4K Series Ultra HD Smart LED TV UA43AUE60AKLXL (Black)")</f>
        <v>Samsung 108 cm (43 inches) Crystal 4K Series Ultra HD Smart LED TV UA43AUE60AKLXL (Black)</v>
      </c>
      <c r="L65" s="17" t="str">
        <f>IFERROR(__xludf.DUMMYFUNCTION("""COMPUTED_VALUE"""),"Electronics|HomeTheater,TV&amp;Video|Televisions|SmartTelevisions")</f>
        <v>Electronics|HomeTheater,TV&amp;Video|Televisions|SmartTelevisions</v>
      </c>
      <c r="M65" s="23">
        <f>IFERROR(__xludf.DUMMYFUNCTION("""COMPUTED_VALUE"""),30990.0)</f>
        <v>30990</v>
      </c>
      <c r="N65" s="23">
        <f>IFERROR(__xludf.DUMMYFUNCTION("""COMPUTED_VALUE"""),52900.0)</f>
        <v>52900</v>
      </c>
      <c r="O65" s="24">
        <f>IFERROR(__xludf.DUMMYFUNCTION("""COMPUTED_VALUE"""),0.41)</f>
        <v>0.41</v>
      </c>
      <c r="P65" s="17">
        <f>IFERROR(__xludf.DUMMYFUNCTION("""COMPUTED_VALUE"""),4.3)</f>
        <v>4.3</v>
      </c>
      <c r="Q65" s="25">
        <f>IFERROR(__xludf.DUMMYFUNCTION("""COMPUTED_VALUE"""),7109.0)</f>
        <v>7109</v>
      </c>
    </row>
    <row r="66">
      <c r="A66" s="7" t="s">
        <v>88</v>
      </c>
      <c r="B66" s="7" t="s">
        <v>37</v>
      </c>
      <c r="C66" s="8">
        <v>13999.0</v>
      </c>
      <c r="D66" s="8">
        <v>24999.0</v>
      </c>
      <c r="E66" s="19">
        <v>0.44</v>
      </c>
      <c r="F66" s="10">
        <v>4.2</v>
      </c>
      <c r="G66" s="11">
        <v>45238.0</v>
      </c>
      <c r="K66" s="17" t="str">
        <f>IFERROR(__xludf.DUMMYFUNCTION("""COMPUTED_VALUE"""),"Lapster 65W compatible for OnePlus Dash Warp Charge Cable , type c to c cable fast charging Data Sync Cable Compatible with One Plus 10R / 9RT/ 9 pro/ 9R/ 8T/ 9/ Nord &amp; for All Type C Devices – Red, 1 Meter")</f>
        <v>Lapster 65W compatible for OnePlus Dash Warp Charge Cable , type c to c cable fast charging Data Sync Cable Compatible with One Plus 10R / 9RT/ 9 pro/ 9R/ 8T/ 9/ Nord &amp; for All Type C Devices – Red, 1 Meter</v>
      </c>
      <c r="L66" s="17" t="str">
        <f>IFERROR(__xludf.DUMMYFUNCTION("""COMPUTED_VALUE"""),"Computers&amp;Accessories|Accessories&amp;Peripherals|Cables&amp;Accessories|Cables|USBCables")</f>
        <v>Computers&amp;Accessories|Accessories&amp;Peripherals|Cables&amp;Accessories|Cables|USBCables</v>
      </c>
      <c r="M66" s="23">
        <f>IFERROR(__xludf.DUMMYFUNCTION("""COMPUTED_VALUE"""),199.0)</f>
        <v>199</v>
      </c>
      <c r="N66" s="23">
        <f>IFERROR(__xludf.DUMMYFUNCTION("""COMPUTED_VALUE"""),999.0)</f>
        <v>999</v>
      </c>
      <c r="O66" s="24">
        <f>IFERROR(__xludf.DUMMYFUNCTION("""COMPUTED_VALUE"""),0.8)</f>
        <v>0.8</v>
      </c>
      <c r="P66" s="17">
        <f>IFERROR(__xludf.DUMMYFUNCTION("""COMPUTED_VALUE"""),4.5)</f>
        <v>4.5</v>
      </c>
      <c r="Q66" s="17">
        <f>IFERROR(__xludf.DUMMYFUNCTION("""COMPUTED_VALUE"""),127.0)</f>
        <v>127</v>
      </c>
    </row>
    <row r="67">
      <c r="A67" s="7" t="s">
        <v>89</v>
      </c>
      <c r="B67" s="7" t="s">
        <v>31</v>
      </c>
      <c r="C67" s="8">
        <v>309.0</v>
      </c>
      <c r="D67" s="8">
        <v>1400.0</v>
      </c>
      <c r="E67" s="19">
        <v>0.78</v>
      </c>
      <c r="F67" s="10">
        <v>4.4</v>
      </c>
      <c r="G67" s="7" t="s">
        <v>32</v>
      </c>
      <c r="K67" s="17" t="str">
        <f>IFERROR(__xludf.DUMMYFUNCTION("""COMPUTED_VALUE"""),"Wayona Nylon Braided (2 Pack) Lightning Fast Usb Data Cable Fast Charger Cord For Iphone, Ipad Tablet (3 Ft Pack Of 2, Grey)")</f>
        <v>Wayona Nylon Braided (2 Pack) Lightning Fast Usb Data Cable Fast Charger Cord For Iphone, Ipad Tablet (3 Ft Pack Of 2, Grey)</v>
      </c>
      <c r="L67" s="17" t="str">
        <f>IFERROR(__xludf.DUMMYFUNCTION("""COMPUTED_VALUE"""),"Computers&amp;Accessories|Accessories&amp;Peripherals|Cables&amp;Accessories|Cables|USBCables")</f>
        <v>Computers&amp;Accessories|Accessories&amp;Peripherals|Cables&amp;Accessories|Cables|USBCables</v>
      </c>
      <c r="M67" s="23">
        <f>IFERROR(__xludf.DUMMYFUNCTION("""COMPUTED_VALUE"""),649.0)</f>
        <v>649</v>
      </c>
      <c r="N67" s="23">
        <f>IFERROR(__xludf.DUMMYFUNCTION("""COMPUTED_VALUE"""),1999.0)</f>
        <v>1999</v>
      </c>
      <c r="O67" s="24">
        <f>IFERROR(__xludf.DUMMYFUNCTION("""COMPUTED_VALUE"""),0.68)</f>
        <v>0.68</v>
      </c>
      <c r="P67" s="17">
        <f>IFERROR(__xludf.DUMMYFUNCTION("""COMPUTED_VALUE"""),4.2)</f>
        <v>4.2</v>
      </c>
      <c r="Q67" s="25">
        <f>IFERROR(__xludf.DUMMYFUNCTION("""COMPUTED_VALUE"""),24269.0)</f>
        <v>24269</v>
      </c>
    </row>
    <row r="68">
      <c r="A68" s="7" t="s">
        <v>90</v>
      </c>
      <c r="B68" s="7" t="s">
        <v>15</v>
      </c>
      <c r="C68" s="8">
        <v>263.0</v>
      </c>
      <c r="D68" s="8">
        <v>699.0</v>
      </c>
      <c r="E68" s="19">
        <v>0.62</v>
      </c>
      <c r="F68" s="10">
        <v>4.1</v>
      </c>
      <c r="G68" s="10">
        <v>450.0</v>
      </c>
      <c r="K68" s="17" t="str">
        <f>IFERROR(__xludf.DUMMYFUNCTION("""COMPUTED_VALUE"""),"OnePlus 108 cm (43 inches) Y Series Full HD Smart Android LED TV 43 Y1S (Black)")</f>
        <v>OnePlus 108 cm (43 inches) Y Series Full HD Smart Android LED TV 43 Y1S (Black)</v>
      </c>
      <c r="L68" s="17" t="str">
        <f>IFERROR(__xludf.DUMMYFUNCTION("""COMPUTED_VALUE"""),"Electronics|HomeTheater,TV&amp;Video|Televisions|SmartTelevisions")</f>
        <v>Electronics|HomeTheater,TV&amp;Video|Televisions|SmartTelevisions</v>
      </c>
      <c r="M68" s="23">
        <f>IFERROR(__xludf.DUMMYFUNCTION("""COMPUTED_VALUE"""),24999.0)</f>
        <v>24999</v>
      </c>
      <c r="N68" s="23">
        <f>IFERROR(__xludf.DUMMYFUNCTION("""COMPUTED_VALUE"""),31999.0)</f>
        <v>31999</v>
      </c>
      <c r="O68" s="24">
        <f>IFERROR(__xludf.DUMMYFUNCTION("""COMPUTED_VALUE"""),0.22)</f>
        <v>0.22</v>
      </c>
      <c r="P68" s="17">
        <f>IFERROR(__xludf.DUMMYFUNCTION("""COMPUTED_VALUE"""),4.2)</f>
        <v>4.2</v>
      </c>
      <c r="Q68" s="25">
        <f>IFERROR(__xludf.DUMMYFUNCTION("""COMPUTED_VALUE"""),34899.0)</f>
        <v>34899</v>
      </c>
    </row>
    <row r="69">
      <c r="A69" s="7" t="s">
        <v>91</v>
      </c>
      <c r="B69" s="7" t="s">
        <v>77</v>
      </c>
      <c r="C69" s="8">
        <v>7999.0</v>
      </c>
      <c r="D69" s="8">
        <v>14990.0</v>
      </c>
      <c r="E69" s="19">
        <v>0.47</v>
      </c>
      <c r="F69" s="10">
        <v>4.3</v>
      </c>
      <c r="G69" s="10">
        <v>457.0</v>
      </c>
      <c r="K69" s="17" t="str">
        <f>IFERROR(__xludf.DUMMYFUNCTION("""COMPUTED_VALUE"""),"boAt Deuce USB 300 2 in 1 Type-C &amp; Micro USB Stress Resistant, Sturdy Cable with 3A Fast Charging &amp; 480mbps Data Transmission, 10000+ Bends Lifespan and Extended 1.5m Length(Mercurial Black)")</f>
        <v>boAt Deuce USB 300 2 in 1 Type-C &amp; Micro USB Stress Resistant, Sturdy Cable with 3A Fast Charging &amp; 480mbps Data Transmission, 10000+ Bends Lifespan and Extended 1.5m Length(Mercurial Black)</v>
      </c>
      <c r="L69" s="17" t="str">
        <f>IFERROR(__xludf.DUMMYFUNCTION("""COMPUTED_VALUE"""),"Computers&amp;Accessories|Accessories&amp;Peripherals|Cables&amp;Accessories|Cables|USBCables")</f>
        <v>Computers&amp;Accessories|Accessories&amp;Peripherals|Cables&amp;Accessories|Cables|USBCables</v>
      </c>
      <c r="M69" s="23">
        <f>IFERROR(__xludf.DUMMYFUNCTION("""COMPUTED_VALUE"""),299.0)</f>
        <v>299</v>
      </c>
      <c r="N69" s="23">
        <f>IFERROR(__xludf.DUMMYFUNCTION("""COMPUTED_VALUE"""),699.0)</f>
        <v>699</v>
      </c>
      <c r="O69" s="24">
        <f>IFERROR(__xludf.DUMMYFUNCTION("""COMPUTED_VALUE"""),0.57)</f>
        <v>0.57</v>
      </c>
      <c r="P69" s="17">
        <f>IFERROR(__xludf.DUMMYFUNCTION("""COMPUTED_VALUE"""),4.2)</f>
        <v>4.2</v>
      </c>
      <c r="Q69" s="25">
        <f>IFERROR(__xludf.DUMMYFUNCTION("""COMPUTED_VALUE"""),94363.0)</f>
        <v>94363</v>
      </c>
    </row>
    <row r="70">
      <c r="A70" s="7" t="s">
        <v>92</v>
      </c>
      <c r="B70" s="7" t="s">
        <v>93</v>
      </c>
      <c r="C70" s="8">
        <v>1599.0</v>
      </c>
      <c r="D70" s="8">
        <v>2999.0</v>
      </c>
      <c r="E70" s="19">
        <v>0.47</v>
      </c>
      <c r="F70" s="10">
        <v>4.2</v>
      </c>
      <c r="G70" s="11">
        <v>2727.0</v>
      </c>
      <c r="K70" s="17" t="str">
        <f>IFERROR(__xludf.DUMMYFUNCTION("""COMPUTED_VALUE"""),"Lapster USB 3.0 A to Micro B SuperSpeed for hard disk cable - short cable")</f>
        <v>Lapster USB 3.0 A to Micro B SuperSpeed for hard disk cable - short cable</v>
      </c>
      <c r="L70" s="17" t="str">
        <f>IFERROR(__xludf.DUMMYFUNCTION("""COMPUTED_VALUE"""),"Computers&amp;Accessories|Accessories&amp;Peripherals|Cables&amp;Accessories|Cables|USBCables")</f>
        <v>Computers&amp;Accessories|Accessories&amp;Peripherals|Cables&amp;Accessories|Cables|USBCables</v>
      </c>
      <c r="M70" s="23">
        <f>IFERROR(__xludf.DUMMYFUNCTION("""COMPUTED_VALUE"""),199.0)</f>
        <v>199</v>
      </c>
      <c r="N70" s="23">
        <f>IFERROR(__xludf.DUMMYFUNCTION("""COMPUTED_VALUE"""),999.0)</f>
        <v>999</v>
      </c>
      <c r="O70" s="24">
        <f>IFERROR(__xludf.DUMMYFUNCTION("""COMPUTED_VALUE"""),0.8)</f>
        <v>0.8</v>
      </c>
      <c r="P70" s="17">
        <f>IFERROR(__xludf.DUMMYFUNCTION("""COMPUTED_VALUE"""),4.1)</f>
        <v>4.1</v>
      </c>
      <c r="Q70" s="17">
        <f>IFERROR(__xludf.DUMMYFUNCTION("""COMPUTED_VALUE"""),425.0)</f>
        <v>425</v>
      </c>
    </row>
    <row r="71">
      <c r="A71" s="7" t="s">
        <v>94</v>
      </c>
      <c r="B71" s="7" t="s">
        <v>15</v>
      </c>
      <c r="C71" s="8">
        <v>219.0</v>
      </c>
      <c r="D71" s="8">
        <v>700.0</v>
      </c>
      <c r="E71" s="19">
        <v>0.69</v>
      </c>
      <c r="F71" s="10">
        <v>4.3</v>
      </c>
      <c r="G71" s="11">
        <v>20053.0</v>
      </c>
      <c r="K71" s="17" t="str">
        <f>IFERROR(__xludf.DUMMYFUNCTION("""COMPUTED_VALUE"""),"TCL 100 cm (40 inches) Full HD Certified Android R Smart LED TV 40S6505 (Black)")</f>
        <v>TCL 100 cm (40 inches) Full HD Certified Android R Smart LED TV 40S6505 (Black)</v>
      </c>
      <c r="L71" s="17" t="str">
        <f>IFERROR(__xludf.DUMMYFUNCTION("""COMPUTED_VALUE"""),"Electronics|HomeTheater,TV&amp;Video|Televisions|SmartTelevisions")</f>
        <v>Electronics|HomeTheater,TV&amp;Video|Televisions|SmartTelevisions</v>
      </c>
      <c r="M71" s="23">
        <f>IFERROR(__xludf.DUMMYFUNCTION("""COMPUTED_VALUE"""),18990.0)</f>
        <v>18990</v>
      </c>
      <c r="N71" s="23">
        <f>IFERROR(__xludf.DUMMYFUNCTION("""COMPUTED_VALUE"""),40990.0)</f>
        <v>40990</v>
      </c>
      <c r="O71" s="24">
        <f>IFERROR(__xludf.DUMMYFUNCTION("""COMPUTED_VALUE"""),0.54)</f>
        <v>0.54</v>
      </c>
      <c r="P71" s="17">
        <f>IFERROR(__xludf.DUMMYFUNCTION("""COMPUTED_VALUE"""),4.2)</f>
        <v>4.2</v>
      </c>
      <c r="Q71" s="25">
        <f>IFERROR(__xludf.DUMMYFUNCTION("""COMPUTED_VALUE"""),6659.0)</f>
        <v>6659</v>
      </c>
    </row>
    <row r="72">
      <c r="A72" s="7" t="s">
        <v>95</v>
      </c>
      <c r="B72" s="7" t="s">
        <v>15</v>
      </c>
      <c r="C72" s="8">
        <v>349.0</v>
      </c>
      <c r="D72" s="8">
        <v>899.0</v>
      </c>
      <c r="E72" s="19">
        <v>0.61</v>
      </c>
      <c r="F72" s="10">
        <v>4.5</v>
      </c>
      <c r="G72" s="10">
        <v>149.0</v>
      </c>
      <c r="K72" s="17" t="str">
        <f>IFERROR(__xludf.DUMMYFUNCTION("""COMPUTED_VALUE"""),"TP-Link UE300 USB 3.0 to RJ45 Gigabit Ethernet Network Adapter - Plug and Play")</f>
        <v>TP-Link UE300 USB 3.0 to RJ45 Gigabit Ethernet Network Adapter - Plug and Play</v>
      </c>
      <c r="L72" s="17" t="str">
        <f>IFERROR(__xludf.DUMMYFUNCTION("""COMPUTED_VALUE"""),"Computers&amp;Accessories|NetworkingDevices|NetworkAdapters|WirelessUSBAdapters")</f>
        <v>Computers&amp;Accessories|NetworkingDevices|NetworkAdapters|WirelessUSBAdapters</v>
      </c>
      <c r="M72" s="23">
        <f>IFERROR(__xludf.DUMMYFUNCTION("""COMPUTED_VALUE"""),1099.0)</f>
        <v>1099</v>
      </c>
      <c r="N72" s="23">
        <f>IFERROR(__xludf.DUMMYFUNCTION("""COMPUTED_VALUE"""),1899.0)</f>
        <v>1899</v>
      </c>
      <c r="O72" s="24">
        <f>IFERROR(__xludf.DUMMYFUNCTION("""COMPUTED_VALUE"""),0.42)</f>
        <v>0.42</v>
      </c>
      <c r="P72" s="17">
        <f>IFERROR(__xludf.DUMMYFUNCTION("""COMPUTED_VALUE"""),4.5)</f>
        <v>4.5</v>
      </c>
      <c r="Q72" s="25">
        <f>IFERROR(__xludf.DUMMYFUNCTION("""COMPUTED_VALUE"""),22420.0)</f>
        <v>22420</v>
      </c>
    </row>
    <row r="73">
      <c r="A73" s="7" t="s">
        <v>96</v>
      </c>
      <c r="B73" s="7" t="s">
        <v>15</v>
      </c>
      <c r="C73" s="8">
        <v>349.0</v>
      </c>
      <c r="D73" s="8">
        <v>599.0</v>
      </c>
      <c r="E73" s="19">
        <v>0.42</v>
      </c>
      <c r="F73" s="10">
        <v>4.1</v>
      </c>
      <c r="G73" s="10">
        <v>210.0</v>
      </c>
      <c r="K73" s="17" t="str">
        <f>IFERROR(__xludf.DUMMYFUNCTION("""COMPUTED_VALUE"""),"Wayona Type C to Lightning MFI Certified 20W Fast charging Nylon Braided USB C Cable for iPhone 14, 14 Pro, 14 Pro Max, 14 Plus, 13, 13 Pro, 13 Pro Max, 13 Mini, 12, 12 Pro, 11, 11 Pro Max iPhone 12 Mini, X, 8 (2M, Grey)")</f>
        <v>Wayona Type C to Lightning MFI Certified 20W Fast charging Nylon Braided USB C Cable for iPhone 14, 14 Pro, 14 Pro Max, 14 Plus, 13, 13 Pro, 13 Pro Max, 13 Mini, 12, 12 Pro, 11, 11 Pro Max iPhone 12 Mini, X, 8 (2M, Grey)</v>
      </c>
      <c r="L73" s="17" t="str">
        <f>IFERROR(__xludf.DUMMYFUNCTION("""COMPUTED_VALUE"""),"Computers&amp;Accessories|Accessories&amp;Peripherals|Cables&amp;Accessories|Cables|USBCables")</f>
        <v>Computers&amp;Accessories|Accessories&amp;Peripherals|Cables&amp;Accessories|Cables|USBCables</v>
      </c>
      <c r="M73" s="23">
        <f>IFERROR(__xludf.DUMMYFUNCTION("""COMPUTED_VALUE"""),719.0)</f>
        <v>719</v>
      </c>
      <c r="N73" s="23">
        <f>IFERROR(__xludf.DUMMYFUNCTION("""COMPUTED_VALUE"""),1499.0)</f>
        <v>1499</v>
      </c>
      <c r="O73" s="24">
        <f>IFERROR(__xludf.DUMMYFUNCTION("""COMPUTED_VALUE"""),0.52)</f>
        <v>0.52</v>
      </c>
      <c r="P73" s="17">
        <f>IFERROR(__xludf.DUMMYFUNCTION("""COMPUTED_VALUE"""),4.1)</f>
        <v>4.1</v>
      </c>
      <c r="Q73" s="25">
        <f>IFERROR(__xludf.DUMMYFUNCTION("""COMPUTED_VALUE"""),1045.0)</f>
        <v>1045</v>
      </c>
    </row>
    <row r="74">
      <c r="A74" s="7" t="s">
        <v>97</v>
      </c>
      <c r="B74" s="7" t="s">
        <v>37</v>
      </c>
      <c r="C74" s="8">
        <v>26999.0</v>
      </c>
      <c r="D74" s="8">
        <v>42999.0</v>
      </c>
      <c r="E74" s="19">
        <v>0.37</v>
      </c>
      <c r="F74" s="10">
        <v>4.2</v>
      </c>
      <c r="G74" s="11">
        <v>45238.0</v>
      </c>
      <c r="K74" s="17" t="str">
        <f>IFERROR(__xludf.DUMMYFUNCTION("""COMPUTED_VALUE"""),"Dealfreez Case Compatible with Fire TV Stick 3rd Gen 2021 Full Wrap Silicone Remote Cover Anti-Lost with Loop (D-Black)")</f>
        <v>Dealfreez Case Compatible with Fire TV Stick 3rd Gen 2021 Full Wrap Silicone Remote Cover Anti-Lost with Loop (D-Black)</v>
      </c>
      <c r="L74" s="17" t="str">
        <f>IFERROR(__xludf.DUMMYFUNCTION("""COMPUTED_VALUE"""),"Electronics|HomeTheater,TV&amp;Video|Accessories|RemoteControls")</f>
        <v>Electronics|HomeTheater,TV&amp;Video|Accessories|RemoteControls</v>
      </c>
      <c r="M74" s="23">
        <f>IFERROR(__xludf.DUMMYFUNCTION("""COMPUTED_VALUE"""),349.0)</f>
        <v>349</v>
      </c>
      <c r="N74" s="23">
        <f>IFERROR(__xludf.DUMMYFUNCTION("""COMPUTED_VALUE"""),1499.0)</f>
        <v>1499</v>
      </c>
      <c r="O74" s="24">
        <f>IFERROR(__xludf.DUMMYFUNCTION("""COMPUTED_VALUE"""),0.77)</f>
        <v>0.77</v>
      </c>
      <c r="P74" s="17">
        <f>IFERROR(__xludf.DUMMYFUNCTION("""COMPUTED_VALUE"""),4.3)</f>
        <v>4.3</v>
      </c>
      <c r="Q74" s="25">
        <f>IFERROR(__xludf.DUMMYFUNCTION("""COMPUTED_VALUE"""),4145.0)</f>
        <v>4145</v>
      </c>
    </row>
    <row r="75">
      <c r="A75" s="7" t="s">
        <v>98</v>
      </c>
      <c r="B75" s="7" t="s">
        <v>15</v>
      </c>
      <c r="C75" s="8">
        <v>115.0</v>
      </c>
      <c r="D75" s="8">
        <v>499.0</v>
      </c>
      <c r="E75" s="19">
        <v>0.77</v>
      </c>
      <c r="F75" s="10">
        <v>4.0</v>
      </c>
      <c r="G75" s="11">
        <v>7732.0</v>
      </c>
      <c r="K75" s="17" t="str">
        <f>IFERROR(__xludf.DUMMYFUNCTION("""COMPUTED_VALUE"""),"Amazon Basics New Release Nylon USB-A to Lightning Cable Cord, Fast Charging MFi Certified Charger for Apple iPhone, iPad (3-Ft, Rose Gold)")</f>
        <v>Amazon Basics New Release Nylon USB-A to Lightning Cable Cord, Fast Charging MFi Certified Charger for Apple iPhone, iPad (3-Ft, Rose Gold)</v>
      </c>
      <c r="L75" s="17" t="str">
        <f>IFERROR(__xludf.DUMMYFUNCTION("""COMPUTED_VALUE"""),"Computers&amp;Accessories|Accessories&amp;Peripherals|Cables&amp;Accessories|Cables|USBCables")</f>
        <v>Computers&amp;Accessories|Accessories&amp;Peripherals|Cables&amp;Accessories|Cables|USBCables</v>
      </c>
      <c r="M75" s="23">
        <f>IFERROR(__xludf.DUMMYFUNCTION("""COMPUTED_VALUE"""),849.0)</f>
        <v>849</v>
      </c>
      <c r="N75" s="23">
        <f>IFERROR(__xludf.DUMMYFUNCTION("""COMPUTED_VALUE"""),1809.0)</f>
        <v>1809</v>
      </c>
      <c r="O75" s="24">
        <f>IFERROR(__xludf.DUMMYFUNCTION("""COMPUTED_VALUE"""),0.53)</f>
        <v>0.53</v>
      </c>
      <c r="P75" s="17">
        <f>IFERROR(__xludf.DUMMYFUNCTION("""COMPUTED_VALUE"""),4.3)</f>
        <v>4.3</v>
      </c>
      <c r="Q75" s="25">
        <f>IFERROR(__xludf.DUMMYFUNCTION("""COMPUTED_VALUE"""),6547.0)</f>
        <v>6547</v>
      </c>
    </row>
    <row r="76">
      <c r="A76" s="7" t="s">
        <v>99</v>
      </c>
      <c r="B76" s="7" t="s">
        <v>15</v>
      </c>
      <c r="C76" s="8">
        <v>399.0</v>
      </c>
      <c r="D76" s="8">
        <v>999.0</v>
      </c>
      <c r="E76" s="19">
        <v>0.6</v>
      </c>
      <c r="F76" s="10">
        <v>4.1</v>
      </c>
      <c r="G76" s="11">
        <v>1780.0</v>
      </c>
      <c r="K76" s="17" t="str">
        <f>IFERROR(__xludf.DUMMYFUNCTION("""COMPUTED_VALUE"""),"MI 100 cm (40 inches) 5A Series Full HD Smart Android LED TV with 24W Dolby Audio &amp; Metal Bezel-Less Frame (Black) (2022 Model)")</f>
        <v>MI 100 cm (40 inches) 5A Series Full HD Smart Android LED TV with 24W Dolby Audio &amp; Metal Bezel-Less Frame (Black) (2022 Model)</v>
      </c>
      <c r="L76" s="17" t="str">
        <f>IFERROR(__xludf.DUMMYFUNCTION("""COMPUTED_VALUE"""),"Electronics|HomeTheater,TV&amp;Video|Televisions|SmartTelevisions")</f>
        <v>Electronics|HomeTheater,TV&amp;Video|Televisions|SmartTelevisions</v>
      </c>
      <c r="M76" s="23">
        <f>IFERROR(__xludf.DUMMYFUNCTION("""COMPUTED_VALUE"""),21999.0)</f>
        <v>21999</v>
      </c>
      <c r="N76" s="23">
        <f>IFERROR(__xludf.DUMMYFUNCTION("""COMPUTED_VALUE"""),29999.0)</f>
        <v>29999</v>
      </c>
      <c r="O76" s="24">
        <f>IFERROR(__xludf.DUMMYFUNCTION("""COMPUTED_VALUE"""),0.27)</f>
        <v>0.27</v>
      </c>
      <c r="P76" s="17">
        <f>IFERROR(__xludf.DUMMYFUNCTION("""COMPUTED_VALUE"""),4.2)</f>
        <v>4.2</v>
      </c>
      <c r="Q76" s="25">
        <f>IFERROR(__xludf.DUMMYFUNCTION("""COMPUTED_VALUE"""),32840.0)</f>
        <v>32840</v>
      </c>
    </row>
    <row r="77">
      <c r="A77" s="7" t="s">
        <v>100</v>
      </c>
      <c r="B77" s="7" t="s">
        <v>15</v>
      </c>
      <c r="C77" s="8">
        <v>199.0</v>
      </c>
      <c r="D77" s="8">
        <v>499.0</v>
      </c>
      <c r="E77" s="19">
        <v>0.6</v>
      </c>
      <c r="F77" s="10">
        <v>4.1</v>
      </c>
      <c r="G77" s="10">
        <v>602.0</v>
      </c>
      <c r="K77" s="17" t="str">
        <f>IFERROR(__xludf.DUMMYFUNCTION("""COMPUTED_VALUE"""),"Wayona Nylon Braided USB Data Sync and Fast Charging 3A Short Power Bank Cable For iPhones, iPad Air, iPad mini, iPod Nano and iPod Touch (Grey)")</f>
        <v>Wayona Nylon Braided USB Data Sync and Fast Charging 3A Short Power Bank Cable For iPhones, iPad Air, iPad mini, iPod Nano and iPod Touch (Grey)</v>
      </c>
      <c r="L77" s="17" t="str">
        <f>IFERROR(__xludf.DUMMYFUNCTION("""COMPUTED_VALUE"""),"Computers&amp;Accessories|Accessories&amp;Peripherals|Cables&amp;Accessories|Cables|USBCables")</f>
        <v>Computers&amp;Accessories|Accessories&amp;Peripherals|Cables&amp;Accessories|Cables|USBCables</v>
      </c>
      <c r="M77" s="23">
        <f>IFERROR(__xludf.DUMMYFUNCTION("""COMPUTED_VALUE"""),349.0)</f>
        <v>349</v>
      </c>
      <c r="N77" s="23">
        <f>IFERROR(__xludf.DUMMYFUNCTION("""COMPUTED_VALUE"""),999.0)</f>
        <v>999</v>
      </c>
      <c r="O77" s="24">
        <f>IFERROR(__xludf.DUMMYFUNCTION("""COMPUTED_VALUE"""),0.65)</f>
        <v>0.65</v>
      </c>
      <c r="P77" s="17">
        <f>IFERROR(__xludf.DUMMYFUNCTION("""COMPUTED_VALUE"""),4.2)</f>
        <v>4.2</v>
      </c>
      <c r="Q77" s="25">
        <f>IFERROR(__xludf.DUMMYFUNCTION("""COMPUTED_VALUE"""),13120.0)</f>
        <v>13120</v>
      </c>
    </row>
    <row r="78">
      <c r="A78" s="7" t="s">
        <v>101</v>
      </c>
      <c r="B78" s="7" t="s">
        <v>15</v>
      </c>
      <c r="C78" s="8">
        <v>179.0</v>
      </c>
      <c r="D78" s="8">
        <v>399.0</v>
      </c>
      <c r="E78" s="19">
        <v>0.55</v>
      </c>
      <c r="F78" s="10">
        <v>4.0</v>
      </c>
      <c r="G78" s="11">
        <v>1423.0</v>
      </c>
      <c r="K78" s="17" t="str">
        <f>IFERROR(__xludf.DUMMYFUNCTION("""COMPUTED_VALUE"""),"Wayona Type C To Type C Long Fast Charging Cable Type C Charger Cord Compatible With Samsung S22 S20 S20 Fe 2022 S22 Ultra S21 Ultra A70 A51 A53 A33 A73 M51 M31 M33 M53 (Grey, 2M, 65W, 6Ft)")</f>
        <v>Wayona Type C To Type C Long Fast Charging Cable Type C Charger Cord Compatible With Samsung S22 S20 S20 Fe 2022 S22 Ultra S21 Ultra A70 A51 A53 A33 A73 M51 M31 M33 M53 (Grey, 2M, 65W, 6Ft)</v>
      </c>
      <c r="L78" s="17" t="str">
        <f>IFERROR(__xludf.DUMMYFUNCTION("""COMPUTED_VALUE"""),"Computers&amp;Accessories|Accessories&amp;Peripherals|Cables&amp;Accessories|Cables|USBCables")</f>
        <v>Computers&amp;Accessories|Accessories&amp;Peripherals|Cables&amp;Accessories|Cables|USBCables</v>
      </c>
      <c r="M78" s="23">
        <f>IFERROR(__xludf.DUMMYFUNCTION("""COMPUTED_VALUE"""),399.0)</f>
        <v>399</v>
      </c>
      <c r="N78" s="23">
        <f>IFERROR(__xludf.DUMMYFUNCTION("""COMPUTED_VALUE"""),999.0)</f>
        <v>999</v>
      </c>
      <c r="O78" s="24">
        <f>IFERROR(__xludf.DUMMYFUNCTION("""COMPUTED_VALUE"""),0.6)</f>
        <v>0.6</v>
      </c>
      <c r="P78" s="17">
        <f>IFERROR(__xludf.DUMMYFUNCTION("""COMPUTED_VALUE"""),4.3)</f>
        <v>4.3</v>
      </c>
      <c r="Q78" s="25">
        <f>IFERROR(__xludf.DUMMYFUNCTION("""COMPUTED_VALUE"""),2806.0)</f>
        <v>2806</v>
      </c>
    </row>
    <row r="79">
      <c r="A79" s="7" t="s">
        <v>102</v>
      </c>
      <c r="B79" s="7" t="s">
        <v>37</v>
      </c>
      <c r="C79" s="8">
        <v>10901.0</v>
      </c>
      <c r="D79" s="8">
        <v>30990.0</v>
      </c>
      <c r="E79" s="19">
        <v>0.65</v>
      </c>
      <c r="F79" s="10">
        <v>4.1</v>
      </c>
      <c r="G79" s="10">
        <v>398.0</v>
      </c>
      <c r="K79" s="17" t="str">
        <f>IFERROR(__xludf.DUMMYFUNCTION("""COMPUTED_VALUE"""),"Wayona Nylon Braided 2M / 6Ft Fast Charge Usb To Lightning Data Sync And Charging Cable For Iphone, Ipad Tablet (6 Ft Pack Of 1, Grey)")</f>
        <v>Wayona Nylon Braided 2M / 6Ft Fast Charge Usb To Lightning Data Sync And Charging Cable For Iphone, Ipad Tablet (6 Ft Pack Of 1, Grey)</v>
      </c>
      <c r="L79" s="17" t="str">
        <f>IFERROR(__xludf.DUMMYFUNCTION("""COMPUTED_VALUE"""),"Computers&amp;Accessories|Accessories&amp;Peripherals|Cables&amp;Accessories|Cables|USBCables")</f>
        <v>Computers&amp;Accessories|Accessories&amp;Peripherals|Cables&amp;Accessories|Cables|USBCables</v>
      </c>
      <c r="M79" s="23">
        <f>IFERROR(__xludf.DUMMYFUNCTION("""COMPUTED_VALUE"""),449.0)</f>
        <v>449</v>
      </c>
      <c r="N79" s="23">
        <f>IFERROR(__xludf.DUMMYFUNCTION("""COMPUTED_VALUE"""),1299.0)</f>
        <v>1299</v>
      </c>
      <c r="O79" s="24">
        <f>IFERROR(__xludf.DUMMYFUNCTION("""COMPUTED_VALUE"""),0.65)</f>
        <v>0.65</v>
      </c>
      <c r="P79" s="17">
        <f>IFERROR(__xludf.DUMMYFUNCTION("""COMPUTED_VALUE"""),4.2)</f>
        <v>4.2</v>
      </c>
      <c r="Q79" s="25">
        <f>IFERROR(__xludf.DUMMYFUNCTION("""COMPUTED_VALUE"""),24269.0)</f>
        <v>24269</v>
      </c>
    </row>
    <row r="80">
      <c r="A80" s="7" t="s">
        <v>103</v>
      </c>
      <c r="B80" s="7" t="s">
        <v>15</v>
      </c>
      <c r="C80" s="8">
        <v>209.0</v>
      </c>
      <c r="D80" s="8">
        <v>499.0</v>
      </c>
      <c r="E80" s="19">
        <v>0.58</v>
      </c>
      <c r="F80" s="10">
        <v>3.9</v>
      </c>
      <c r="G80" s="10">
        <v>536.0</v>
      </c>
      <c r="K80" s="17" t="str">
        <f>IFERROR(__xludf.DUMMYFUNCTION("""COMPUTED_VALUE"""),"CROSSVOLT Compatible Dash/Warp Data Sync Fast Charging Cable Supported for All C Type Devices (Cable)")</f>
        <v>CROSSVOLT Compatible Dash/Warp Data Sync Fast Charging Cable Supported for All C Type Devices (Cable)</v>
      </c>
      <c r="L80" s="17" t="str">
        <f>IFERROR(__xludf.DUMMYFUNCTION("""COMPUTED_VALUE"""),"Computers&amp;Accessories|Accessories&amp;Peripherals|Cables&amp;Accessories|Cables|USBCables")</f>
        <v>Computers&amp;Accessories|Accessories&amp;Peripherals|Cables&amp;Accessories|Cables|USBCables</v>
      </c>
      <c r="M80" s="23">
        <f>IFERROR(__xludf.DUMMYFUNCTION("""COMPUTED_VALUE"""),299.0)</f>
        <v>299</v>
      </c>
      <c r="N80" s="23">
        <f>IFERROR(__xludf.DUMMYFUNCTION("""COMPUTED_VALUE"""),999.0)</f>
        <v>999</v>
      </c>
      <c r="O80" s="24">
        <f>IFERROR(__xludf.DUMMYFUNCTION("""COMPUTED_VALUE"""),0.7)</f>
        <v>0.7</v>
      </c>
      <c r="P80" s="17">
        <f>IFERROR(__xludf.DUMMYFUNCTION("""COMPUTED_VALUE"""),4.3)</f>
        <v>4.3</v>
      </c>
      <c r="Q80" s="17">
        <f>IFERROR(__xludf.DUMMYFUNCTION("""COMPUTED_VALUE"""),766.0)</f>
        <v>766</v>
      </c>
    </row>
    <row r="81">
      <c r="A81" s="7" t="s">
        <v>104</v>
      </c>
      <c r="B81" s="7" t="s">
        <v>71</v>
      </c>
      <c r="C81" s="8">
        <v>1434.0</v>
      </c>
      <c r="D81" s="8">
        <v>3999.0</v>
      </c>
      <c r="E81" s="19">
        <v>0.64</v>
      </c>
      <c r="F81" s="10">
        <v>4.0</v>
      </c>
      <c r="G81" s="10">
        <v>32.0</v>
      </c>
      <c r="K81" s="17" t="str">
        <f>IFERROR(__xludf.DUMMYFUNCTION("""COMPUTED_VALUE"""),"VU 139 cm (55 inches) The GloLED Series 4K Smart LED Google TV 55GloLED (Grey)")</f>
        <v>VU 139 cm (55 inches) The GloLED Series 4K Smart LED Google TV 55GloLED (Grey)</v>
      </c>
      <c r="L81" s="17" t="str">
        <f>IFERROR(__xludf.DUMMYFUNCTION("""COMPUTED_VALUE"""),"Electronics|HomeTheater,TV&amp;Video|Televisions|SmartTelevisions")</f>
        <v>Electronics|HomeTheater,TV&amp;Video|Televisions|SmartTelevisions</v>
      </c>
      <c r="M81" s="23">
        <f>IFERROR(__xludf.DUMMYFUNCTION("""COMPUTED_VALUE"""),37999.0)</f>
        <v>37999</v>
      </c>
      <c r="N81" s="23">
        <f>IFERROR(__xludf.DUMMYFUNCTION("""COMPUTED_VALUE"""),65000.0)</f>
        <v>65000</v>
      </c>
      <c r="O81" s="24">
        <f>IFERROR(__xludf.DUMMYFUNCTION("""COMPUTED_VALUE"""),0.42)</f>
        <v>0.42</v>
      </c>
      <c r="P81" s="17">
        <f>IFERROR(__xludf.DUMMYFUNCTION("""COMPUTED_VALUE"""),4.3)</f>
        <v>4.3</v>
      </c>
      <c r="Q81" s="25">
        <f>IFERROR(__xludf.DUMMYFUNCTION("""COMPUTED_VALUE"""),3587.0)</f>
        <v>3587</v>
      </c>
    </row>
    <row r="82">
      <c r="A82" s="7" t="s">
        <v>105</v>
      </c>
      <c r="B82" s="7" t="s">
        <v>15</v>
      </c>
      <c r="C82" s="8">
        <v>399.0</v>
      </c>
      <c r="D82" s="8">
        <v>1099.0</v>
      </c>
      <c r="E82" s="19">
        <v>0.64</v>
      </c>
      <c r="F82" s="10">
        <v>4.2</v>
      </c>
      <c r="G82" s="11">
        <v>24269.0</v>
      </c>
      <c r="K82" s="17" t="str">
        <f>IFERROR(__xludf.DUMMYFUNCTION("""COMPUTED_VALUE"""),"Croma 80 cm (32 Inches) HD Ready LED TV (CREL7369, Black) (2021 Model)")</f>
        <v>Croma 80 cm (32 Inches) HD Ready LED TV (CREL7369, Black) (2021 Model)</v>
      </c>
      <c r="L82" s="17" t="str">
        <f>IFERROR(__xludf.DUMMYFUNCTION("""COMPUTED_VALUE"""),"Electronics|HomeTheater,TV&amp;Video|Televisions|StandardTelevisions")</f>
        <v>Electronics|HomeTheater,TV&amp;Video|Televisions|StandardTelevisions</v>
      </c>
      <c r="M82" s="23">
        <f>IFERROR(__xludf.DUMMYFUNCTION("""COMPUTED_VALUE"""),7390.0)</f>
        <v>7390</v>
      </c>
      <c r="N82" s="23">
        <f>IFERROR(__xludf.DUMMYFUNCTION("""COMPUTED_VALUE"""),20000.0)</f>
        <v>20000</v>
      </c>
      <c r="O82" s="24">
        <f>IFERROR(__xludf.DUMMYFUNCTION("""COMPUTED_VALUE"""),0.63)</f>
        <v>0.63</v>
      </c>
      <c r="P82" s="17">
        <f>IFERROR(__xludf.DUMMYFUNCTION("""COMPUTED_VALUE"""),4.1)</f>
        <v>4.1</v>
      </c>
      <c r="Q82" s="25">
        <f>IFERROR(__xludf.DUMMYFUNCTION("""COMPUTED_VALUE"""),2581.0)</f>
        <v>2581</v>
      </c>
    </row>
    <row r="83">
      <c r="A83" s="7" t="s">
        <v>106</v>
      </c>
      <c r="B83" s="7" t="s">
        <v>15</v>
      </c>
      <c r="C83" s="8">
        <v>139.0</v>
      </c>
      <c r="D83" s="8">
        <v>249.0</v>
      </c>
      <c r="E83" s="19">
        <v>0.44</v>
      </c>
      <c r="F83" s="10">
        <v>4.0</v>
      </c>
      <c r="G83" s="11">
        <v>9378.0</v>
      </c>
      <c r="K83" s="17" t="str">
        <f>IFERROR(__xludf.DUMMYFUNCTION("""COMPUTED_VALUE"""),"boAt Laptop, Smartphone Type-c A400 Male Data Cable (Carbon Black)")</f>
        <v>boAt Laptop, Smartphone Type-c A400 Male Data Cable (Carbon Black)</v>
      </c>
      <c r="L83" s="17" t="str">
        <f>IFERROR(__xludf.DUMMYFUNCTION("""COMPUTED_VALUE"""),"Computers&amp;Accessories|Accessories&amp;Peripherals|Cables&amp;Accessories|Cables|USBCables")</f>
        <v>Computers&amp;Accessories|Accessories&amp;Peripherals|Cables&amp;Accessories|Cables|USBCables</v>
      </c>
      <c r="M83" s="23">
        <f>IFERROR(__xludf.DUMMYFUNCTION("""COMPUTED_VALUE"""),273.1)</f>
        <v>273.1</v>
      </c>
      <c r="N83" s="23">
        <f>IFERROR(__xludf.DUMMYFUNCTION("""COMPUTED_VALUE"""),999.0)</f>
        <v>999</v>
      </c>
      <c r="O83" s="24">
        <f>IFERROR(__xludf.DUMMYFUNCTION("""COMPUTED_VALUE"""),0.73)</f>
        <v>0.73</v>
      </c>
      <c r="P83" s="17">
        <f>IFERROR(__xludf.DUMMYFUNCTION("""COMPUTED_VALUE"""),4.3)</f>
        <v>4.3</v>
      </c>
      <c r="Q83" s="25">
        <f>IFERROR(__xludf.DUMMYFUNCTION("""COMPUTED_VALUE"""),20850.0)</f>
        <v>20850</v>
      </c>
    </row>
    <row r="84">
      <c r="A84" s="7" t="s">
        <v>107</v>
      </c>
      <c r="B84" s="7" t="s">
        <v>37</v>
      </c>
      <c r="C84" s="8">
        <v>7299.0</v>
      </c>
      <c r="D84" s="8">
        <v>19125.0</v>
      </c>
      <c r="E84" s="19">
        <v>0.62</v>
      </c>
      <c r="F84" s="10">
        <v>3.4</v>
      </c>
      <c r="G84" s="10">
        <v>902.0</v>
      </c>
      <c r="K84" s="17" t="str">
        <f>IFERROR(__xludf.DUMMYFUNCTION("""COMPUTED_VALUE"""),"LG 80 cm (32 inches) HD Ready Smart LED TV 32LQ576BPSA (Ceramic Black)")</f>
        <v>LG 80 cm (32 inches) HD Ready Smart LED TV 32LQ576BPSA (Ceramic Black)</v>
      </c>
      <c r="L84" s="17" t="str">
        <f>IFERROR(__xludf.DUMMYFUNCTION("""COMPUTED_VALUE"""),"Electronics|HomeTheater,TV&amp;Video|Televisions|SmartTelevisions")</f>
        <v>Electronics|HomeTheater,TV&amp;Video|Televisions|SmartTelevisions</v>
      </c>
      <c r="M84" s="23">
        <f>IFERROR(__xludf.DUMMYFUNCTION("""COMPUTED_VALUE"""),15990.0)</f>
        <v>15990</v>
      </c>
      <c r="N84" s="23">
        <f>IFERROR(__xludf.DUMMYFUNCTION("""COMPUTED_VALUE"""),23990.0)</f>
        <v>23990</v>
      </c>
      <c r="O84" s="24">
        <f>IFERROR(__xludf.DUMMYFUNCTION("""COMPUTED_VALUE"""),0.33)</f>
        <v>0.33</v>
      </c>
      <c r="P84" s="17">
        <f>IFERROR(__xludf.DUMMYFUNCTION("""COMPUTED_VALUE"""),4.3)</f>
        <v>4.3</v>
      </c>
      <c r="Q84" s="25">
        <f>IFERROR(__xludf.DUMMYFUNCTION("""COMPUTED_VALUE"""),1035.0)</f>
        <v>1035</v>
      </c>
    </row>
    <row r="85">
      <c r="A85" s="7" t="s">
        <v>108</v>
      </c>
      <c r="B85" s="7" t="s">
        <v>15</v>
      </c>
      <c r="C85" s="8">
        <v>299.0</v>
      </c>
      <c r="D85" s="8">
        <v>799.0</v>
      </c>
      <c r="E85" s="19">
        <v>0.63</v>
      </c>
      <c r="F85" s="10">
        <v>4.4</v>
      </c>
      <c r="G85" s="11">
        <v>28791.0</v>
      </c>
      <c r="K85" s="17" t="str">
        <f>IFERROR(__xludf.DUMMYFUNCTION("""COMPUTED_VALUE"""),"boAt Type C A750 Stress Resistant, Tangle-free, Sturdy Flat Cable with 6.5A Fast Charging &amp; 480Mbps Data Transmission, 10000+ Bends Lifespan and Extended 1.5m Length(Radiant Red)")</f>
        <v>boAt Type C A750 Stress Resistant, Tangle-free, Sturdy Flat Cable with 6.5A Fast Charging &amp; 480Mbps Data Transmission, 10000+ Bends Lifespan and Extended 1.5m Length(Radiant Red)</v>
      </c>
      <c r="L85" s="17" t="str">
        <f>IFERROR(__xludf.DUMMYFUNCTION("""COMPUTED_VALUE"""),"Computers&amp;Accessories|Accessories&amp;Peripherals|Cables&amp;Accessories|Cables|USBCables")</f>
        <v>Computers&amp;Accessories|Accessories&amp;Peripherals|Cables&amp;Accessories|Cables|USBCables</v>
      </c>
      <c r="M85" s="23">
        <f>IFERROR(__xludf.DUMMYFUNCTION("""COMPUTED_VALUE"""),399.0)</f>
        <v>399</v>
      </c>
      <c r="N85" s="23">
        <f>IFERROR(__xludf.DUMMYFUNCTION("""COMPUTED_VALUE"""),999.0)</f>
        <v>999</v>
      </c>
      <c r="O85" s="24">
        <f>IFERROR(__xludf.DUMMYFUNCTION("""COMPUTED_VALUE"""),0.6)</f>
        <v>0.6</v>
      </c>
      <c r="P85" s="17">
        <f>IFERROR(__xludf.DUMMYFUNCTION("""COMPUTED_VALUE"""),4.1)</f>
        <v>4.1</v>
      </c>
      <c r="Q85" s="25">
        <f>IFERROR(__xludf.DUMMYFUNCTION("""COMPUTED_VALUE"""),1780.0)</f>
        <v>1780</v>
      </c>
    </row>
    <row r="86">
      <c r="A86" s="7" t="s">
        <v>109</v>
      </c>
      <c r="B86" s="7" t="s">
        <v>15</v>
      </c>
      <c r="C86" s="8">
        <v>325.0</v>
      </c>
      <c r="D86" s="8">
        <v>1299.0</v>
      </c>
      <c r="E86" s="19">
        <v>0.75</v>
      </c>
      <c r="F86" s="10">
        <v>4.2</v>
      </c>
      <c r="G86" s="11">
        <v>10576.0</v>
      </c>
      <c r="K86" s="17" t="str">
        <f>IFERROR(__xludf.DUMMYFUNCTION("""COMPUTED_VALUE"""),"Cotbolt Silicone Protective Case Cover for LG an MR21GA Magic Remote Shockproof for LG Smart TV Remote 2021 Protective Skin Waterproof Anti Lost (Black) (Remote Not Included)")</f>
        <v>Cotbolt Silicone Protective Case Cover for LG an MR21GA Magic Remote Shockproof for LG Smart TV Remote 2021 Protective Skin Waterproof Anti Lost (Black) (Remote Not Included)</v>
      </c>
      <c r="L86" s="17" t="str">
        <f>IFERROR(__xludf.DUMMYFUNCTION("""COMPUTED_VALUE"""),"Electronics|HomeTheater,TV&amp;Video|Accessories|RemoteControls")</f>
        <v>Electronics|HomeTheater,TV&amp;Video|Accessories|RemoteControls</v>
      </c>
      <c r="M86" s="23">
        <f>IFERROR(__xludf.DUMMYFUNCTION("""COMPUTED_VALUE"""),399.0)</f>
        <v>399</v>
      </c>
      <c r="N86" s="23">
        <f>IFERROR(__xludf.DUMMYFUNCTION("""COMPUTED_VALUE"""),1999.0)</f>
        <v>1999</v>
      </c>
      <c r="O86" s="24">
        <f>IFERROR(__xludf.DUMMYFUNCTION("""COMPUTED_VALUE"""),0.8)</f>
        <v>0.8</v>
      </c>
      <c r="P86" s="17">
        <f>IFERROR(__xludf.DUMMYFUNCTION("""COMPUTED_VALUE"""),4.5)</f>
        <v>4.5</v>
      </c>
      <c r="Q86" s="17">
        <f>IFERROR(__xludf.DUMMYFUNCTION("""COMPUTED_VALUE"""),505.0)</f>
        <v>505</v>
      </c>
    </row>
    <row r="87">
      <c r="A87" s="7" t="s">
        <v>110</v>
      </c>
      <c r="B87" s="7" t="s">
        <v>37</v>
      </c>
      <c r="C87" s="8">
        <v>29999.0</v>
      </c>
      <c r="D87" s="8">
        <v>39999.0</v>
      </c>
      <c r="E87" s="19">
        <v>0.25</v>
      </c>
      <c r="F87" s="10">
        <v>4.2</v>
      </c>
      <c r="G87" s="11">
        <v>7298.0</v>
      </c>
      <c r="K87" s="17" t="str">
        <f>IFERROR(__xludf.DUMMYFUNCTION("""COMPUTED_VALUE"""),"Portronics Konnect L POR-1403 Fast Charging 3A Type-C Cable 1.2 Meter with Charge &amp; Sync Function for All Type-C Devices (White)")</f>
        <v>Portronics Konnect L POR-1403 Fast Charging 3A Type-C Cable 1.2 Meter with Charge &amp; Sync Function for All Type-C Devices (White)</v>
      </c>
      <c r="L87" s="17" t="str">
        <f>IFERROR(__xludf.DUMMYFUNCTION("""COMPUTED_VALUE"""),"Computers&amp;Accessories|Accessories&amp;Peripherals|Cables&amp;Accessories|Cables|USBCables")</f>
        <v>Computers&amp;Accessories|Accessories&amp;Peripherals|Cables&amp;Accessories|Cables|USBCables</v>
      </c>
      <c r="M87" s="23">
        <f>IFERROR(__xludf.DUMMYFUNCTION("""COMPUTED_VALUE"""),210.0)</f>
        <v>210</v>
      </c>
      <c r="N87" s="23">
        <f>IFERROR(__xludf.DUMMYFUNCTION("""COMPUTED_VALUE"""),399.0)</f>
        <v>399</v>
      </c>
      <c r="O87" s="24">
        <f>IFERROR(__xludf.DUMMYFUNCTION("""COMPUTED_VALUE"""),0.47)</f>
        <v>0.47</v>
      </c>
      <c r="P87" s="17">
        <f>IFERROR(__xludf.DUMMYFUNCTION("""COMPUTED_VALUE"""),4.1)</f>
        <v>4.1</v>
      </c>
      <c r="Q87" s="25">
        <f>IFERROR(__xludf.DUMMYFUNCTION("""COMPUTED_VALUE"""),1717.0)</f>
        <v>1717</v>
      </c>
    </row>
    <row r="88">
      <c r="A88" s="7" t="s">
        <v>111</v>
      </c>
      <c r="B88" s="7" t="s">
        <v>37</v>
      </c>
      <c r="C88" s="8">
        <v>27999.0</v>
      </c>
      <c r="D88" s="8">
        <v>40990.0</v>
      </c>
      <c r="E88" s="19">
        <v>0.32</v>
      </c>
      <c r="F88" s="10">
        <v>4.3</v>
      </c>
      <c r="G88" s="11">
        <v>4703.0</v>
      </c>
      <c r="K88" s="17" t="str">
        <f>IFERROR(__xludf.DUMMYFUNCTION("""COMPUTED_VALUE"""),"Belkin Apple Certified Lightning To Type C Cable, Tough Unbreakable Braided Fast Charging For Iphone, Ipad, Air Pods, 3.3 Feet (1 Meters)    White")</f>
        <v>Belkin Apple Certified Lightning To Type C Cable, Tough Unbreakable Braided Fast Charging For Iphone, Ipad, Air Pods, 3.3 Feet (1 Meters)    White</v>
      </c>
      <c r="L88" s="17" t="str">
        <f>IFERROR(__xludf.DUMMYFUNCTION("""COMPUTED_VALUE"""),"Computers&amp;Accessories|Accessories&amp;Peripherals|Cables&amp;Accessories|Cables|USBCables")</f>
        <v>Computers&amp;Accessories|Accessories&amp;Peripherals|Cables&amp;Accessories|Cables|USBCables</v>
      </c>
      <c r="M88" s="23">
        <f>IFERROR(__xludf.DUMMYFUNCTION("""COMPUTED_VALUE"""),1599.0)</f>
        <v>1599</v>
      </c>
      <c r="N88" s="23">
        <f>IFERROR(__xludf.DUMMYFUNCTION("""COMPUTED_VALUE"""),1999.0)</f>
        <v>1999</v>
      </c>
      <c r="O88" s="24">
        <f>IFERROR(__xludf.DUMMYFUNCTION("""COMPUTED_VALUE"""),0.2)</f>
        <v>0.2</v>
      </c>
      <c r="P88" s="17">
        <f>IFERROR(__xludf.DUMMYFUNCTION("""COMPUTED_VALUE"""),4.4)</f>
        <v>4.4</v>
      </c>
      <c r="Q88" s="25">
        <f>IFERROR(__xludf.DUMMYFUNCTION("""COMPUTED_VALUE"""),1951.0)</f>
        <v>1951</v>
      </c>
    </row>
    <row r="89">
      <c r="A89" s="7" t="s">
        <v>112</v>
      </c>
      <c r="B89" s="7" t="s">
        <v>37</v>
      </c>
      <c r="C89" s="8">
        <v>30990.0</v>
      </c>
      <c r="D89" s="8">
        <v>52900.0</v>
      </c>
      <c r="E89" s="19">
        <v>0.41</v>
      </c>
      <c r="F89" s="10">
        <v>4.3</v>
      </c>
      <c r="G89" s="11">
        <v>7109.0</v>
      </c>
      <c r="K89" s="17" t="str">
        <f>IFERROR(__xludf.DUMMYFUNCTION("""COMPUTED_VALUE"""),"VW 80 cm (32 inches) Playwall Frameless Series HD Ready Android Smart LED TV VW3251 (Black)")</f>
        <v>VW 80 cm (32 inches) Playwall Frameless Series HD Ready Android Smart LED TV VW3251 (Black)</v>
      </c>
      <c r="L89" s="17" t="str">
        <f>IFERROR(__xludf.DUMMYFUNCTION("""COMPUTED_VALUE"""),"Electronics|HomeTheater,TV&amp;Video|Televisions|SmartTelevisions")</f>
        <v>Electronics|HomeTheater,TV&amp;Video|Televisions|SmartTelevisions</v>
      </c>
      <c r="M89" s="23">
        <f>IFERROR(__xludf.DUMMYFUNCTION("""COMPUTED_VALUE"""),8499.0)</f>
        <v>8499</v>
      </c>
      <c r="N89" s="23">
        <f>IFERROR(__xludf.DUMMYFUNCTION("""COMPUTED_VALUE"""),15999.0)</f>
        <v>15999</v>
      </c>
      <c r="O89" s="24">
        <f>IFERROR(__xludf.DUMMYFUNCTION("""COMPUTED_VALUE"""),0.47)</f>
        <v>0.47</v>
      </c>
      <c r="P89" s="17">
        <f>IFERROR(__xludf.DUMMYFUNCTION("""COMPUTED_VALUE"""),4.3)</f>
        <v>4.3</v>
      </c>
      <c r="Q89" s="17">
        <f>IFERROR(__xludf.DUMMYFUNCTION("""COMPUTED_VALUE"""),592.0)</f>
        <v>592</v>
      </c>
    </row>
    <row r="90">
      <c r="A90" s="7" t="s">
        <v>113</v>
      </c>
      <c r="B90" s="7" t="s">
        <v>15</v>
      </c>
      <c r="C90" s="8">
        <v>199.0</v>
      </c>
      <c r="D90" s="8">
        <v>999.0</v>
      </c>
      <c r="E90" s="19">
        <v>0.8</v>
      </c>
      <c r="F90" s="10">
        <v>4.5</v>
      </c>
      <c r="G90" s="10">
        <v>127.0</v>
      </c>
      <c r="K90" s="17" t="str">
        <f>IFERROR(__xludf.DUMMYFUNCTION("""COMPUTED_VALUE"""),"Hisense 108 cm (43 inches) 4K Ultra HD Smart Certified Android LED TV 43A6GE (Black)")</f>
        <v>Hisense 108 cm (43 inches) 4K Ultra HD Smart Certified Android LED TV 43A6GE (Black)</v>
      </c>
      <c r="L90" s="17" t="str">
        <f>IFERROR(__xludf.DUMMYFUNCTION("""COMPUTED_VALUE"""),"Electronics|HomeTheater,TV&amp;Video|Televisions|SmartTelevisions")</f>
        <v>Electronics|HomeTheater,TV&amp;Video|Televisions|SmartTelevisions</v>
      </c>
      <c r="M90" s="23">
        <f>IFERROR(__xludf.DUMMYFUNCTION("""COMPUTED_VALUE"""),20990.0)</f>
        <v>20990</v>
      </c>
      <c r="N90" s="23">
        <f>IFERROR(__xludf.DUMMYFUNCTION("""COMPUTED_VALUE"""),44990.0)</f>
        <v>44990</v>
      </c>
      <c r="O90" s="24">
        <f>IFERROR(__xludf.DUMMYFUNCTION("""COMPUTED_VALUE"""),0.53)</f>
        <v>0.53</v>
      </c>
      <c r="P90" s="17">
        <f>IFERROR(__xludf.DUMMYFUNCTION("""COMPUTED_VALUE"""),4.1)</f>
        <v>4.1</v>
      </c>
      <c r="Q90" s="25">
        <f>IFERROR(__xludf.DUMMYFUNCTION("""COMPUTED_VALUE"""),1259.0)</f>
        <v>1259</v>
      </c>
    </row>
    <row r="91">
      <c r="A91" s="7" t="s">
        <v>114</v>
      </c>
      <c r="B91" s="7" t="s">
        <v>15</v>
      </c>
      <c r="C91" s="8">
        <v>649.0</v>
      </c>
      <c r="D91" s="8">
        <v>1999.0</v>
      </c>
      <c r="E91" s="19">
        <v>0.68</v>
      </c>
      <c r="F91" s="10">
        <v>4.2</v>
      </c>
      <c r="G91" s="11">
        <v>24269.0</v>
      </c>
      <c r="K91" s="17" t="str">
        <f>IFERROR(__xludf.DUMMYFUNCTION("""COMPUTED_VALUE"""),"Redmi 126 cm (50 inches) 4K Ultra HD Android Smart LED TV X50 | L50M6-RA (Black)")</f>
        <v>Redmi 126 cm (50 inches) 4K Ultra HD Android Smart LED TV X50 | L50M6-RA (Black)</v>
      </c>
      <c r="L91" s="17" t="str">
        <f>IFERROR(__xludf.DUMMYFUNCTION("""COMPUTED_VALUE"""),"Electronics|HomeTheater,TV&amp;Video|Televisions|SmartTelevisions")</f>
        <v>Electronics|HomeTheater,TV&amp;Video|Televisions|SmartTelevisions</v>
      </c>
      <c r="M91" s="23">
        <f>IFERROR(__xludf.DUMMYFUNCTION("""COMPUTED_VALUE"""),32999.0)</f>
        <v>32999</v>
      </c>
      <c r="N91" s="23">
        <f>IFERROR(__xludf.DUMMYFUNCTION("""COMPUTED_VALUE"""),44999.0)</f>
        <v>44999</v>
      </c>
      <c r="O91" s="24">
        <f>IFERROR(__xludf.DUMMYFUNCTION("""COMPUTED_VALUE"""),0.27)</f>
        <v>0.27</v>
      </c>
      <c r="P91" s="17">
        <f>IFERROR(__xludf.DUMMYFUNCTION("""COMPUTED_VALUE"""),4.2)</f>
        <v>4.2</v>
      </c>
      <c r="Q91" s="25">
        <f>IFERROR(__xludf.DUMMYFUNCTION("""COMPUTED_VALUE"""),45238.0)</f>
        <v>45238</v>
      </c>
    </row>
    <row r="92">
      <c r="A92" s="7" t="s">
        <v>115</v>
      </c>
      <c r="B92" s="7" t="s">
        <v>25</v>
      </c>
      <c r="C92" s="8">
        <v>269.0</v>
      </c>
      <c r="D92" s="8">
        <v>800.0</v>
      </c>
      <c r="E92" s="19">
        <v>0.66</v>
      </c>
      <c r="F92" s="10">
        <v>3.6</v>
      </c>
      <c r="G92" s="11">
        <v>10134.0</v>
      </c>
      <c r="K92" s="17" t="str">
        <f>IFERROR(__xludf.DUMMYFUNCTION("""COMPUTED_VALUE"""),"AmazonBasics 6-Feet DisplayPort (not USB port) to HDMI Cable Black")</f>
        <v>AmazonBasics 6-Feet DisplayPort (not USB port) to HDMI Cable Black</v>
      </c>
      <c r="L92" s="17" t="str">
        <f>IFERROR(__xludf.DUMMYFUNCTION("""COMPUTED_VALUE"""),"Electronics|HomeTheater,TV&amp;Video|Accessories|Cables|HDMICables")</f>
        <v>Electronics|HomeTheater,TV&amp;Video|Accessories|Cables|HDMICables</v>
      </c>
      <c r="M92" s="23">
        <f>IFERROR(__xludf.DUMMYFUNCTION("""COMPUTED_VALUE"""),799.0)</f>
        <v>799</v>
      </c>
      <c r="N92" s="23">
        <f>IFERROR(__xludf.DUMMYFUNCTION("""COMPUTED_VALUE"""),1700.0)</f>
        <v>1700</v>
      </c>
      <c r="O92" s="24">
        <f>IFERROR(__xludf.DUMMYFUNCTION("""COMPUTED_VALUE"""),0.53)</f>
        <v>0.53</v>
      </c>
      <c r="P92" s="17">
        <f>IFERROR(__xludf.DUMMYFUNCTION("""COMPUTED_VALUE"""),4.1)</f>
        <v>4.1</v>
      </c>
      <c r="Q92" s="25">
        <f>IFERROR(__xludf.DUMMYFUNCTION("""COMPUTED_VALUE"""),28638.0)</f>
        <v>28638</v>
      </c>
    </row>
    <row r="93">
      <c r="A93" s="7" t="s">
        <v>116</v>
      </c>
      <c r="B93" s="7" t="s">
        <v>37</v>
      </c>
      <c r="C93" s="8">
        <v>24999.0</v>
      </c>
      <c r="D93" s="8">
        <v>31999.0</v>
      </c>
      <c r="E93" s="19">
        <v>0.22</v>
      </c>
      <c r="F93" s="10">
        <v>4.2</v>
      </c>
      <c r="G93" s="11">
        <v>34899.0</v>
      </c>
      <c r="K93" s="17" t="str">
        <f>IFERROR(__xludf.DUMMYFUNCTION("""COMPUTED_VALUE"""),"AmazonBasics 3 Feet High Speed HDMI Male to Female 2.0 Extension Cable")</f>
        <v>AmazonBasics 3 Feet High Speed HDMI Male to Female 2.0 Extension Cable</v>
      </c>
      <c r="L93" s="17" t="str">
        <f>IFERROR(__xludf.DUMMYFUNCTION("""COMPUTED_VALUE"""),"Electronics|HomeTheater,TV&amp;Video|Accessories|Cables|HDMICables")</f>
        <v>Electronics|HomeTheater,TV&amp;Video|Accessories|Cables|HDMICables</v>
      </c>
      <c r="M93" s="23">
        <f>IFERROR(__xludf.DUMMYFUNCTION("""COMPUTED_VALUE"""),229.0)</f>
        <v>229</v>
      </c>
      <c r="N93" s="23">
        <f>IFERROR(__xludf.DUMMYFUNCTION("""COMPUTED_VALUE"""),595.0)</f>
        <v>595</v>
      </c>
      <c r="O93" s="24">
        <f>IFERROR(__xludf.DUMMYFUNCTION("""COMPUTED_VALUE"""),0.62)</f>
        <v>0.62</v>
      </c>
      <c r="P93" s="17">
        <f>IFERROR(__xludf.DUMMYFUNCTION("""COMPUTED_VALUE"""),4.3)</f>
        <v>4.3</v>
      </c>
      <c r="Q93" s="25">
        <f>IFERROR(__xludf.DUMMYFUNCTION("""COMPUTED_VALUE"""),12835.0)</f>
        <v>12835</v>
      </c>
    </row>
    <row r="94">
      <c r="A94" s="7" t="s">
        <v>117</v>
      </c>
      <c r="B94" s="7" t="s">
        <v>15</v>
      </c>
      <c r="C94" s="8">
        <v>299.0</v>
      </c>
      <c r="D94" s="8">
        <v>699.0</v>
      </c>
      <c r="E94" s="19">
        <v>0.57</v>
      </c>
      <c r="F94" s="10">
        <v>4.2</v>
      </c>
      <c r="G94" s="11">
        <v>94363.0</v>
      </c>
      <c r="K94" s="17" t="str">
        <f>IFERROR(__xludf.DUMMYFUNCTION("""COMPUTED_VALUE"""),"iFFALCON 80 cm (32 inches) HD Ready Smart LED TV 32F53 (Black)")</f>
        <v>iFFALCON 80 cm (32 inches) HD Ready Smart LED TV 32F53 (Black)</v>
      </c>
      <c r="L94" s="17" t="str">
        <f>IFERROR(__xludf.DUMMYFUNCTION("""COMPUTED_VALUE"""),"Electronics|HomeTheater,TV&amp;Video|Televisions|SmartTelevisions")</f>
        <v>Electronics|HomeTheater,TV&amp;Video|Televisions|SmartTelevisions</v>
      </c>
      <c r="M94" s="23">
        <f>IFERROR(__xludf.DUMMYFUNCTION("""COMPUTED_VALUE"""),9999.0)</f>
        <v>9999</v>
      </c>
      <c r="N94" s="23">
        <f>IFERROR(__xludf.DUMMYFUNCTION("""COMPUTED_VALUE"""),27990.0)</f>
        <v>27990</v>
      </c>
      <c r="O94" s="24">
        <f>IFERROR(__xludf.DUMMYFUNCTION("""COMPUTED_VALUE"""),0.64)</f>
        <v>0.64</v>
      </c>
      <c r="P94" s="17">
        <f>IFERROR(__xludf.DUMMYFUNCTION("""COMPUTED_VALUE"""),4.2)</f>
        <v>4.2</v>
      </c>
      <c r="Q94" s="25">
        <f>IFERROR(__xludf.DUMMYFUNCTION("""COMPUTED_VALUE"""),1269.0)</f>
        <v>1269</v>
      </c>
    </row>
    <row r="95">
      <c r="A95" s="7" t="s">
        <v>118</v>
      </c>
      <c r="B95" s="7" t="s">
        <v>15</v>
      </c>
      <c r="C95" s="8">
        <v>199.0</v>
      </c>
      <c r="D95" s="8">
        <v>999.0</v>
      </c>
      <c r="E95" s="19">
        <v>0.8</v>
      </c>
      <c r="F95" s="10">
        <v>4.1</v>
      </c>
      <c r="G95" s="10">
        <v>425.0</v>
      </c>
      <c r="K95" s="17" t="str">
        <f>IFERROR(__xludf.DUMMYFUNCTION("""COMPUTED_VALUE"""),"7SEVEN® Compatible Lg Smart Tv Remote Suitable for Any LG LED OLED LCD UHD Plasma Android Television and AKB75095303 replacement of Original Lg Tv Remote Control")</f>
        <v>7SEVEN® Compatible Lg Smart Tv Remote Suitable for Any LG LED OLED LCD UHD Plasma Android Television and AKB75095303 replacement of Original Lg Tv Remote Control</v>
      </c>
      <c r="L95" s="17" t="str">
        <f>IFERROR(__xludf.DUMMYFUNCTION("""COMPUTED_VALUE"""),"Electronics|HomeTheater,TV&amp;Video|Accessories|RemoteControls")</f>
        <v>Electronics|HomeTheater,TV&amp;Video|Accessories|RemoteControls</v>
      </c>
      <c r="M95" s="23">
        <f>IFERROR(__xludf.DUMMYFUNCTION("""COMPUTED_VALUE"""),349.0)</f>
        <v>349</v>
      </c>
      <c r="N95" s="23">
        <f>IFERROR(__xludf.DUMMYFUNCTION("""COMPUTED_VALUE"""),599.0)</f>
        <v>599</v>
      </c>
      <c r="O95" s="24">
        <f>IFERROR(__xludf.DUMMYFUNCTION("""COMPUTED_VALUE"""),0.42)</f>
        <v>0.42</v>
      </c>
      <c r="P95" s="17">
        <f>IFERROR(__xludf.DUMMYFUNCTION("""COMPUTED_VALUE"""),4.2)</f>
        <v>4.2</v>
      </c>
      <c r="Q95" s="17">
        <f>IFERROR(__xludf.DUMMYFUNCTION("""COMPUTED_VALUE"""),284.0)</f>
        <v>284</v>
      </c>
    </row>
    <row r="96">
      <c r="A96" s="7" t="s">
        <v>119</v>
      </c>
      <c r="B96" s="7" t="s">
        <v>37</v>
      </c>
      <c r="C96" s="8">
        <v>18990.0</v>
      </c>
      <c r="D96" s="8">
        <v>40990.0</v>
      </c>
      <c r="E96" s="19">
        <v>0.54</v>
      </c>
      <c r="F96" s="10">
        <v>4.2</v>
      </c>
      <c r="G96" s="11">
        <v>6659.0</v>
      </c>
      <c r="K96" s="17" t="str">
        <f>IFERROR(__xludf.DUMMYFUNCTION("""COMPUTED_VALUE"""),"AmazonBasics 3.5mm to 2-Male RCA Adapter Cable For Tablet, Smartphone (Black, 15 feet)")</f>
        <v>AmazonBasics 3.5mm to 2-Male RCA Adapter Cable For Tablet, Smartphone (Black, 15 feet)</v>
      </c>
      <c r="L96" s="17" t="str">
        <f>IFERROR(__xludf.DUMMYFUNCTION("""COMPUTED_VALUE"""),"Electronics|HomeTheater,TV&amp;Video|Accessories|Cables|RCACables")</f>
        <v>Electronics|HomeTheater,TV&amp;Video|Accessories|Cables|RCACables</v>
      </c>
      <c r="M96" s="23">
        <f>IFERROR(__xludf.DUMMYFUNCTION("""COMPUTED_VALUE"""),489.0)</f>
        <v>489</v>
      </c>
      <c r="N96" s="23">
        <f>IFERROR(__xludf.DUMMYFUNCTION("""COMPUTED_VALUE"""),1200.0)</f>
        <v>1200</v>
      </c>
      <c r="O96" s="24">
        <f>IFERROR(__xludf.DUMMYFUNCTION("""COMPUTED_VALUE"""),0.59)</f>
        <v>0.59</v>
      </c>
      <c r="P96" s="17">
        <f>IFERROR(__xludf.DUMMYFUNCTION("""COMPUTED_VALUE"""),4.4)</f>
        <v>4.4</v>
      </c>
      <c r="Q96" s="25">
        <f>IFERROR(__xludf.DUMMYFUNCTION("""COMPUTED_VALUE"""),69538.0)</f>
        <v>69538</v>
      </c>
    </row>
    <row r="97">
      <c r="A97" s="7" t="s">
        <v>120</v>
      </c>
      <c r="B97" s="7" t="s">
        <v>25</v>
      </c>
      <c r="C97" s="8">
        <v>290.0</v>
      </c>
      <c r="D97" s="8">
        <v>349.0</v>
      </c>
      <c r="E97" s="19">
        <v>0.17</v>
      </c>
      <c r="F97" s="10">
        <v>3.7</v>
      </c>
      <c r="G97" s="11">
        <v>1977.0</v>
      </c>
      <c r="K97" s="17" t="str">
        <f>IFERROR(__xludf.DUMMYFUNCTION("""COMPUTED_VALUE"""),"Acer 109 cm (43 inches) I Series 4K Ultra HD Android Smart LED TV AR43AR2851UDFL (Black)")</f>
        <v>Acer 109 cm (43 inches) I Series 4K Ultra HD Android Smart LED TV AR43AR2851UDFL (Black)</v>
      </c>
      <c r="L97" s="17" t="str">
        <f>IFERROR(__xludf.DUMMYFUNCTION("""COMPUTED_VALUE"""),"Electronics|HomeTheater,TV&amp;Video|Televisions|SmartTelevisions")</f>
        <v>Electronics|HomeTheater,TV&amp;Video|Televisions|SmartTelevisions</v>
      </c>
      <c r="M97" s="23">
        <f>IFERROR(__xludf.DUMMYFUNCTION("""COMPUTED_VALUE"""),23999.0)</f>
        <v>23999</v>
      </c>
      <c r="N97" s="23">
        <f>IFERROR(__xludf.DUMMYFUNCTION("""COMPUTED_VALUE"""),34990.0)</f>
        <v>34990</v>
      </c>
      <c r="O97" s="24">
        <f>IFERROR(__xludf.DUMMYFUNCTION("""COMPUTED_VALUE"""),0.31)</f>
        <v>0.31</v>
      </c>
      <c r="P97" s="17">
        <f>IFERROR(__xludf.DUMMYFUNCTION("""COMPUTED_VALUE"""),4.3)</f>
        <v>4.3</v>
      </c>
      <c r="Q97" s="25">
        <f>IFERROR(__xludf.DUMMYFUNCTION("""COMPUTED_VALUE"""),4703.0)</f>
        <v>4703</v>
      </c>
    </row>
    <row r="98">
      <c r="A98" s="7" t="s">
        <v>121</v>
      </c>
      <c r="B98" s="7" t="s">
        <v>71</v>
      </c>
      <c r="C98" s="8">
        <v>249.0</v>
      </c>
      <c r="D98" s="8">
        <v>799.0</v>
      </c>
      <c r="E98" s="19">
        <v>0.69</v>
      </c>
      <c r="F98" s="10">
        <v>3.8</v>
      </c>
      <c r="G98" s="11">
        <v>1079.0</v>
      </c>
      <c r="K98" s="17" t="str">
        <f>IFERROR(__xludf.DUMMYFUNCTION("""COMPUTED_VALUE"""),"Wayona Usb Type C 65W 6Ft/2M Long Fast Charging Cable Compatible For Samsung S22 S20 Fe S21 Ultra A33 A53 A01 A73 A70 A51 M33 M53 M51 M31(2M, Black)")</f>
        <v>Wayona Usb Type C 65W 6Ft/2M Long Fast Charging Cable Compatible For Samsung S22 S20 Fe S21 Ultra A33 A53 A01 A73 A70 A51 M33 M53 M51 M31(2M, Black)</v>
      </c>
      <c r="L98" s="17" t="str">
        <f>IFERROR(__xludf.DUMMYFUNCTION("""COMPUTED_VALUE"""),"Computers&amp;Accessories|Accessories&amp;Peripherals|Cables&amp;Accessories|Cables|USBCables")</f>
        <v>Computers&amp;Accessories|Accessories&amp;Peripherals|Cables&amp;Accessories|Cables|USBCables</v>
      </c>
      <c r="M98" s="23">
        <f>IFERROR(__xludf.DUMMYFUNCTION("""COMPUTED_VALUE"""),399.0)</f>
        <v>399</v>
      </c>
      <c r="N98" s="23">
        <f>IFERROR(__xludf.DUMMYFUNCTION("""COMPUTED_VALUE"""),999.0)</f>
        <v>999</v>
      </c>
      <c r="O98" s="24">
        <f>IFERROR(__xludf.DUMMYFUNCTION("""COMPUTED_VALUE"""),0.6)</f>
        <v>0.6</v>
      </c>
      <c r="P98" s="17">
        <f>IFERROR(__xludf.DUMMYFUNCTION("""COMPUTED_VALUE"""),4.3)</f>
        <v>4.3</v>
      </c>
      <c r="Q98" s="25">
        <f>IFERROR(__xludf.DUMMYFUNCTION("""COMPUTED_VALUE"""),2806.0)</f>
        <v>2806</v>
      </c>
    </row>
    <row r="99">
      <c r="A99" s="7" t="s">
        <v>122</v>
      </c>
      <c r="B99" s="7" t="s">
        <v>15</v>
      </c>
      <c r="C99" s="8">
        <v>345.0</v>
      </c>
      <c r="D99" s="8">
        <v>999.0</v>
      </c>
      <c r="E99" s="19">
        <v>0.65</v>
      </c>
      <c r="F99" s="10">
        <v>3.7</v>
      </c>
      <c r="G99" s="11">
        <v>1097.0</v>
      </c>
      <c r="K99" s="17" t="str">
        <f>IFERROR(__xludf.DUMMYFUNCTION("""COMPUTED_VALUE"""),"AmazonBasics New Release ABS USB-A to Lightning Cable Cord, Fast Charging MFi Certified Charger for Apple iPhone, iPad Tablet (3-Ft, White)")</f>
        <v>AmazonBasics New Release ABS USB-A to Lightning Cable Cord, Fast Charging MFi Certified Charger for Apple iPhone, iPad Tablet (3-Ft, White)</v>
      </c>
      <c r="L99" s="17" t="str">
        <f>IFERROR(__xludf.DUMMYFUNCTION("""COMPUTED_VALUE"""),"Computers&amp;Accessories|Accessories&amp;Peripherals|Cables&amp;Accessories|Cables|USBCables")</f>
        <v>Computers&amp;Accessories|Accessories&amp;Peripherals|Cables&amp;Accessories|Cables|USBCables</v>
      </c>
      <c r="M99" s="23">
        <f>IFERROR(__xludf.DUMMYFUNCTION("""COMPUTED_VALUE"""),689.0)</f>
        <v>689</v>
      </c>
      <c r="N99" s="23">
        <f>IFERROR(__xludf.DUMMYFUNCTION("""COMPUTED_VALUE"""),1500.0)</f>
        <v>1500</v>
      </c>
      <c r="O99" s="24">
        <f>IFERROR(__xludf.DUMMYFUNCTION("""COMPUTED_VALUE"""),0.54)</f>
        <v>0.54</v>
      </c>
      <c r="P99" s="17">
        <f>IFERROR(__xludf.DUMMYFUNCTION("""COMPUTED_VALUE"""),4.2)</f>
        <v>4.2</v>
      </c>
      <c r="Q99" s="25">
        <f>IFERROR(__xludf.DUMMYFUNCTION("""COMPUTED_VALUE"""),42301.0)</f>
        <v>42301</v>
      </c>
    </row>
    <row r="100">
      <c r="A100" s="7" t="s">
        <v>123</v>
      </c>
      <c r="B100" s="7" t="s">
        <v>25</v>
      </c>
      <c r="C100" s="8">
        <v>1099.0</v>
      </c>
      <c r="D100" s="8">
        <v>1899.0</v>
      </c>
      <c r="E100" s="19">
        <v>0.42</v>
      </c>
      <c r="F100" s="10">
        <v>4.5</v>
      </c>
      <c r="G100" s="11">
        <v>22420.0</v>
      </c>
      <c r="K100" s="17" t="str">
        <f>IFERROR(__xludf.DUMMYFUNCTION("""COMPUTED_VALUE"""),"LG 108 cm (43 inches) 4K Ultra HD Smart LED TV 43UQ7500PSF (Ceramic Black)")</f>
        <v>LG 108 cm (43 inches) 4K Ultra HD Smart LED TV 43UQ7500PSF (Ceramic Black)</v>
      </c>
      <c r="L100" s="17" t="str">
        <f>IFERROR(__xludf.DUMMYFUNCTION("""COMPUTED_VALUE"""),"Electronics|HomeTheater,TV&amp;Video|Televisions|SmartTelevisions")</f>
        <v>Electronics|HomeTheater,TV&amp;Video|Televisions|SmartTelevisions</v>
      </c>
      <c r="M100" s="23">
        <f>IFERROR(__xludf.DUMMYFUNCTION("""COMPUTED_VALUE"""),30990.0)</f>
        <v>30990</v>
      </c>
      <c r="N100" s="23">
        <f>IFERROR(__xludf.DUMMYFUNCTION("""COMPUTED_VALUE"""),49990.0)</f>
        <v>49990</v>
      </c>
      <c r="O100" s="24">
        <f>IFERROR(__xludf.DUMMYFUNCTION("""COMPUTED_VALUE"""),0.38)</f>
        <v>0.38</v>
      </c>
      <c r="P100" s="17">
        <f>IFERROR(__xludf.DUMMYFUNCTION("""COMPUTED_VALUE"""),4.3)</f>
        <v>4.3</v>
      </c>
      <c r="Q100" s="25">
        <f>IFERROR(__xludf.DUMMYFUNCTION("""COMPUTED_VALUE"""),1376.0)</f>
        <v>1376</v>
      </c>
    </row>
    <row r="101">
      <c r="A101" s="7" t="s">
        <v>124</v>
      </c>
      <c r="B101" s="7" t="s">
        <v>15</v>
      </c>
      <c r="C101" s="8">
        <v>719.0</v>
      </c>
      <c r="D101" s="8">
        <v>1499.0</v>
      </c>
      <c r="E101" s="19">
        <v>0.52</v>
      </c>
      <c r="F101" s="10">
        <v>4.1</v>
      </c>
      <c r="G101" s="11">
        <v>1045.0</v>
      </c>
      <c r="K101" s="17" t="str">
        <f>IFERROR(__xludf.DUMMYFUNCTION("""COMPUTED_VALUE"""),"10k 8k 4k HDMI Cable, Certified 48Gbps 1ms Ultra High Speed HDMI 2.1 Cable 4k 120Hz 144Hz 2k 165Hz 8k 60Hz Dynamic HDR ARC eARC DTS:X Compatible for Mac Gaming PC Soundbar TV Monitor Laptop PS5 4 Xbox")</f>
        <v>10k 8k 4k HDMI Cable, Certified 48Gbps 1ms Ultra High Speed HDMI 2.1 Cable 4k 120Hz 144Hz 2k 165Hz 8k 60Hz Dynamic HDR ARC eARC DTS:X Compatible for Mac Gaming PC Soundbar TV Monitor Laptop PS5 4 Xbox</v>
      </c>
      <c r="L101" s="17" t="str">
        <f>IFERROR(__xludf.DUMMYFUNCTION("""COMPUTED_VALUE"""),"Electronics|HomeTheater,TV&amp;Video|Accessories|Cables|HDMICables")</f>
        <v>Electronics|HomeTheater,TV&amp;Video|Accessories|Cables|HDMICables</v>
      </c>
      <c r="M101" s="23">
        <f>IFERROR(__xludf.DUMMYFUNCTION("""COMPUTED_VALUE"""),999.0)</f>
        <v>999</v>
      </c>
      <c r="N101" s="23">
        <f>IFERROR(__xludf.DUMMYFUNCTION("""COMPUTED_VALUE"""),2399.0)</f>
        <v>2399</v>
      </c>
      <c r="O101" s="24">
        <f>IFERROR(__xludf.DUMMYFUNCTION("""COMPUTED_VALUE"""),0.58)</f>
        <v>0.58</v>
      </c>
      <c r="P101" s="17">
        <f>IFERROR(__xludf.DUMMYFUNCTION("""COMPUTED_VALUE"""),4.6)</f>
        <v>4.6</v>
      </c>
      <c r="Q101" s="25">
        <f>IFERROR(__xludf.DUMMYFUNCTION("""COMPUTED_VALUE"""),3664.0)</f>
        <v>3664</v>
      </c>
    </row>
    <row r="102">
      <c r="A102" s="7" t="s">
        <v>125</v>
      </c>
      <c r="B102" s="7" t="s">
        <v>71</v>
      </c>
      <c r="C102" s="8">
        <v>349.0</v>
      </c>
      <c r="D102" s="8">
        <v>1499.0</v>
      </c>
      <c r="E102" s="19">
        <v>0.77</v>
      </c>
      <c r="F102" s="10">
        <v>4.3</v>
      </c>
      <c r="G102" s="11">
        <v>4145.0</v>
      </c>
      <c r="K102" s="17" t="str">
        <f>IFERROR(__xludf.DUMMYFUNCTION("""COMPUTED_VALUE"""),"boAt Type-c A400 Type-c to USB A Cable for All Type C Phones (Lg nexus 5x), 1Mtr(Black)")</f>
        <v>boAt Type-c A400 Type-c to USB A Cable for All Type C Phones (Lg nexus 5x), 1Mtr(Black)</v>
      </c>
      <c r="L102" s="17" t="str">
        <f>IFERROR(__xludf.DUMMYFUNCTION("""COMPUTED_VALUE"""),"Computers&amp;Accessories|Accessories&amp;Peripherals|Cables&amp;Accessories|Cables|USBCables")</f>
        <v>Computers&amp;Accessories|Accessories&amp;Peripherals|Cables&amp;Accessories|Cables|USBCables</v>
      </c>
      <c r="M102" s="23">
        <f>IFERROR(__xludf.DUMMYFUNCTION("""COMPUTED_VALUE"""),349.0)</f>
        <v>349</v>
      </c>
      <c r="N102" s="23">
        <f>IFERROR(__xludf.DUMMYFUNCTION("""COMPUTED_VALUE"""),699.0)</f>
        <v>699</v>
      </c>
      <c r="O102" s="24">
        <f>IFERROR(__xludf.DUMMYFUNCTION("""COMPUTED_VALUE"""),0.5)</f>
        <v>0.5</v>
      </c>
      <c r="P102" s="17">
        <f>IFERROR(__xludf.DUMMYFUNCTION("""COMPUTED_VALUE"""),4.3)</f>
        <v>4.3</v>
      </c>
      <c r="Q102" s="25">
        <f>IFERROR(__xludf.DUMMYFUNCTION("""COMPUTED_VALUE"""),20850.0)</f>
        <v>20850</v>
      </c>
    </row>
    <row r="103">
      <c r="A103" s="7" t="s">
        <v>126</v>
      </c>
      <c r="B103" s="7" t="s">
        <v>15</v>
      </c>
      <c r="C103" s="8">
        <v>849.0</v>
      </c>
      <c r="D103" s="8">
        <v>1809.0</v>
      </c>
      <c r="E103" s="19">
        <v>0.53</v>
      </c>
      <c r="F103" s="10">
        <v>4.3</v>
      </c>
      <c r="G103" s="11">
        <v>6547.0</v>
      </c>
      <c r="K103" s="17" t="str">
        <f>IFERROR(__xludf.DUMMYFUNCTION("""COMPUTED_VALUE"""),"Zoul Type C to Type C Fast Charging Cable 65W 2M/6ft USB C Nylon Braided Cord Compatible with MacBook Oneplus 9 9R Samsung Galaxy S21 Ultra S20+ (2M, Black)")</f>
        <v>Zoul Type C to Type C Fast Charging Cable 65W 2M/6ft USB C Nylon Braided Cord Compatible with MacBook Oneplus 9 9R Samsung Galaxy S21 Ultra S20+ (2M, Black)</v>
      </c>
      <c r="L103" s="17" t="str">
        <f>IFERROR(__xludf.DUMMYFUNCTION("""COMPUTED_VALUE"""),"Computers&amp;Accessories|Accessories&amp;Peripherals|Cables&amp;Accessories|Cables|USBCables")</f>
        <v>Computers&amp;Accessories|Accessories&amp;Peripherals|Cables&amp;Accessories|Cables|USBCables</v>
      </c>
      <c r="M103" s="23">
        <f>IFERROR(__xludf.DUMMYFUNCTION("""COMPUTED_VALUE"""),399.0)</f>
        <v>399</v>
      </c>
      <c r="N103" s="23">
        <f>IFERROR(__xludf.DUMMYFUNCTION("""COMPUTED_VALUE"""),1099.0)</f>
        <v>1099</v>
      </c>
      <c r="O103" s="24">
        <f>IFERROR(__xludf.DUMMYFUNCTION("""COMPUTED_VALUE"""),0.64)</f>
        <v>0.64</v>
      </c>
      <c r="P103" s="17">
        <f>IFERROR(__xludf.DUMMYFUNCTION("""COMPUTED_VALUE"""),4.1)</f>
        <v>4.1</v>
      </c>
      <c r="Q103" s="25">
        <f>IFERROR(__xludf.DUMMYFUNCTION("""COMPUTED_VALUE"""),2685.0)</f>
        <v>2685</v>
      </c>
    </row>
    <row r="104">
      <c r="A104" s="7" t="s">
        <v>127</v>
      </c>
      <c r="B104" s="7" t="s">
        <v>71</v>
      </c>
      <c r="C104" s="8">
        <v>299.0</v>
      </c>
      <c r="D104" s="8">
        <v>899.0</v>
      </c>
      <c r="E104" s="19">
        <v>0.67</v>
      </c>
      <c r="F104" s="10">
        <v>4.0</v>
      </c>
      <c r="G104" s="11">
        <v>1588.0</v>
      </c>
      <c r="K104" s="17" t="str">
        <f>IFERROR(__xludf.DUMMYFUNCTION("""COMPUTED_VALUE"""),"TP-LINK AC1300 Archer T3U Plus High Gain USB 3.0 Wi-Fi Dongle, Wireless Dual Band MU-MIMO WiFi Adapter with High Gain Antenna, Supports Windows 11/10/8.1/8/7/XP/MacOS")</f>
        <v>TP-LINK AC1300 Archer T3U Plus High Gain USB 3.0 Wi-Fi Dongle, Wireless Dual Band MU-MIMO WiFi Adapter with High Gain Antenna, Supports Windows 11/10/8.1/8/7/XP/MacOS</v>
      </c>
      <c r="L104" s="17" t="str">
        <f>IFERROR(__xludf.DUMMYFUNCTION("""COMPUTED_VALUE"""),"Computers&amp;Accessories|NetworkingDevices|NetworkAdapters|WirelessUSBAdapters")</f>
        <v>Computers&amp;Accessories|NetworkingDevices|NetworkAdapters|WirelessUSBAdapters</v>
      </c>
      <c r="M104" s="23">
        <f>IFERROR(__xludf.DUMMYFUNCTION("""COMPUTED_VALUE"""),1699.0)</f>
        <v>1699</v>
      </c>
      <c r="N104" s="23">
        <f>IFERROR(__xludf.DUMMYFUNCTION("""COMPUTED_VALUE"""),2999.0)</f>
        <v>2999</v>
      </c>
      <c r="O104" s="24">
        <f>IFERROR(__xludf.DUMMYFUNCTION("""COMPUTED_VALUE"""),0.43)</f>
        <v>0.43</v>
      </c>
      <c r="P104" s="17">
        <f>IFERROR(__xludf.DUMMYFUNCTION("""COMPUTED_VALUE"""),4.4)</f>
        <v>4.4</v>
      </c>
      <c r="Q104" s="25">
        <f>IFERROR(__xludf.DUMMYFUNCTION("""COMPUTED_VALUE"""),24780.0)</f>
        <v>24780</v>
      </c>
    </row>
    <row r="105">
      <c r="A105" s="7" t="s">
        <v>128</v>
      </c>
      <c r="B105" s="7" t="s">
        <v>37</v>
      </c>
      <c r="C105" s="8">
        <v>21999.0</v>
      </c>
      <c r="D105" s="8">
        <v>29999.0</v>
      </c>
      <c r="E105" s="19">
        <v>0.27</v>
      </c>
      <c r="F105" s="10">
        <v>4.2</v>
      </c>
      <c r="G105" s="11">
        <v>32840.0</v>
      </c>
      <c r="K105" s="17" t="str">
        <f>IFERROR(__xludf.DUMMYFUNCTION("""COMPUTED_VALUE"""),"TP-Link Nano USB WiFi Dongle 150Mbps High Gain Wireless Network Wi-Fi Adapter for PC Desktop and Laptops, Supports Windows 10/8.1/8/7/XP, Linux, Mac OS X (TL-WN722N)")</f>
        <v>TP-Link Nano USB WiFi Dongle 150Mbps High Gain Wireless Network Wi-Fi Adapter for PC Desktop and Laptops, Supports Windows 10/8.1/8/7/XP, Linux, Mac OS X (TL-WN722N)</v>
      </c>
      <c r="L105" s="17" t="str">
        <f>IFERROR(__xludf.DUMMYFUNCTION("""COMPUTED_VALUE"""),"Computers&amp;Accessories|NetworkingDevices|NetworkAdapters|WirelessUSBAdapters")</f>
        <v>Computers&amp;Accessories|NetworkingDevices|NetworkAdapters|WirelessUSBAdapters</v>
      </c>
      <c r="M105" s="23">
        <f>IFERROR(__xludf.DUMMYFUNCTION("""COMPUTED_VALUE"""),749.0)</f>
        <v>749</v>
      </c>
      <c r="N105" s="23">
        <f>IFERROR(__xludf.DUMMYFUNCTION("""COMPUTED_VALUE"""),1339.0)</f>
        <v>1339</v>
      </c>
      <c r="O105" s="24">
        <f>IFERROR(__xludf.DUMMYFUNCTION("""COMPUTED_VALUE"""),0.44)</f>
        <v>0.44</v>
      </c>
      <c r="P105" s="17">
        <f>IFERROR(__xludf.DUMMYFUNCTION("""COMPUTED_VALUE"""),4.2)</f>
        <v>4.2</v>
      </c>
      <c r="Q105" s="17" t="str">
        <f>IFERROR(__xludf.DUMMYFUNCTION("""COMPUTED_VALUE"""),"1,79,692")</f>
        <v>1,79,692</v>
      </c>
    </row>
    <row r="106">
      <c r="A106" s="7" t="s">
        <v>129</v>
      </c>
      <c r="B106" s="7" t="s">
        <v>15</v>
      </c>
      <c r="C106" s="8">
        <v>349.0</v>
      </c>
      <c r="D106" s="8">
        <v>999.0</v>
      </c>
      <c r="E106" s="19">
        <v>0.65</v>
      </c>
      <c r="F106" s="10">
        <v>4.2</v>
      </c>
      <c r="G106" s="11">
        <v>13120.0</v>
      </c>
      <c r="K106" s="17" t="str">
        <f>IFERROR(__xludf.DUMMYFUNCTION("""COMPUTED_VALUE"""),"Kodak 80 cm (32 inches) HD Ready Certified Android LED TV 32HDX7XPRO (Black)")</f>
        <v>Kodak 80 cm (32 inches) HD Ready Certified Android LED TV 32HDX7XPRO (Black)</v>
      </c>
      <c r="L106" s="17" t="str">
        <f>IFERROR(__xludf.DUMMYFUNCTION("""COMPUTED_VALUE"""),"Electronics|HomeTheater,TV&amp;Video|Televisions|SmartTelevisions")</f>
        <v>Electronics|HomeTheater,TV&amp;Video|Televisions|SmartTelevisions</v>
      </c>
      <c r="M106" s="23">
        <f>IFERROR(__xludf.DUMMYFUNCTION("""COMPUTED_VALUE"""),9999.0)</f>
        <v>9999</v>
      </c>
      <c r="N106" s="23">
        <f>IFERROR(__xludf.DUMMYFUNCTION("""COMPUTED_VALUE"""),12999.0)</f>
        <v>12999</v>
      </c>
      <c r="O106" s="24">
        <f>IFERROR(__xludf.DUMMYFUNCTION("""COMPUTED_VALUE"""),0.23)</f>
        <v>0.23</v>
      </c>
      <c r="P106" s="17">
        <f>IFERROR(__xludf.DUMMYFUNCTION("""COMPUTED_VALUE"""),4.2)</f>
        <v>4.2</v>
      </c>
      <c r="Q106" s="25">
        <f>IFERROR(__xludf.DUMMYFUNCTION("""COMPUTED_VALUE"""),6088.0)</f>
        <v>6088</v>
      </c>
    </row>
    <row r="107">
      <c r="A107" s="7" t="s">
        <v>130</v>
      </c>
      <c r="B107" s="7" t="s">
        <v>15</v>
      </c>
      <c r="C107" s="8">
        <v>399.0</v>
      </c>
      <c r="D107" s="8">
        <v>999.0</v>
      </c>
      <c r="E107" s="19">
        <v>0.6</v>
      </c>
      <c r="F107" s="10">
        <v>4.3</v>
      </c>
      <c r="G107" s="11">
        <v>2806.0</v>
      </c>
      <c r="K107" s="17" t="str">
        <f>IFERROR(__xludf.DUMMYFUNCTION("""COMPUTED_VALUE"""),"AmazonBasics New Release Nylon USB-A to Lightning Cable Cord, MFi Certified Charger for Apple iPhone, iPad, Silver, 6-Ft")</f>
        <v>AmazonBasics New Release Nylon USB-A to Lightning Cable Cord, MFi Certified Charger for Apple iPhone, iPad, Silver, 6-Ft</v>
      </c>
      <c r="L107" s="17" t="str">
        <f>IFERROR(__xludf.DUMMYFUNCTION("""COMPUTED_VALUE"""),"Computers&amp;Accessories|Accessories&amp;Peripherals|Cables&amp;Accessories|Cables|USBCables")</f>
        <v>Computers&amp;Accessories|Accessories&amp;Peripherals|Cables&amp;Accessories|Cables|USBCables</v>
      </c>
      <c r="M107" s="23">
        <f>IFERROR(__xludf.DUMMYFUNCTION("""COMPUTED_VALUE"""),999.0)</f>
        <v>999</v>
      </c>
      <c r="N107" s="23">
        <f>IFERROR(__xludf.DUMMYFUNCTION("""COMPUTED_VALUE"""),2100.0)</f>
        <v>2100</v>
      </c>
      <c r="O107" s="24">
        <f>IFERROR(__xludf.DUMMYFUNCTION("""COMPUTED_VALUE"""),0.52)</f>
        <v>0.52</v>
      </c>
      <c r="P107" s="17">
        <f>IFERROR(__xludf.DUMMYFUNCTION("""COMPUTED_VALUE"""),4.5)</f>
        <v>4.5</v>
      </c>
      <c r="Q107" s="25">
        <f>IFERROR(__xludf.DUMMYFUNCTION("""COMPUTED_VALUE"""),5492.0)</f>
        <v>5492</v>
      </c>
    </row>
    <row r="108">
      <c r="A108" s="7" t="s">
        <v>131</v>
      </c>
      <c r="B108" s="7" t="s">
        <v>15</v>
      </c>
      <c r="C108" s="8">
        <v>449.0</v>
      </c>
      <c r="D108" s="8">
        <v>1299.0</v>
      </c>
      <c r="E108" s="19">
        <v>0.65</v>
      </c>
      <c r="F108" s="10">
        <v>4.2</v>
      </c>
      <c r="G108" s="11">
        <v>24269.0</v>
      </c>
      <c r="K108" s="17" t="str">
        <f>IFERROR(__xludf.DUMMYFUNCTION("""COMPUTED_VALUE"""),"Ambrane Fast 100W Output Cable with Type-C to Type-C for Mobile, Laptop, Macbook &amp; Table Charging, 480mbps Data Sync Speed, Braided Cable, 1.5m Length (ABCC-100, Black-Grey)")</f>
        <v>Ambrane Fast 100W Output Cable with Type-C to Type-C for Mobile, Laptop, Macbook &amp; Table Charging, 480mbps Data Sync Speed, Braided Cable, 1.5m Length (ABCC-100, Black-Grey)</v>
      </c>
      <c r="L108" s="17" t="str">
        <f>IFERROR(__xludf.DUMMYFUNCTION("""COMPUTED_VALUE"""),"Computers&amp;Accessories|Accessories&amp;Peripherals|Cables&amp;Accessories|Cables|USBCables")</f>
        <v>Computers&amp;Accessories|Accessories&amp;Peripherals|Cables&amp;Accessories|Cables|USBCables</v>
      </c>
      <c r="M108" s="23">
        <f>IFERROR(__xludf.DUMMYFUNCTION("""COMPUTED_VALUE"""),499.0)</f>
        <v>499</v>
      </c>
      <c r="N108" s="23">
        <f>IFERROR(__xludf.DUMMYFUNCTION("""COMPUTED_VALUE"""),899.0)</f>
        <v>899</v>
      </c>
      <c r="O108" s="24">
        <f>IFERROR(__xludf.DUMMYFUNCTION("""COMPUTED_VALUE"""),0.44)</f>
        <v>0.44</v>
      </c>
      <c r="P108" s="17">
        <f>IFERROR(__xludf.DUMMYFUNCTION("""COMPUTED_VALUE"""),4.2)</f>
        <v>4.2</v>
      </c>
      <c r="Q108" s="17">
        <f>IFERROR(__xludf.DUMMYFUNCTION("""COMPUTED_VALUE"""),919.0)</f>
        <v>919</v>
      </c>
    </row>
    <row r="109">
      <c r="A109" s="7" t="s">
        <v>132</v>
      </c>
      <c r="B109" s="7" t="s">
        <v>15</v>
      </c>
      <c r="C109" s="8">
        <v>299.0</v>
      </c>
      <c r="D109" s="8">
        <v>999.0</v>
      </c>
      <c r="E109" s="19">
        <v>0.7</v>
      </c>
      <c r="F109" s="10">
        <v>4.3</v>
      </c>
      <c r="G109" s="10">
        <v>766.0</v>
      </c>
      <c r="K109" s="17" t="str">
        <f>IFERROR(__xludf.DUMMYFUNCTION("""COMPUTED_VALUE"""),"BlueRigger Digital Optical Audio Toslink Cable (3.3 Feet / 1 Meter) With 8 Channel (7.1) Audio Support (for Home Theatre, Xbox, Playstation etc.)")</f>
        <v>BlueRigger Digital Optical Audio Toslink Cable (3.3 Feet / 1 Meter) With 8 Channel (7.1) Audio Support (for Home Theatre, Xbox, Playstation etc.)</v>
      </c>
      <c r="L109" s="17" t="str">
        <f>IFERROR(__xludf.DUMMYFUNCTION("""COMPUTED_VALUE"""),"Electronics|HomeTheater,TV&amp;Video|Accessories|Cables|OpticalCables")</f>
        <v>Electronics|HomeTheater,TV&amp;Video|Accessories|Cables|OpticalCables</v>
      </c>
      <c r="M109" s="23">
        <f>IFERROR(__xludf.DUMMYFUNCTION("""COMPUTED_VALUE"""),416.0)</f>
        <v>416</v>
      </c>
      <c r="N109" s="23">
        <f>IFERROR(__xludf.DUMMYFUNCTION("""COMPUTED_VALUE"""),599.0)</f>
        <v>599</v>
      </c>
      <c r="O109" s="24">
        <f>IFERROR(__xludf.DUMMYFUNCTION("""COMPUTED_VALUE"""),0.31)</f>
        <v>0.31</v>
      </c>
      <c r="P109" s="17">
        <f>IFERROR(__xludf.DUMMYFUNCTION("""COMPUTED_VALUE"""),4.2)</f>
        <v>4.2</v>
      </c>
      <c r="Q109" s="25">
        <f>IFERROR(__xludf.DUMMYFUNCTION("""COMPUTED_VALUE"""),30023.0)</f>
        <v>30023</v>
      </c>
    </row>
    <row r="110">
      <c r="A110" s="7" t="s">
        <v>133</v>
      </c>
      <c r="B110" s="7" t="s">
        <v>37</v>
      </c>
      <c r="C110" s="8">
        <v>37999.0</v>
      </c>
      <c r="D110" s="8">
        <v>65000.0</v>
      </c>
      <c r="E110" s="19">
        <v>0.42</v>
      </c>
      <c r="F110" s="10">
        <v>4.3</v>
      </c>
      <c r="G110" s="11">
        <v>3587.0</v>
      </c>
      <c r="K110" s="17" t="str">
        <f>IFERROR(__xludf.DUMMYFUNCTION("""COMPUTED_VALUE"""),"Duracell Type-C To Micro 1.2M braided Sync &amp; Charge Cable, USB C to Micro Fast Charge Compatible for fast data transmission (Black)")</f>
        <v>Duracell Type-C To Micro 1.2M braided Sync &amp; Charge Cable, USB C to Micro Fast Charge Compatible for fast data transmission (Black)</v>
      </c>
      <c r="L110" s="17" t="str">
        <f>IFERROR(__xludf.DUMMYFUNCTION("""COMPUTED_VALUE"""),"Computers&amp;Accessories|Accessories&amp;Peripherals|Cables&amp;Accessories|Cables|USBCables")</f>
        <v>Computers&amp;Accessories|Accessories&amp;Peripherals|Cables&amp;Accessories|Cables|USBCables</v>
      </c>
      <c r="M110" s="23">
        <f>IFERROR(__xludf.DUMMYFUNCTION("""COMPUTED_VALUE"""),368.0)</f>
        <v>368</v>
      </c>
      <c r="N110" s="23">
        <f>IFERROR(__xludf.DUMMYFUNCTION("""COMPUTED_VALUE"""),699.0)</f>
        <v>699</v>
      </c>
      <c r="O110" s="24">
        <f>IFERROR(__xludf.DUMMYFUNCTION("""COMPUTED_VALUE"""),0.47)</f>
        <v>0.47</v>
      </c>
      <c r="P110" s="17">
        <f>IFERROR(__xludf.DUMMYFUNCTION("""COMPUTED_VALUE"""),4.2)</f>
        <v>4.2</v>
      </c>
      <c r="Q110" s="17">
        <f>IFERROR(__xludf.DUMMYFUNCTION("""COMPUTED_VALUE"""),387.0)</f>
        <v>387</v>
      </c>
    </row>
    <row r="111">
      <c r="A111" s="7" t="s">
        <v>134</v>
      </c>
      <c r="B111" s="7" t="s">
        <v>15</v>
      </c>
      <c r="C111" s="8">
        <v>99.0</v>
      </c>
      <c r="D111" s="8">
        <v>800.0</v>
      </c>
      <c r="E111" s="19">
        <v>0.88</v>
      </c>
      <c r="F111" s="10">
        <v>3.9</v>
      </c>
      <c r="G111" s="11">
        <v>24871.0</v>
      </c>
      <c r="K111" s="17" t="str">
        <f>IFERROR(__xludf.DUMMYFUNCTION("""COMPUTED_VALUE"""),"VU 138 cm (55 inches) Premium Series 4K Ultra HD Smart IPS LED TV 55UT (Black)")</f>
        <v>VU 138 cm (55 inches) Premium Series 4K Ultra HD Smart IPS LED TV 55UT (Black)</v>
      </c>
      <c r="L111" s="17" t="str">
        <f>IFERROR(__xludf.DUMMYFUNCTION("""COMPUTED_VALUE"""),"Electronics|HomeTheater,TV&amp;Video|Televisions|SmartTelevisions")</f>
        <v>Electronics|HomeTheater,TV&amp;Video|Televisions|SmartTelevisions</v>
      </c>
      <c r="M111" s="23">
        <f>IFERROR(__xludf.DUMMYFUNCTION("""COMPUTED_VALUE"""),29990.0)</f>
        <v>29990</v>
      </c>
      <c r="N111" s="23">
        <f>IFERROR(__xludf.DUMMYFUNCTION("""COMPUTED_VALUE"""),65000.0)</f>
        <v>65000</v>
      </c>
      <c r="O111" s="24">
        <f>IFERROR(__xludf.DUMMYFUNCTION("""COMPUTED_VALUE"""),0.54)</f>
        <v>0.54</v>
      </c>
      <c r="P111" s="17">
        <f>IFERROR(__xludf.DUMMYFUNCTION("""COMPUTED_VALUE"""),4.1)</f>
        <v>4.1</v>
      </c>
      <c r="Q111" s="17">
        <f>IFERROR(__xludf.DUMMYFUNCTION("""COMPUTED_VALUE"""),211.0)</f>
        <v>211</v>
      </c>
    </row>
    <row r="112">
      <c r="A112" s="7" t="s">
        <v>135</v>
      </c>
      <c r="B112" s="7" t="s">
        <v>77</v>
      </c>
      <c r="C112" s="8">
        <v>7390.0</v>
      </c>
      <c r="D112" s="8">
        <v>20000.0</v>
      </c>
      <c r="E112" s="19">
        <v>0.63</v>
      </c>
      <c r="F112" s="10">
        <v>4.1</v>
      </c>
      <c r="G112" s="11">
        <v>2581.0</v>
      </c>
      <c r="K112" s="17" t="str">
        <f>IFERROR(__xludf.DUMMYFUNCTION("""COMPUTED_VALUE"""),"Zoul USB Type C Fast Charging 3A Nylon Braided Data Cable Quick Charger Cable QC 3.0 for Samsung Galaxy M31s M30 S10 S9 S20 Plus, Note 10 9 8, A20e A40 A50 A70 (1M, Grey)")</f>
        <v>Zoul USB Type C Fast Charging 3A Nylon Braided Data Cable Quick Charger Cable QC 3.0 for Samsung Galaxy M31s M30 S10 S9 S20 Plus, Note 10 9 8, A20e A40 A50 A70 (1M, Grey)</v>
      </c>
      <c r="L112" s="17" t="str">
        <f>IFERROR(__xludf.DUMMYFUNCTION("""COMPUTED_VALUE"""),"Computers&amp;Accessories|Accessories&amp;Peripherals|Cables&amp;Accessories|Cables|USBCables")</f>
        <v>Computers&amp;Accessories|Accessories&amp;Peripherals|Cables&amp;Accessories|Cables|USBCables</v>
      </c>
      <c r="M112" s="23">
        <f>IFERROR(__xludf.DUMMYFUNCTION("""COMPUTED_VALUE"""),339.0)</f>
        <v>339</v>
      </c>
      <c r="N112" s="23">
        <f>IFERROR(__xludf.DUMMYFUNCTION("""COMPUTED_VALUE"""),1099.0)</f>
        <v>1099</v>
      </c>
      <c r="O112" s="24">
        <f>IFERROR(__xludf.DUMMYFUNCTION("""COMPUTED_VALUE"""),0.69)</f>
        <v>0.69</v>
      </c>
      <c r="P112" s="17">
        <f>IFERROR(__xludf.DUMMYFUNCTION("""COMPUTED_VALUE"""),4.3)</f>
        <v>4.3</v>
      </c>
      <c r="Q112" s="17">
        <f>IFERROR(__xludf.DUMMYFUNCTION("""COMPUTED_VALUE"""),974.0)</f>
        <v>974</v>
      </c>
    </row>
    <row r="113">
      <c r="A113" s="7" t="s">
        <v>136</v>
      </c>
      <c r="B113" s="7" t="s">
        <v>15</v>
      </c>
      <c r="C113" s="8">
        <v>273.1</v>
      </c>
      <c r="D113" s="8">
        <v>999.0</v>
      </c>
      <c r="E113" s="19">
        <v>0.73</v>
      </c>
      <c r="F113" s="10">
        <v>4.3</v>
      </c>
      <c r="G113" s="11">
        <v>20850.0</v>
      </c>
      <c r="K113" s="17" t="str">
        <f>IFERROR(__xludf.DUMMYFUNCTION("""COMPUTED_VALUE"""),"Samsung 80 cm (32 inches) Wondertainment Series HD Ready LED Smart TV UA32TE40AAKBXL (Titan Gray)")</f>
        <v>Samsung 80 cm (32 inches) Wondertainment Series HD Ready LED Smart TV UA32TE40AAKBXL (Titan Gray)</v>
      </c>
      <c r="L113" s="17" t="str">
        <f>IFERROR(__xludf.DUMMYFUNCTION("""COMPUTED_VALUE"""),"Electronics|HomeTheater,TV&amp;Video|Televisions|SmartTelevisions")</f>
        <v>Electronics|HomeTheater,TV&amp;Video|Televisions|SmartTelevisions</v>
      </c>
      <c r="M113" s="23">
        <f>IFERROR(__xludf.DUMMYFUNCTION("""COMPUTED_VALUE"""),15490.0)</f>
        <v>15490</v>
      </c>
      <c r="N113" s="23">
        <f>IFERROR(__xludf.DUMMYFUNCTION("""COMPUTED_VALUE"""),20900.0)</f>
        <v>20900</v>
      </c>
      <c r="O113" s="24">
        <f>IFERROR(__xludf.DUMMYFUNCTION("""COMPUTED_VALUE"""),0.26)</f>
        <v>0.26</v>
      </c>
      <c r="P113" s="17">
        <f>IFERROR(__xludf.DUMMYFUNCTION("""COMPUTED_VALUE"""),4.3)</f>
        <v>4.3</v>
      </c>
      <c r="Q113" s="25">
        <f>IFERROR(__xludf.DUMMYFUNCTION("""COMPUTED_VALUE"""),16299.0)</f>
        <v>16299</v>
      </c>
    </row>
    <row r="114">
      <c r="A114" s="7" t="s">
        <v>137</v>
      </c>
      <c r="B114" s="7" t="s">
        <v>37</v>
      </c>
      <c r="C114" s="8">
        <v>15990.0</v>
      </c>
      <c r="D114" s="8">
        <v>23990.0</v>
      </c>
      <c r="E114" s="19">
        <v>0.33</v>
      </c>
      <c r="F114" s="10">
        <v>4.3</v>
      </c>
      <c r="G114" s="11">
        <v>1035.0</v>
      </c>
      <c r="K114" s="17" t="str">
        <f>IFERROR(__xludf.DUMMYFUNCTION("""COMPUTED_VALUE"""),"MI Xiaomi USB Type C HYperCharge Cable 6A 100cm Sturdy and Durable Black Supports 120W HyperCharging")</f>
        <v>MI Xiaomi USB Type C HYperCharge Cable 6A 100cm Sturdy and Durable Black Supports 120W HyperCharging</v>
      </c>
      <c r="L114" s="17" t="str">
        <f>IFERROR(__xludf.DUMMYFUNCTION("""COMPUTED_VALUE"""),"Computers&amp;Accessories|Accessories&amp;Peripherals|Cables&amp;Accessories|Cables|USBCables")</f>
        <v>Computers&amp;Accessories|Accessories&amp;Peripherals|Cables&amp;Accessories|Cables|USBCables</v>
      </c>
      <c r="M114" s="23">
        <f>IFERROR(__xludf.DUMMYFUNCTION("""COMPUTED_VALUE"""),499.0)</f>
        <v>499</v>
      </c>
      <c r="N114" s="23">
        <f>IFERROR(__xludf.DUMMYFUNCTION("""COMPUTED_VALUE"""),1299.0)</f>
        <v>1299</v>
      </c>
      <c r="O114" s="24">
        <f>IFERROR(__xludf.DUMMYFUNCTION("""COMPUTED_VALUE"""),0.62)</f>
        <v>0.62</v>
      </c>
      <c r="P114" s="17">
        <f>IFERROR(__xludf.DUMMYFUNCTION("""COMPUTED_VALUE"""),4.3)</f>
        <v>4.3</v>
      </c>
      <c r="Q114" s="25">
        <f>IFERROR(__xludf.DUMMYFUNCTION("""COMPUTED_VALUE"""),30411.0)</f>
        <v>30411</v>
      </c>
    </row>
    <row r="115">
      <c r="A115" s="7" t="s">
        <v>138</v>
      </c>
      <c r="B115" s="7" t="s">
        <v>15</v>
      </c>
      <c r="C115" s="8">
        <v>399.0</v>
      </c>
      <c r="D115" s="8">
        <v>999.0</v>
      </c>
      <c r="E115" s="19">
        <v>0.6</v>
      </c>
      <c r="F115" s="10">
        <v>4.1</v>
      </c>
      <c r="G115" s="11">
        <v>1780.0</v>
      </c>
      <c r="K115" s="17" t="str">
        <f>IFERROR(__xludf.DUMMYFUNCTION("""COMPUTED_VALUE"""),"7SEVEN® Compatible for Tata Sky Remote Original Set Top HD Box and Suitable for SD Tata Play setup Box Remote Control")</f>
        <v>7SEVEN® Compatible for Tata Sky Remote Original Set Top HD Box and Suitable for SD Tata Play setup Box Remote Control</v>
      </c>
      <c r="L115" s="17" t="str">
        <f>IFERROR(__xludf.DUMMYFUNCTION("""COMPUTED_VALUE"""),"Electronics|HomeTheater,TV&amp;Video|Accessories|RemoteControls")</f>
        <v>Electronics|HomeTheater,TV&amp;Video|Accessories|RemoteControls</v>
      </c>
      <c r="M115" s="23">
        <f>IFERROR(__xludf.DUMMYFUNCTION("""COMPUTED_VALUE"""),399.0)</f>
        <v>399</v>
      </c>
      <c r="N115" s="23">
        <f>IFERROR(__xludf.DUMMYFUNCTION("""COMPUTED_VALUE"""),799.0)</f>
        <v>799</v>
      </c>
      <c r="O115" s="24">
        <f>IFERROR(__xludf.DUMMYFUNCTION("""COMPUTED_VALUE"""),0.5)</f>
        <v>0.5</v>
      </c>
      <c r="P115" s="17">
        <f>IFERROR(__xludf.DUMMYFUNCTION("""COMPUTED_VALUE"""),4.3)</f>
        <v>4.3</v>
      </c>
      <c r="Q115" s="17">
        <f>IFERROR(__xludf.DUMMYFUNCTION("""COMPUTED_VALUE"""),12.0)</f>
        <v>12</v>
      </c>
    </row>
    <row r="116">
      <c r="A116" s="7" t="s">
        <v>139</v>
      </c>
      <c r="B116" s="7" t="s">
        <v>71</v>
      </c>
      <c r="C116" s="8">
        <v>399.0</v>
      </c>
      <c r="D116" s="8">
        <v>1999.0</v>
      </c>
      <c r="E116" s="19">
        <v>0.8</v>
      </c>
      <c r="F116" s="10">
        <v>4.5</v>
      </c>
      <c r="G116" s="10">
        <v>505.0</v>
      </c>
      <c r="K116" s="17" t="str">
        <f>IFERROR(__xludf.DUMMYFUNCTION("""COMPUTED_VALUE"""),"Belkin Apple Certified Lightning To Type C Cable, Fast Charging For Iphone, Ipad, Air Pods, 3.3 Feet (1 Meters)    White")</f>
        <v>Belkin Apple Certified Lightning To Type C Cable, Fast Charging For Iphone, Ipad, Air Pods, 3.3 Feet (1 Meters)    White</v>
      </c>
      <c r="L116" s="17" t="str">
        <f>IFERROR(__xludf.DUMMYFUNCTION("""COMPUTED_VALUE"""),"Computers&amp;Accessories|Accessories&amp;Peripherals|Cables&amp;Accessories|Cables|USBCables")</f>
        <v>Computers&amp;Accessories|Accessories&amp;Peripherals|Cables&amp;Accessories|Cables|USBCables</v>
      </c>
      <c r="M116" s="23">
        <f>IFERROR(__xludf.DUMMYFUNCTION("""COMPUTED_VALUE"""),1499.0)</f>
        <v>1499</v>
      </c>
      <c r="N116" s="23">
        <f>IFERROR(__xludf.DUMMYFUNCTION("""COMPUTED_VALUE"""),1999.0)</f>
        <v>1999</v>
      </c>
      <c r="O116" s="24">
        <f>IFERROR(__xludf.DUMMYFUNCTION("""COMPUTED_VALUE"""),0.25)</f>
        <v>0.25</v>
      </c>
      <c r="P116" s="17">
        <f>IFERROR(__xludf.DUMMYFUNCTION("""COMPUTED_VALUE"""),4.4)</f>
        <v>4.4</v>
      </c>
      <c r="Q116" s="25">
        <f>IFERROR(__xludf.DUMMYFUNCTION("""COMPUTED_VALUE"""),1951.0)</f>
        <v>1951</v>
      </c>
    </row>
    <row r="117">
      <c r="A117" s="7" t="s">
        <v>140</v>
      </c>
      <c r="B117" s="7" t="s">
        <v>15</v>
      </c>
      <c r="C117" s="8">
        <v>210.0</v>
      </c>
      <c r="D117" s="8">
        <v>399.0</v>
      </c>
      <c r="E117" s="19">
        <v>0.47</v>
      </c>
      <c r="F117" s="10">
        <v>4.1</v>
      </c>
      <c r="G117" s="11">
        <v>1717.0</v>
      </c>
      <c r="K117" s="17" t="str">
        <f>IFERROR(__xludf.DUMMYFUNCTION("""COMPUTED_VALUE"""),"ZEBRONICS HAA2021 HDMI version 2.1 cable with 8K @ 60Hz, 4K @ 120Hz, eARC &amp; CEC support, 3D compatible, 2 meters length, 48Gbps max and Gold-plated connectors")</f>
        <v>ZEBRONICS HAA2021 HDMI version 2.1 cable with 8K @ 60Hz, 4K @ 120Hz, eARC &amp; CEC support, 3D compatible, 2 meters length, 48Gbps max and Gold-plated connectors</v>
      </c>
      <c r="L117" s="17" t="str">
        <f>IFERROR(__xludf.DUMMYFUNCTION("""COMPUTED_VALUE"""),"Electronics|HomeTheater,TV&amp;Video|Accessories|Cables|HDMICables")</f>
        <v>Electronics|HomeTheater,TV&amp;Video|Accessories|Cables|HDMICables</v>
      </c>
      <c r="M117" s="23">
        <f>IFERROR(__xludf.DUMMYFUNCTION("""COMPUTED_VALUE"""),637.0)</f>
        <v>637</v>
      </c>
      <c r="N117" s="23">
        <f>IFERROR(__xludf.DUMMYFUNCTION("""COMPUTED_VALUE"""),1499.0)</f>
        <v>1499</v>
      </c>
      <c r="O117" s="24">
        <f>IFERROR(__xludf.DUMMYFUNCTION("""COMPUTED_VALUE"""),0.58)</f>
        <v>0.58</v>
      </c>
      <c r="P117" s="17">
        <f>IFERROR(__xludf.DUMMYFUNCTION("""COMPUTED_VALUE"""),4.1)</f>
        <v>4.1</v>
      </c>
      <c r="Q117" s="17">
        <f>IFERROR(__xludf.DUMMYFUNCTION("""COMPUTED_VALUE"""),24.0)</f>
        <v>24</v>
      </c>
    </row>
    <row r="118">
      <c r="A118" s="7" t="s">
        <v>141</v>
      </c>
      <c r="B118" s="7" t="s">
        <v>71</v>
      </c>
      <c r="C118" s="8">
        <v>1299.0</v>
      </c>
      <c r="D118" s="8">
        <v>1999.0</v>
      </c>
      <c r="E118" s="19">
        <v>0.35</v>
      </c>
      <c r="F118" s="10">
        <v>3.6</v>
      </c>
      <c r="G118" s="10">
        <v>590.0</v>
      </c>
      <c r="K118" s="17" t="str">
        <f>IFERROR(__xludf.DUMMYFUNCTION("""COMPUTED_VALUE"""),"Wayona Type C Cable Nylon Braided USB C QC 3.0 Fast Charging Short Power Bank Cable for Samsung Galaxy S10e/S10+/S10/S9/S9+/Note 9/S8/Note 8, LG G7 G5 G6, Moto G6 G7 (0.25M, Black)")</f>
        <v>Wayona Type C Cable Nylon Braided USB C QC 3.0 Fast Charging Short Power Bank Cable for Samsung Galaxy S10e/S10+/S10/S9/S9+/Note 9/S8/Note 8, LG G7 G5 G6, Moto G6 G7 (0.25M, Black)</v>
      </c>
      <c r="L118" s="17" t="str">
        <f>IFERROR(__xludf.DUMMYFUNCTION("""COMPUTED_VALUE"""),"Computers&amp;Accessories|Accessories&amp;Peripherals|Cables&amp;Accessories|Cables|USBCables")</f>
        <v>Computers&amp;Accessories|Accessories&amp;Peripherals|Cables&amp;Accessories|Cables|USBCables</v>
      </c>
      <c r="M118" s="23">
        <f>IFERROR(__xludf.DUMMYFUNCTION("""COMPUTED_VALUE"""),339.0)</f>
        <v>339</v>
      </c>
      <c r="N118" s="23">
        <f>IFERROR(__xludf.DUMMYFUNCTION("""COMPUTED_VALUE"""),999.0)</f>
        <v>999</v>
      </c>
      <c r="O118" s="24">
        <f>IFERROR(__xludf.DUMMYFUNCTION("""COMPUTED_VALUE"""),0.66)</f>
        <v>0.66</v>
      </c>
      <c r="P118" s="17">
        <f>IFERROR(__xludf.DUMMYFUNCTION("""COMPUTED_VALUE"""),4.3)</f>
        <v>4.3</v>
      </c>
      <c r="Q118" s="25">
        <f>IFERROR(__xludf.DUMMYFUNCTION("""COMPUTED_VALUE"""),6255.0)</f>
        <v>6255</v>
      </c>
    </row>
    <row r="119">
      <c r="A119" s="7" t="s">
        <v>142</v>
      </c>
      <c r="B119" s="7" t="s">
        <v>15</v>
      </c>
      <c r="C119" s="8">
        <v>347.0</v>
      </c>
      <c r="D119" s="8">
        <v>999.0</v>
      </c>
      <c r="E119" s="19">
        <v>0.65</v>
      </c>
      <c r="F119" s="10">
        <v>3.5</v>
      </c>
      <c r="G119" s="11">
        <v>1121.0</v>
      </c>
      <c r="K119" s="17" t="str">
        <f>IFERROR(__xludf.DUMMYFUNCTION("""COMPUTED_VALUE"""),"Belkin USB C to USB-C Fast Charging Type C Cable, 60W PD, 3.3 feet (1 meter) for Laptop, Personal Computer, Tablet, Smartphone - Black, USB-IF Certified")</f>
        <v>Belkin USB C to USB-C Fast Charging Type C Cable, 60W PD, 3.3 feet (1 meter) for Laptop, Personal Computer, Tablet, Smartphone - Black, USB-IF Certified</v>
      </c>
      <c r="L119" s="17" t="str">
        <f>IFERROR(__xludf.DUMMYFUNCTION("""COMPUTED_VALUE"""),"Computers&amp;Accessories|Accessories&amp;Peripherals|Cables&amp;Accessories|Cables|USBCables")</f>
        <v>Computers&amp;Accessories|Accessories&amp;Peripherals|Cables&amp;Accessories|Cables|USBCables</v>
      </c>
      <c r="M119" s="23">
        <f>IFERROR(__xludf.DUMMYFUNCTION("""COMPUTED_VALUE"""),599.0)</f>
        <v>599</v>
      </c>
      <c r="N119" s="23">
        <f>IFERROR(__xludf.DUMMYFUNCTION("""COMPUTED_VALUE"""),849.0)</f>
        <v>849</v>
      </c>
      <c r="O119" s="24">
        <f>IFERROR(__xludf.DUMMYFUNCTION("""COMPUTED_VALUE"""),0.29)</f>
        <v>0.29</v>
      </c>
      <c r="P119" s="17">
        <f>IFERROR(__xludf.DUMMYFUNCTION("""COMPUTED_VALUE"""),4.5)</f>
        <v>4.5</v>
      </c>
      <c r="Q119" s="17">
        <f>IFERROR(__xludf.DUMMYFUNCTION("""COMPUTED_VALUE"""),577.0)</f>
        <v>577</v>
      </c>
    </row>
    <row r="120">
      <c r="A120" s="7" t="s">
        <v>143</v>
      </c>
      <c r="B120" s="7" t="s">
        <v>15</v>
      </c>
      <c r="C120" s="8">
        <v>149.0</v>
      </c>
      <c r="D120" s="8">
        <v>999.0</v>
      </c>
      <c r="E120" s="19">
        <v>0.85</v>
      </c>
      <c r="F120" s="10">
        <v>4.0</v>
      </c>
      <c r="G120" s="11">
        <v>1313.0</v>
      </c>
      <c r="K120" s="17" t="str">
        <f>IFERROR(__xludf.DUMMYFUNCTION("""COMPUTED_VALUE"""),"Wayona Nylon Braided Lightning USB Data Sync &amp; 3A Charging Cable for iPhones, iPad Air, iPad Mini, iPod Nano and iPod Touch (3 FT Pack of 1, Grey)")</f>
        <v>Wayona Nylon Braided Lightning USB Data Sync &amp; 3A Charging Cable for iPhones, iPad Air, iPad Mini, iPod Nano and iPod Touch (3 FT Pack of 1, Grey)</v>
      </c>
      <c r="L120" s="17" t="str">
        <f>IFERROR(__xludf.DUMMYFUNCTION("""COMPUTED_VALUE"""),"Computers&amp;Accessories|Accessories&amp;Peripherals|Cables&amp;Accessories|Cables|USBCables")</f>
        <v>Computers&amp;Accessories|Accessories&amp;Peripherals|Cables&amp;Accessories|Cables|USBCables</v>
      </c>
      <c r="M120" s="23">
        <f>IFERROR(__xludf.DUMMYFUNCTION("""COMPUTED_VALUE"""),399.0)</f>
        <v>399</v>
      </c>
      <c r="N120" s="23">
        <f>IFERROR(__xludf.DUMMYFUNCTION("""COMPUTED_VALUE"""),1299.0)</f>
        <v>1299</v>
      </c>
      <c r="O120" s="24">
        <f>IFERROR(__xludf.DUMMYFUNCTION("""COMPUTED_VALUE"""),0.69)</f>
        <v>0.69</v>
      </c>
      <c r="P120" s="17">
        <f>IFERROR(__xludf.DUMMYFUNCTION("""COMPUTED_VALUE"""),4.2)</f>
        <v>4.2</v>
      </c>
      <c r="Q120" s="25">
        <f>IFERROR(__xludf.DUMMYFUNCTION("""COMPUTED_VALUE"""),13120.0)</f>
        <v>13120</v>
      </c>
    </row>
    <row r="121">
      <c r="A121" s="7" t="s">
        <v>144</v>
      </c>
      <c r="B121" s="7" t="s">
        <v>15</v>
      </c>
      <c r="C121" s="8">
        <v>228.0</v>
      </c>
      <c r="D121" s="8">
        <v>899.0</v>
      </c>
      <c r="E121" s="19">
        <v>0.75</v>
      </c>
      <c r="F121" s="10">
        <v>3.8</v>
      </c>
      <c r="G121" s="10">
        <v>132.0</v>
      </c>
      <c r="K121" s="17" t="str">
        <f>IFERROR(__xludf.DUMMYFUNCTION("""COMPUTED_VALUE"""),"Acer 80 cm (32 inches) S Series HD Ready Android Smart LED TV AR32AR2841HDSB (Black)")</f>
        <v>Acer 80 cm (32 inches) S Series HD Ready Android Smart LED TV AR32AR2841HDSB (Black)</v>
      </c>
      <c r="L121" s="17" t="str">
        <f>IFERROR(__xludf.DUMMYFUNCTION("""COMPUTED_VALUE"""),"Electronics|HomeTheater,TV&amp;Video|Televisions|SmartTelevisions")</f>
        <v>Electronics|HomeTheater,TV&amp;Video|Televisions|SmartTelevisions</v>
      </c>
      <c r="M121" s="23">
        <f>IFERROR(__xludf.DUMMYFUNCTION("""COMPUTED_VALUE"""),12499.0)</f>
        <v>12499</v>
      </c>
      <c r="N121" s="23">
        <f>IFERROR(__xludf.DUMMYFUNCTION("""COMPUTED_VALUE"""),22990.0)</f>
        <v>22990</v>
      </c>
      <c r="O121" s="24">
        <f>IFERROR(__xludf.DUMMYFUNCTION("""COMPUTED_VALUE"""),0.46)</f>
        <v>0.46</v>
      </c>
      <c r="P121" s="17">
        <f>IFERROR(__xludf.DUMMYFUNCTION("""COMPUTED_VALUE"""),4.3)</f>
        <v>4.3</v>
      </c>
      <c r="Q121" s="25">
        <f>IFERROR(__xludf.DUMMYFUNCTION("""COMPUTED_VALUE"""),1611.0)</f>
        <v>1611</v>
      </c>
    </row>
    <row r="122">
      <c r="A122" s="7" t="s">
        <v>145</v>
      </c>
      <c r="B122" s="7" t="s">
        <v>15</v>
      </c>
      <c r="C122" s="8">
        <v>1599.0</v>
      </c>
      <c r="D122" s="8">
        <v>1999.0</v>
      </c>
      <c r="E122" s="19">
        <v>0.2</v>
      </c>
      <c r="F122" s="10">
        <v>4.4</v>
      </c>
      <c r="G122" s="11">
        <v>1951.0</v>
      </c>
      <c r="K122" s="17" t="str">
        <f>IFERROR(__xludf.DUMMYFUNCTION("""COMPUTED_VALUE"""),"TP-Link AC1300 USB WiFi Adapter (Archer T3U) - 2.4G/5G Dual Band Mini Wireless Network Adapter for PC Desktop, MU-MIMO Wi-Fi Dongle, USB 3.0, Supports Windows 11,10, 8.1, 8, 7, XP/Mac OS 10.15 and earlier")</f>
        <v>TP-Link AC1300 USB WiFi Adapter (Archer T3U) - 2.4G/5G Dual Band Mini Wireless Network Adapter for PC Desktop, MU-MIMO Wi-Fi Dongle, USB 3.0, Supports Windows 11,10, 8.1, 8, 7, XP/Mac OS 10.15 and earlier</v>
      </c>
      <c r="L122" s="17" t="str">
        <f>IFERROR(__xludf.DUMMYFUNCTION("""COMPUTED_VALUE"""),"Computers&amp;Accessories|NetworkingDevices|NetworkAdapters|WirelessUSBAdapters")</f>
        <v>Computers&amp;Accessories|NetworkingDevices|NetworkAdapters|WirelessUSBAdapters</v>
      </c>
      <c r="M122" s="23">
        <f>IFERROR(__xludf.DUMMYFUNCTION("""COMPUTED_VALUE"""),1399.0)</f>
        <v>1399</v>
      </c>
      <c r="N122" s="23">
        <f>IFERROR(__xludf.DUMMYFUNCTION("""COMPUTED_VALUE"""),2499.0)</f>
        <v>2499</v>
      </c>
      <c r="O122" s="24">
        <f>IFERROR(__xludf.DUMMYFUNCTION("""COMPUTED_VALUE"""),0.44)</f>
        <v>0.44</v>
      </c>
      <c r="P122" s="17">
        <f>IFERROR(__xludf.DUMMYFUNCTION("""COMPUTED_VALUE"""),4.4)</f>
        <v>4.4</v>
      </c>
      <c r="Q122" s="25">
        <f>IFERROR(__xludf.DUMMYFUNCTION("""COMPUTED_VALUE"""),23169.0)</f>
        <v>23169</v>
      </c>
    </row>
    <row r="123">
      <c r="A123" s="7" t="s">
        <v>146</v>
      </c>
      <c r="B123" s="7" t="s">
        <v>71</v>
      </c>
      <c r="C123" s="8">
        <v>1499.0</v>
      </c>
      <c r="D123" s="8">
        <v>3999.0</v>
      </c>
      <c r="E123" s="19">
        <v>0.63</v>
      </c>
      <c r="F123" s="10">
        <v>3.7</v>
      </c>
      <c r="G123" s="10">
        <v>37.0</v>
      </c>
      <c r="K123" s="17" t="str">
        <f>IFERROR(__xludf.DUMMYFUNCTION("""COMPUTED_VALUE"""),"Acer 139 cm (55 inches) I Series 4K Ultra HD Android Smart LED TV AR55AR2851UDFL (Black)")</f>
        <v>Acer 139 cm (55 inches) I Series 4K Ultra HD Android Smart LED TV AR55AR2851UDFL (Black)</v>
      </c>
      <c r="L123" s="17" t="str">
        <f>IFERROR(__xludf.DUMMYFUNCTION("""COMPUTED_VALUE"""),"Electronics|HomeTheater,TV&amp;Video|Televisions|SmartTelevisions")</f>
        <v>Electronics|HomeTheater,TV&amp;Video|Televisions|SmartTelevisions</v>
      </c>
      <c r="M123" s="23">
        <f>IFERROR(__xludf.DUMMYFUNCTION("""COMPUTED_VALUE"""),32999.0)</f>
        <v>32999</v>
      </c>
      <c r="N123" s="23">
        <f>IFERROR(__xludf.DUMMYFUNCTION("""COMPUTED_VALUE"""),47990.0)</f>
        <v>47990</v>
      </c>
      <c r="O123" s="24">
        <f>IFERROR(__xludf.DUMMYFUNCTION("""COMPUTED_VALUE"""),0.31)</f>
        <v>0.31</v>
      </c>
      <c r="P123" s="17">
        <f>IFERROR(__xludf.DUMMYFUNCTION("""COMPUTED_VALUE"""),4.3)</f>
        <v>4.3</v>
      </c>
      <c r="Q123" s="25">
        <f>IFERROR(__xludf.DUMMYFUNCTION("""COMPUTED_VALUE"""),4703.0)</f>
        <v>4703</v>
      </c>
    </row>
    <row r="124">
      <c r="A124" s="7" t="s">
        <v>147</v>
      </c>
      <c r="B124" s="7" t="s">
        <v>37</v>
      </c>
      <c r="C124" s="8">
        <v>8499.0</v>
      </c>
      <c r="D124" s="8">
        <v>15999.0</v>
      </c>
      <c r="E124" s="19">
        <v>0.47</v>
      </c>
      <c r="F124" s="10">
        <v>4.3</v>
      </c>
      <c r="G124" s="10">
        <v>592.0</v>
      </c>
      <c r="K124" s="17" t="str">
        <f>IFERROR(__xludf.DUMMYFUNCTION("""COMPUTED_VALUE"""),"Wayona USB Type C 65W Fast Charging 2M/6Ft Long Flash Charge Cable 3A QC 3.0 Data Cable Compatible with Samsung Galaxy S21 S10 S9 S8, iQOO Z3, Vivo, Note 10 9 8, A20e A40 A50 A70, Moto G7 G8 (2M, Grey)")</f>
        <v>Wayona USB Type C 65W Fast Charging 2M/6Ft Long Flash Charge Cable 3A QC 3.0 Data Cable Compatible with Samsung Galaxy S21 S10 S9 S8, iQOO Z3, Vivo, Note 10 9 8, A20e A40 A50 A70, Moto G7 G8 (2M, Grey)</v>
      </c>
      <c r="L124" s="17" t="str">
        <f>IFERROR(__xludf.DUMMYFUNCTION("""COMPUTED_VALUE"""),"Computers&amp;Accessories|Accessories&amp;Peripherals|Cables&amp;Accessories|Cables|USBCables")</f>
        <v>Computers&amp;Accessories|Accessories&amp;Peripherals|Cables&amp;Accessories|Cables|USBCables</v>
      </c>
      <c r="M124" s="23">
        <f>IFERROR(__xludf.DUMMYFUNCTION("""COMPUTED_VALUE"""),325.0)</f>
        <v>325</v>
      </c>
      <c r="N124" s="23">
        <f>IFERROR(__xludf.DUMMYFUNCTION("""COMPUTED_VALUE"""),999.0)</f>
        <v>999</v>
      </c>
      <c r="O124" s="24">
        <f>IFERROR(__xludf.DUMMYFUNCTION("""COMPUTED_VALUE"""),0.67)</f>
        <v>0.67</v>
      </c>
      <c r="P124" s="17">
        <f>IFERROR(__xludf.DUMMYFUNCTION("""COMPUTED_VALUE"""),4.3)</f>
        <v>4.3</v>
      </c>
      <c r="Q124" s="25">
        <f>IFERROR(__xludf.DUMMYFUNCTION("""COMPUTED_VALUE"""),2651.0)</f>
        <v>2651</v>
      </c>
    </row>
    <row r="125">
      <c r="A125" s="7" t="s">
        <v>148</v>
      </c>
      <c r="B125" s="7" t="s">
        <v>37</v>
      </c>
      <c r="C125" s="8">
        <v>20990.0</v>
      </c>
      <c r="D125" s="8">
        <v>44990.0</v>
      </c>
      <c r="E125" s="19">
        <v>0.53</v>
      </c>
      <c r="F125" s="10">
        <v>4.1</v>
      </c>
      <c r="G125" s="11">
        <v>1259.0</v>
      </c>
      <c r="K125" s="17" t="str">
        <f>IFERROR(__xludf.DUMMYFUNCTION("""COMPUTED_VALUE"""),"Syncwire LTG to USB Cable for Fast Charging Compatible with Phone 5/ 5C/ 5S/ 6/ 6S/ 7/8/ X/XR/XS Max/ 11/12/ 13 Series and Pad Air/Mini, Pod &amp; Other Devices (1.1 Meter, White)")</f>
        <v>Syncwire LTG to USB Cable for Fast Charging Compatible with Phone 5/ 5C/ 5S/ 6/ 6S/ 7/8/ X/XR/XS Max/ 11/12/ 13 Series and Pad Air/Mini, Pod &amp; Other Devices (1.1 Meter, White)</v>
      </c>
      <c r="L125" s="17" t="str">
        <f>IFERROR(__xludf.DUMMYFUNCTION("""COMPUTED_VALUE"""),"Computers&amp;Accessories|Accessories&amp;Peripherals|Cables&amp;Accessories|Cables|USBCables")</f>
        <v>Computers&amp;Accessories|Accessories&amp;Peripherals|Cables&amp;Accessories|Cables|USBCables</v>
      </c>
      <c r="M125" s="23">
        <f>IFERROR(__xludf.DUMMYFUNCTION("""COMPUTED_VALUE"""),399.0)</f>
        <v>399</v>
      </c>
      <c r="N125" s="23">
        <f>IFERROR(__xludf.DUMMYFUNCTION("""COMPUTED_VALUE"""),1999.0)</f>
        <v>1999</v>
      </c>
      <c r="O125" s="24">
        <f>IFERROR(__xludf.DUMMYFUNCTION("""COMPUTED_VALUE"""),0.8)</f>
        <v>0.8</v>
      </c>
      <c r="P125" s="17">
        <f>IFERROR(__xludf.DUMMYFUNCTION("""COMPUTED_VALUE"""),5.0)</f>
        <v>5</v>
      </c>
      <c r="Q125" s="17">
        <f>IFERROR(__xludf.DUMMYFUNCTION("""COMPUTED_VALUE"""),5.0)</f>
        <v>5</v>
      </c>
    </row>
    <row r="126">
      <c r="A126" s="7" t="s">
        <v>149</v>
      </c>
      <c r="B126" s="7" t="s">
        <v>37</v>
      </c>
      <c r="C126" s="8">
        <v>32999.0</v>
      </c>
      <c r="D126" s="8">
        <v>44999.0</v>
      </c>
      <c r="E126" s="19">
        <v>0.27</v>
      </c>
      <c r="F126" s="10">
        <v>4.2</v>
      </c>
      <c r="G126" s="11">
        <v>45238.0</v>
      </c>
      <c r="K126" s="17" t="str">
        <f>IFERROR(__xludf.DUMMYFUNCTION("""COMPUTED_VALUE"""),"Zoul USB C to USB C Fast Charging Cable 65W Type C to Type C Nylon Braided Cord Compatible with Macbook Oneplus 9 10R Samsung Galaxy S22 S21 Ultra Z Flip3 Macbook Air/Pro M1 Google Pixel 11'' iPad Pro 2020/2018 (2M, Grey)")</f>
        <v>Zoul USB C to USB C Fast Charging Cable 65W Type C to Type C Nylon Braided Cord Compatible with Macbook Oneplus 9 10R Samsung Galaxy S22 S21 Ultra Z Flip3 Macbook Air/Pro M1 Google Pixel 11'' iPad Pro 2020/2018 (2M, Grey)</v>
      </c>
      <c r="L126" s="17" t="str">
        <f>IFERROR(__xludf.DUMMYFUNCTION("""COMPUTED_VALUE"""),"Computers&amp;Accessories|Accessories&amp;Peripherals|Cables&amp;Accessories|Cables|USBCables")</f>
        <v>Computers&amp;Accessories|Accessories&amp;Peripherals|Cables&amp;Accessories|Cables|USBCables</v>
      </c>
      <c r="M126" s="23">
        <f>IFERROR(__xludf.DUMMYFUNCTION("""COMPUTED_VALUE"""),399.0)</f>
        <v>399</v>
      </c>
      <c r="N126" s="23">
        <f>IFERROR(__xludf.DUMMYFUNCTION("""COMPUTED_VALUE"""),1099.0)</f>
        <v>1099</v>
      </c>
      <c r="O126" s="24">
        <f>IFERROR(__xludf.DUMMYFUNCTION("""COMPUTED_VALUE"""),0.64)</f>
        <v>0.64</v>
      </c>
      <c r="P126" s="17">
        <f>IFERROR(__xludf.DUMMYFUNCTION("""COMPUTED_VALUE"""),4.1)</f>
        <v>4.1</v>
      </c>
      <c r="Q126" s="25">
        <f>IFERROR(__xludf.DUMMYFUNCTION("""COMPUTED_VALUE"""),2685.0)</f>
        <v>2685</v>
      </c>
    </row>
    <row r="127">
      <c r="A127" s="7" t="s">
        <v>150</v>
      </c>
      <c r="B127" s="7" t="s">
        <v>31</v>
      </c>
      <c r="C127" s="8">
        <v>799.0</v>
      </c>
      <c r="D127" s="8">
        <v>1700.0</v>
      </c>
      <c r="E127" s="19">
        <v>0.53</v>
      </c>
      <c r="F127" s="10">
        <v>4.1</v>
      </c>
      <c r="G127" s="11">
        <v>28638.0</v>
      </c>
      <c r="K127" s="17" t="str">
        <f>IFERROR(__xludf.DUMMYFUNCTION("""COMPUTED_VALUE"""),"Storite USB 3.0 Cable A to Micro B high Speed Upto 5 Gbps Data Transfer Cable for Portable External Hard Drive - (20cm), Black")</f>
        <v>Storite USB 3.0 Cable A to Micro B high Speed Upto 5 Gbps Data Transfer Cable for Portable External Hard Drive - (20cm), Black</v>
      </c>
      <c r="L127" s="17" t="str">
        <f>IFERROR(__xludf.DUMMYFUNCTION("""COMPUTED_VALUE"""),"Computers&amp;Accessories|Accessories&amp;Peripherals|Cables&amp;Accessories|Cables|USBCables")</f>
        <v>Computers&amp;Accessories|Accessories&amp;Peripherals|Cables&amp;Accessories|Cables|USBCables</v>
      </c>
      <c r="M127" s="23">
        <f>IFERROR(__xludf.DUMMYFUNCTION("""COMPUTED_VALUE"""),299.0)</f>
        <v>299</v>
      </c>
      <c r="N127" s="23">
        <f>IFERROR(__xludf.DUMMYFUNCTION("""COMPUTED_VALUE"""),699.0)</f>
        <v>699</v>
      </c>
      <c r="O127" s="24">
        <f>IFERROR(__xludf.DUMMYFUNCTION("""COMPUTED_VALUE"""),0.57)</f>
        <v>0.57</v>
      </c>
      <c r="P127" s="17">
        <f>IFERROR(__xludf.DUMMYFUNCTION("""COMPUTED_VALUE"""),4.1)</f>
        <v>4.1</v>
      </c>
      <c r="Q127" s="25">
        <f>IFERROR(__xludf.DUMMYFUNCTION("""COMPUTED_VALUE"""),2957.0)</f>
        <v>2957</v>
      </c>
    </row>
    <row r="128">
      <c r="A128" s="7" t="s">
        <v>151</v>
      </c>
      <c r="B128" s="7" t="s">
        <v>31</v>
      </c>
      <c r="C128" s="8">
        <v>229.0</v>
      </c>
      <c r="D128" s="8">
        <v>595.0</v>
      </c>
      <c r="E128" s="19">
        <v>0.62</v>
      </c>
      <c r="F128" s="10">
        <v>4.3</v>
      </c>
      <c r="G128" s="11">
        <v>12835.0</v>
      </c>
      <c r="K128" s="17" t="str">
        <f>IFERROR(__xludf.DUMMYFUNCTION("""COMPUTED_VALUE"""),"boAt LTG 500 Apple MFI Certified for iPhone, iPad and iPod 2Mtr Data Cable(Space Grey)")</f>
        <v>boAt LTG 500 Apple MFI Certified for iPhone, iPad and iPod 2Mtr Data Cable(Space Grey)</v>
      </c>
      <c r="L128" s="17" t="str">
        <f>IFERROR(__xludf.DUMMYFUNCTION("""COMPUTED_VALUE"""),"Computers&amp;Accessories|Accessories&amp;Peripherals|Cables&amp;Accessories|Cables|USBCables")</f>
        <v>Computers&amp;Accessories|Accessories&amp;Peripherals|Cables&amp;Accessories|Cables|USBCables</v>
      </c>
      <c r="M128" s="23">
        <f>IFERROR(__xludf.DUMMYFUNCTION("""COMPUTED_VALUE"""),849.0)</f>
        <v>849</v>
      </c>
      <c r="N128" s="23">
        <f>IFERROR(__xludf.DUMMYFUNCTION("""COMPUTED_VALUE"""),999.0)</f>
        <v>999</v>
      </c>
      <c r="O128" s="24">
        <f>IFERROR(__xludf.DUMMYFUNCTION("""COMPUTED_VALUE"""),0.15)</f>
        <v>0.15</v>
      </c>
      <c r="P128" s="17">
        <f>IFERROR(__xludf.DUMMYFUNCTION("""COMPUTED_VALUE"""),4.1)</f>
        <v>4.1</v>
      </c>
      <c r="Q128" s="25">
        <f>IFERROR(__xludf.DUMMYFUNCTION("""COMPUTED_VALUE"""),6736.0)</f>
        <v>6736</v>
      </c>
    </row>
    <row r="129">
      <c r="A129" s="7" t="s">
        <v>152</v>
      </c>
      <c r="B129" s="7" t="s">
        <v>37</v>
      </c>
      <c r="C129" s="8">
        <v>9999.0</v>
      </c>
      <c r="D129" s="8">
        <v>27990.0</v>
      </c>
      <c r="E129" s="19">
        <v>0.64</v>
      </c>
      <c r="F129" s="10">
        <v>4.2</v>
      </c>
      <c r="G129" s="11">
        <v>1269.0</v>
      </c>
      <c r="K129" s="17" t="str">
        <f>IFERROR(__xludf.DUMMYFUNCTION("""COMPUTED_VALUE"""),"AmazonBasics USB C to Lightning Aluminum with Nylon Braided MFi Certified Charging Cable (Grey, 1.2 meter)")</f>
        <v>AmazonBasics USB C to Lightning Aluminum with Nylon Braided MFi Certified Charging Cable (Grey, 1.2 meter)</v>
      </c>
      <c r="L129" s="17" t="str">
        <f>IFERROR(__xludf.DUMMYFUNCTION("""COMPUTED_VALUE"""),"Computers&amp;Accessories|Accessories&amp;Peripherals|Cables&amp;Accessories|Cables|USBCables")</f>
        <v>Computers&amp;Accessories|Accessories&amp;Peripherals|Cables&amp;Accessories|Cables|USBCables</v>
      </c>
      <c r="M129" s="23">
        <f>IFERROR(__xludf.DUMMYFUNCTION("""COMPUTED_VALUE"""),949.0)</f>
        <v>949</v>
      </c>
      <c r="N129" s="23">
        <f>IFERROR(__xludf.DUMMYFUNCTION("""COMPUTED_VALUE"""),1999.0)</f>
        <v>1999</v>
      </c>
      <c r="O129" s="24">
        <f>IFERROR(__xludf.DUMMYFUNCTION("""COMPUTED_VALUE"""),0.53)</f>
        <v>0.53</v>
      </c>
      <c r="P129" s="17">
        <f>IFERROR(__xludf.DUMMYFUNCTION("""COMPUTED_VALUE"""),4.4)</f>
        <v>4.4</v>
      </c>
      <c r="Q129" s="25">
        <f>IFERROR(__xludf.DUMMYFUNCTION("""COMPUTED_VALUE"""),13552.0)</f>
        <v>13552</v>
      </c>
    </row>
    <row r="130">
      <c r="A130" s="7" t="s">
        <v>153</v>
      </c>
      <c r="B130" s="7" t="s">
        <v>71</v>
      </c>
      <c r="C130" s="8">
        <v>349.0</v>
      </c>
      <c r="D130" s="8">
        <v>599.0</v>
      </c>
      <c r="E130" s="19">
        <v>0.42</v>
      </c>
      <c r="F130" s="10">
        <v>4.2</v>
      </c>
      <c r="G130" s="10">
        <v>284.0</v>
      </c>
      <c r="K130" s="17" t="str">
        <f>IFERROR(__xludf.DUMMYFUNCTION("""COMPUTED_VALUE"""),"AmazonBasics Double Braided Nylon USB Type-C to Type-C 2.0 Cable Smartphone (Dark Grey, 3 feet)")</f>
        <v>AmazonBasics Double Braided Nylon USB Type-C to Type-C 2.0 Cable Smartphone (Dark Grey, 3 feet)</v>
      </c>
      <c r="L130" s="17" t="str">
        <f>IFERROR(__xludf.DUMMYFUNCTION("""COMPUTED_VALUE"""),"Computers&amp;Accessories|Accessories&amp;Peripherals|Cables&amp;Accessories|Cables|USBCables")</f>
        <v>Computers&amp;Accessories|Accessories&amp;Peripherals|Cables&amp;Accessories|Cables|USBCables</v>
      </c>
      <c r="M130" s="23">
        <f>IFERROR(__xludf.DUMMYFUNCTION("""COMPUTED_VALUE"""),499.0)</f>
        <v>499</v>
      </c>
      <c r="N130" s="23">
        <f>IFERROR(__xludf.DUMMYFUNCTION("""COMPUTED_VALUE"""),1200.0)</f>
        <v>1200</v>
      </c>
      <c r="O130" s="24">
        <f>IFERROR(__xludf.DUMMYFUNCTION("""COMPUTED_VALUE"""),0.58)</f>
        <v>0.58</v>
      </c>
      <c r="P130" s="17">
        <f>IFERROR(__xludf.DUMMYFUNCTION("""COMPUTED_VALUE"""),4.3)</f>
        <v>4.3</v>
      </c>
      <c r="Q130" s="25">
        <f>IFERROR(__xludf.DUMMYFUNCTION("""COMPUTED_VALUE"""),5451.0)</f>
        <v>5451</v>
      </c>
    </row>
    <row r="131">
      <c r="A131" s="7" t="s">
        <v>154</v>
      </c>
      <c r="B131" s="7" t="s">
        <v>155</v>
      </c>
      <c r="C131" s="8">
        <v>489.0</v>
      </c>
      <c r="D131" s="8">
        <v>1200.0</v>
      </c>
      <c r="E131" s="19">
        <v>0.59</v>
      </c>
      <c r="F131" s="10">
        <v>4.4</v>
      </c>
      <c r="G131" s="11">
        <v>69538.0</v>
      </c>
      <c r="K131" s="17" t="str">
        <f>IFERROR(__xludf.DUMMYFUNCTION("""COMPUTED_VALUE"""),"Amazon Basics USB 3.0 Cable - A Male to Micro B - 6 Feet (1.8 Meters), Black")</f>
        <v>Amazon Basics USB 3.0 Cable - A Male to Micro B - 6 Feet (1.8 Meters), Black</v>
      </c>
      <c r="L131" s="17" t="str">
        <f>IFERROR(__xludf.DUMMYFUNCTION("""COMPUTED_VALUE"""),"Computers&amp;Accessories|Accessories&amp;Peripherals|Cables&amp;Accessories|Cables|USBCables")</f>
        <v>Computers&amp;Accessories|Accessories&amp;Peripherals|Cables&amp;Accessories|Cables|USBCables</v>
      </c>
      <c r="M131" s="23">
        <f>IFERROR(__xludf.DUMMYFUNCTION("""COMPUTED_VALUE"""),299.0)</f>
        <v>299</v>
      </c>
      <c r="N131" s="23">
        <f>IFERROR(__xludf.DUMMYFUNCTION("""COMPUTED_VALUE"""),485.0)</f>
        <v>485</v>
      </c>
      <c r="O131" s="24">
        <f>IFERROR(__xludf.DUMMYFUNCTION("""COMPUTED_VALUE"""),0.38)</f>
        <v>0.38</v>
      </c>
      <c r="P131" s="17">
        <f>IFERROR(__xludf.DUMMYFUNCTION("""COMPUTED_VALUE"""),4.3)</f>
        <v>4.3</v>
      </c>
      <c r="Q131" s="25">
        <f>IFERROR(__xludf.DUMMYFUNCTION("""COMPUTED_VALUE"""),10911.0)</f>
        <v>10911</v>
      </c>
    </row>
    <row r="132">
      <c r="A132" s="7" t="s">
        <v>156</v>
      </c>
      <c r="B132" s="7" t="s">
        <v>37</v>
      </c>
      <c r="C132" s="8">
        <v>23999.0</v>
      </c>
      <c r="D132" s="8">
        <v>34990.0</v>
      </c>
      <c r="E132" s="19">
        <v>0.31</v>
      </c>
      <c r="F132" s="10">
        <v>4.3</v>
      </c>
      <c r="G132" s="11">
        <v>4703.0</v>
      </c>
      <c r="K132" s="17" t="str">
        <f>IFERROR(__xludf.DUMMYFUNCTION("""COMPUTED_VALUE"""),"AmazonBasics USB C to Lightning Aluminum with Nylon Braided MFi Certified Charging Cable (Grey, 1.8 meter)")</f>
        <v>AmazonBasics USB C to Lightning Aluminum with Nylon Braided MFi Certified Charging Cable (Grey, 1.8 meter)</v>
      </c>
      <c r="L132" s="17" t="str">
        <f>IFERROR(__xludf.DUMMYFUNCTION("""COMPUTED_VALUE"""),"Computers&amp;Accessories|Accessories&amp;Peripherals|Cables&amp;Accessories|Cables|USBCables")</f>
        <v>Computers&amp;Accessories|Accessories&amp;Peripherals|Cables&amp;Accessories|Cables|USBCables</v>
      </c>
      <c r="M132" s="23">
        <f>IFERROR(__xludf.DUMMYFUNCTION("""COMPUTED_VALUE"""),949.0)</f>
        <v>949</v>
      </c>
      <c r="N132" s="23">
        <f>IFERROR(__xludf.DUMMYFUNCTION("""COMPUTED_VALUE"""),1999.0)</f>
        <v>1999</v>
      </c>
      <c r="O132" s="24">
        <f>IFERROR(__xludf.DUMMYFUNCTION("""COMPUTED_VALUE"""),0.53)</f>
        <v>0.53</v>
      </c>
      <c r="P132" s="17">
        <f>IFERROR(__xludf.DUMMYFUNCTION("""COMPUTED_VALUE"""),4.4)</f>
        <v>4.4</v>
      </c>
      <c r="Q132" s="25">
        <f>IFERROR(__xludf.DUMMYFUNCTION("""COMPUTED_VALUE"""),13552.0)</f>
        <v>13552</v>
      </c>
    </row>
    <row r="133">
      <c r="A133" s="7" t="s">
        <v>157</v>
      </c>
      <c r="B133" s="7" t="s">
        <v>15</v>
      </c>
      <c r="C133" s="8">
        <v>399.0</v>
      </c>
      <c r="D133" s="8">
        <v>999.0</v>
      </c>
      <c r="E133" s="19">
        <v>0.6</v>
      </c>
      <c r="F133" s="10">
        <v>4.3</v>
      </c>
      <c r="G133" s="11">
        <v>2806.0</v>
      </c>
      <c r="K133" s="17" t="str">
        <f>IFERROR(__xludf.DUMMYFUNCTION("""COMPUTED_VALUE"""),"Wayona Usb C 65W Fast Charging Cable Compatible For Tablets Samsung S22 S20 S10 S20Fe S21 S21 Ultra A70 A51 A71 A50S M31 M51 M31S M53 5G (1M, Black)")</f>
        <v>Wayona Usb C 65W Fast Charging Cable Compatible For Tablets Samsung S22 S20 S10 S20Fe S21 S21 Ultra A70 A51 A71 A50S M31 M51 M31S M53 5G (1M, Black)</v>
      </c>
      <c r="L133" s="17" t="str">
        <f>IFERROR(__xludf.DUMMYFUNCTION("""COMPUTED_VALUE"""),"Computers&amp;Accessories|Accessories&amp;Peripherals|Cables&amp;Accessories|Cables|USBCables")</f>
        <v>Computers&amp;Accessories|Accessories&amp;Peripherals|Cables&amp;Accessories|Cables|USBCables</v>
      </c>
      <c r="M133" s="23">
        <f>IFERROR(__xludf.DUMMYFUNCTION("""COMPUTED_VALUE"""),379.0)</f>
        <v>379</v>
      </c>
      <c r="N133" s="23">
        <f>IFERROR(__xludf.DUMMYFUNCTION("""COMPUTED_VALUE"""),1099.0)</f>
        <v>1099</v>
      </c>
      <c r="O133" s="24">
        <f>IFERROR(__xludf.DUMMYFUNCTION("""COMPUTED_VALUE"""),0.66)</f>
        <v>0.66</v>
      </c>
      <c r="P133" s="17">
        <f>IFERROR(__xludf.DUMMYFUNCTION("""COMPUTED_VALUE"""),4.3)</f>
        <v>4.3</v>
      </c>
      <c r="Q133" s="25">
        <f>IFERROR(__xludf.DUMMYFUNCTION("""COMPUTED_VALUE"""),2806.0)</f>
        <v>2806</v>
      </c>
    </row>
    <row r="134">
      <c r="A134" s="7" t="s">
        <v>158</v>
      </c>
      <c r="B134" s="7" t="s">
        <v>159</v>
      </c>
      <c r="C134" s="8">
        <v>349.0</v>
      </c>
      <c r="D134" s="8">
        <v>1299.0</v>
      </c>
      <c r="E134" s="19">
        <v>0.73</v>
      </c>
      <c r="F134" s="10">
        <v>4.0</v>
      </c>
      <c r="G134" s="11">
        <v>3295.0</v>
      </c>
      <c r="K134" s="17" t="str">
        <f>IFERROR(__xludf.DUMMYFUNCTION("""COMPUTED_VALUE"""),"BlueRigger Digital Optical Audio Toslink Cable (6 Feet / 1.8 Meter) With 8 Channel (7.1) Audio Support (for Home Theatre, Xbox, Playstation etc.)")</f>
        <v>BlueRigger Digital Optical Audio Toslink Cable (6 Feet / 1.8 Meter) With 8 Channel (7.1) Audio Support (for Home Theatre, Xbox, Playstation etc.)</v>
      </c>
      <c r="L134" s="17" t="str">
        <f>IFERROR(__xludf.DUMMYFUNCTION("""COMPUTED_VALUE"""),"Electronics|HomeTheater,TV&amp;Video|Accessories|Cables|OpticalCables")</f>
        <v>Electronics|HomeTheater,TV&amp;Video|Accessories|Cables|OpticalCables</v>
      </c>
      <c r="M134" s="23">
        <f>IFERROR(__xludf.DUMMYFUNCTION("""COMPUTED_VALUE"""),486.0)</f>
        <v>486</v>
      </c>
      <c r="N134" s="23">
        <f>IFERROR(__xludf.DUMMYFUNCTION("""COMPUTED_VALUE"""),1999.0)</f>
        <v>1999</v>
      </c>
      <c r="O134" s="24">
        <f>IFERROR(__xludf.DUMMYFUNCTION("""COMPUTED_VALUE"""),0.76)</f>
        <v>0.76</v>
      </c>
      <c r="P134" s="17">
        <f>IFERROR(__xludf.DUMMYFUNCTION("""COMPUTED_VALUE"""),4.2)</f>
        <v>4.2</v>
      </c>
      <c r="Q134" s="25">
        <f>IFERROR(__xludf.DUMMYFUNCTION("""COMPUTED_VALUE"""),30023.0)</f>
        <v>30023</v>
      </c>
    </row>
    <row r="135">
      <c r="A135" s="7" t="s">
        <v>160</v>
      </c>
      <c r="B135" s="7" t="s">
        <v>15</v>
      </c>
      <c r="C135" s="8">
        <v>179.0</v>
      </c>
      <c r="D135" s="8">
        <v>299.0</v>
      </c>
      <c r="E135" s="19">
        <v>0.4</v>
      </c>
      <c r="F135" s="10">
        <v>3.9</v>
      </c>
      <c r="G135" s="10">
        <v>81.0</v>
      </c>
      <c r="K135" s="17" t="str">
        <f>IFERROR(__xludf.DUMMYFUNCTION("""COMPUTED_VALUE"""),"VW 60 cm (24 inches) Premium Series HD Ready LED TV VW24A (Black)")</f>
        <v>VW 60 cm (24 inches) Premium Series HD Ready LED TV VW24A (Black)</v>
      </c>
      <c r="L135" s="17" t="str">
        <f>IFERROR(__xludf.DUMMYFUNCTION("""COMPUTED_VALUE"""),"Electronics|HomeTheater,TV&amp;Video|Televisions|StandardTelevisions")</f>
        <v>Electronics|HomeTheater,TV&amp;Video|Televisions|StandardTelevisions</v>
      </c>
      <c r="M135" s="23">
        <f>IFERROR(__xludf.DUMMYFUNCTION("""COMPUTED_VALUE"""),5699.0)</f>
        <v>5699</v>
      </c>
      <c r="N135" s="23">
        <f>IFERROR(__xludf.DUMMYFUNCTION("""COMPUTED_VALUE"""),11000.0)</f>
        <v>11000</v>
      </c>
      <c r="O135" s="24">
        <f>IFERROR(__xludf.DUMMYFUNCTION("""COMPUTED_VALUE"""),0.48)</f>
        <v>0.48</v>
      </c>
      <c r="P135" s="17">
        <f>IFERROR(__xludf.DUMMYFUNCTION("""COMPUTED_VALUE"""),4.2)</f>
        <v>4.2</v>
      </c>
      <c r="Q135" s="25">
        <f>IFERROR(__xludf.DUMMYFUNCTION("""COMPUTED_VALUE"""),4003.0)</f>
        <v>4003</v>
      </c>
    </row>
    <row r="136">
      <c r="A136" s="7" t="s">
        <v>161</v>
      </c>
      <c r="B136" s="7" t="s">
        <v>15</v>
      </c>
      <c r="C136" s="8">
        <v>689.0</v>
      </c>
      <c r="D136" s="8">
        <v>1500.0</v>
      </c>
      <c r="E136" s="19">
        <v>0.54</v>
      </c>
      <c r="F136" s="10">
        <v>4.2</v>
      </c>
      <c r="G136" s="11">
        <v>42301.0</v>
      </c>
      <c r="K136" s="17" t="str">
        <f>IFERROR(__xludf.DUMMYFUNCTION("""COMPUTED_VALUE"""),"Amazon Basics USB A to Lightning MFi Certified Charging Cable (White, 1.2 meter)")</f>
        <v>Amazon Basics USB A to Lightning MFi Certified Charging Cable (White, 1.2 meter)</v>
      </c>
      <c r="L136" s="17" t="str">
        <f>IFERROR(__xludf.DUMMYFUNCTION("""COMPUTED_VALUE"""),"Computers&amp;Accessories|Accessories&amp;Peripherals|Cables&amp;Accessories|Cables|USBCables")</f>
        <v>Computers&amp;Accessories|Accessories&amp;Peripherals|Cables&amp;Accessories|Cables|USBCables</v>
      </c>
      <c r="M136" s="23">
        <f>IFERROR(__xludf.DUMMYFUNCTION("""COMPUTED_VALUE"""),709.0)</f>
        <v>709</v>
      </c>
      <c r="N136" s="23">
        <f>IFERROR(__xludf.DUMMYFUNCTION("""COMPUTED_VALUE"""),1999.0)</f>
        <v>1999</v>
      </c>
      <c r="O136" s="24">
        <f>IFERROR(__xludf.DUMMYFUNCTION("""COMPUTED_VALUE"""),0.65)</f>
        <v>0.65</v>
      </c>
      <c r="P136" s="17">
        <f>IFERROR(__xludf.DUMMYFUNCTION("""COMPUTED_VALUE"""),4.1)</f>
        <v>4.1</v>
      </c>
      <c r="Q136" s="17" t="str">
        <f>IFERROR(__xludf.DUMMYFUNCTION("""COMPUTED_VALUE"""),"1,78,817")</f>
        <v>1,78,817</v>
      </c>
    </row>
    <row r="137">
      <c r="A137" s="7" t="s">
        <v>162</v>
      </c>
      <c r="B137" s="7" t="s">
        <v>37</v>
      </c>
      <c r="C137" s="8">
        <v>30990.0</v>
      </c>
      <c r="D137" s="8">
        <v>49990.0</v>
      </c>
      <c r="E137" s="19">
        <v>0.38</v>
      </c>
      <c r="F137" s="10">
        <v>4.3</v>
      </c>
      <c r="G137" s="11">
        <v>1376.0</v>
      </c>
      <c r="K137" s="17" t="str">
        <f>IFERROR(__xludf.DUMMYFUNCTION("""COMPUTED_VALUE"""),"Samsung 138 cm (55 inches) Crystal 4K Neo Series Ultra HD Smart LED TV UA55AUE65AKXXL (Black)")</f>
        <v>Samsung 138 cm (55 inches) Crystal 4K Neo Series Ultra HD Smart LED TV UA55AUE65AKXXL (Black)</v>
      </c>
      <c r="L137" s="17" t="str">
        <f>IFERROR(__xludf.DUMMYFUNCTION("""COMPUTED_VALUE"""),"Electronics|HomeTheater,TV&amp;Video|Televisions|SmartTelevisions")</f>
        <v>Electronics|HomeTheater,TV&amp;Video|Televisions|SmartTelevisions</v>
      </c>
      <c r="M137" s="23">
        <f>IFERROR(__xludf.DUMMYFUNCTION("""COMPUTED_VALUE"""),47990.0)</f>
        <v>47990</v>
      </c>
      <c r="N137" s="23">
        <f>IFERROR(__xludf.DUMMYFUNCTION("""COMPUTED_VALUE"""),70900.0)</f>
        <v>70900</v>
      </c>
      <c r="O137" s="24">
        <f>IFERROR(__xludf.DUMMYFUNCTION("""COMPUTED_VALUE"""),0.32)</f>
        <v>0.32</v>
      </c>
      <c r="P137" s="17">
        <f>IFERROR(__xludf.DUMMYFUNCTION("""COMPUTED_VALUE"""),4.3)</f>
        <v>4.3</v>
      </c>
      <c r="Q137" s="25">
        <f>IFERROR(__xludf.DUMMYFUNCTION("""COMPUTED_VALUE"""),7109.0)</f>
        <v>7109</v>
      </c>
    </row>
    <row r="138">
      <c r="A138" s="7" t="s">
        <v>163</v>
      </c>
      <c r="B138" s="7" t="s">
        <v>15</v>
      </c>
      <c r="C138" s="8">
        <v>249.0</v>
      </c>
      <c r="D138" s="8">
        <v>931.0</v>
      </c>
      <c r="E138" s="19">
        <v>0.73</v>
      </c>
      <c r="F138" s="10">
        <v>3.9</v>
      </c>
      <c r="G138" s="11">
        <v>1075.0</v>
      </c>
      <c r="K138" s="17" t="str">
        <f>IFERROR(__xludf.DUMMYFUNCTION("""COMPUTED_VALUE"""),"Duracell Micro USB 3A Braided Sync &amp; Fast Charging Cable, 3.9 Feet (1.2M). Supports QC 2.0/3.0 Charging, High Speed Data Transmission - Black")</f>
        <v>Duracell Micro USB 3A Braided Sync &amp; Fast Charging Cable, 3.9 Feet (1.2M). Supports QC 2.0/3.0 Charging, High Speed Data Transmission - Black</v>
      </c>
      <c r="L138" s="17" t="str">
        <f>IFERROR(__xludf.DUMMYFUNCTION("""COMPUTED_VALUE"""),"Computers&amp;Accessories|Accessories&amp;Peripherals|Cables&amp;Accessories|Cables|USBCables")</f>
        <v>Computers&amp;Accessories|Accessories&amp;Peripherals|Cables&amp;Accessories|Cables|USBCables</v>
      </c>
      <c r="M138" s="23">
        <f>IFERROR(__xludf.DUMMYFUNCTION("""COMPUTED_VALUE"""),320.0)</f>
        <v>320</v>
      </c>
      <c r="N138" s="23">
        <f>IFERROR(__xludf.DUMMYFUNCTION("""COMPUTED_VALUE"""),599.0)</f>
        <v>599</v>
      </c>
      <c r="O138" s="24">
        <f>IFERROR(__xludf.DUMMYFUNCTION("""COMPUTED_VALUE"""),0.47)</f>
        <v>0.47</v>
      </c>
      <c r="P138" s="17">
        <f>IFERROR(__xludf.DUMMYFUNCTION("""COMPUTED_VALUE"""),4.1)</f>
        <v>4.1</v>
      </c>
      <c r="Q138" s="17">
        <f>IFERROR(__xludf.DUMMYFUNCTION("""COMPUTED_VALUE"""),491.0)</f>
        <v>491</v>
      </c>
    </row>
    <row r="139">
      <c r="A139" s="7" t="s">
        <v>164</v>
      </c>
      <c r="B139" s="7" t="s">
        <v>31</v>
      </c>
      <c r="C139" s="8">
        <v>999.0</v>
      </c>
      <c r="D139" s="8">
        <v>2399.0</v>
      </c>
      <c r="E139" s="19">
        <v>0.58</v>
      </c>
      <c r="F139" s="10">
        <v>4.6</v>
      </c>
      <c r="G139" s="11">
        <v>3664.0</v>
      </c>
      <c r="K139" s="17" t="str">
        <f>IFERROR(__xludf.DUMMYFUNCTION("""COMPUTED_VALUE"""),"MI 108 cm (43 inches) 5A Series Full HD Smart Android LED TV L43M7-EAIN (Black)")</f>
        <v>MI 108 cm (43 inches) 5A Series Full HD Smart Android LED TV L43M7-EAIN (Black)</v>
      </c>
      <c r="L139" s="17" t="str">
        <f>IFERROR(__xludf.DUMMYFUNCTION("""COMPUTED_VALUE"""),"Electronics|HomeTheater,TV&amp;Video|Televisions|SmartTelevisions")</f>
        <v>Electronics|HomeTheater,TV&amp;Video|Televisions|SmartTelevisions</v>
      </c>
      <c r="M139" s="23">
        <f>IFERROR(__xludf.DUMMYFUNCTION("""COMPUTED_VALUE"""),24999.0)</f>
        <v>24999</v>
      </c>
      <c r="N139" s="23">
        <f>IFERROR(__xludf.DUMMYFUNCTION("""COMPUTED_VALUE"""),35999.0)</f>
        <v>35999</v>
      </c>
      <c r="O139" s="24">
        <f>IFERROR(__xludf.DUMMYFUNCTION("""COMPUTED_VALUE"""),0.31)</f>
        <v>0.31</v>
      </c>
      <c r="P139" s="17">
        <f>IFERROR(__xludf.DUMMYFUNCTION("""COMPUTED_VALUE"""),4.2)</f>
        <v>4.2</v>
      </c>
      <c r="Q139" s="25">
        <f>IFERROR(__xludf.DUMMYFUNCTION("""COMPUTED_VALUE"""),32840.0)</f>
        <v>32840</v>
      </c>
    </row>
    <row r="140">
      <c r="A140" s="7" t="s">
        <v>165</v>
      </c>
      <c r="B140" s="7" t="s">
        <v>71</v>
      </c>
      <c r="C140" s="8">
        <v>399.0</v>
      </c>
      <c r="D140" s="8">
        <v>399.0</v>
      </c>
      <c r="E140" s="19">
        <v>0.0</v>
      </c>
      <c r="F140" s="10">
        <v>3.9</v>
      </c>
      <c r="G140" s="11">
        <v>1951.0</v>
      </c>
      <c r="K140" s="17" t="str">
        <f>IFERROR(__xludf.DUMMYFUNCTION("""COMPUTED_VALUE"""),"Belkin Apple Certified Lightning to USB Charge and Sync Cable for iPhone, iPad, Air Pods, 39.6 inch (100cm) – Black")</f>
        <v>Belkin Apple Certified Lightning to USB Charge and Sync Cable for iPhone, iPad, Air Pods, 39.6 inch (100cm) – Black</v>
      </c>
      <c r="L140" s="17" t="str">
        <f>IFERROR(__xludf.DUMMYFUNCTION("""COMPUTED_VALUE"""),"Computers&amp;Accessories|Accessories&amp;Peripherals|Cables&amp;Accessories|Cables|USBCables")</f>
        <v>Computers&amp;Accessories|Accessories&amp;Peripherals|Cables&amp;Accessories|Cables|USBCables</v>
      </c>
      <c r="M140" s="23">
        <f>IFERROR(__xludf.DUMMYFUNCTION("""COMPUTED_VALUE"""),999.0)</f>
        <v>999</v>
      </c>
      <c r="N140" s="23">
        <f>IFERROR(__xludf.DUMMYFUNCTION("""COMPUTED_VALUE"""),1699.0)</f>
        <v>1699</v>
      </c>
      <c r="O140" s="24">
        <f>IFERROR(__xludf.DUMMYFUNCTION("""COMPUTED_VALUE"""),0.41)</f>
        <v>0.41</v>
      </c>
      <c r="P140" s="17">
        <f>IFERROR(__xludf.DUMMYFUNCTION("""COMPUTED_VALUE"""),4.4)</f>
        <v>4.4</v>
      </c>
      <c r="Q140" s="25">
        <f>IFERROR(__xludf.DUMMYFUNCTION("""COMPUTED_VALUE"""),7318.0)</f>
        <v>7318</v>
      </c>
    </row>
    <row r="141">
      <c r="A141" s="7" t="s">
        <v>166</v>
      </c>
      <c r="B141" s="7" t="s">
        <v>15</v>
      </c>
      <c r="C141" s="8">
        <v>349.0</v>
      </c>
      <c r="D141" s="8">
        <v>699.0</v>
      </c>
      <c r="E141" s="19">
        <v>0.5</v>
      </c>
      <c r="F141" s="10">
        <v>4.3</v>
      </c>
      <c r="G141" s="11">
        <v>20850.0</v>
      </c>
      <c r="K141" s="17" t="str">
        <f>IFERROR(__xludf.DUMMYFUNCTION("""COMPUTED_VALUE"""),"Time Office Scanner Replacement Cable for Startek FM220U (Type C) Ivory")</f>
        <v>Time Office Scanner Replacement Cable for Startek FM220U (Type C) Ivory</v>
      </c>
      <c r="L141" s="17" t="str">
        <f>IFERROR(__xludf.DUMMYFUNCTION("""COMPUTED_VALUE"""),"Computers&amp;Accessories|Accessories&amp;Peripherals|Cables&amp;Accessories|Cables|USBCables")</f>
        <v>Computers&amp;Accessories|Accessories&amp;Peripherals|Cables&amp;Accessories|Cables|USBCables</v>
      </c>
      <c r="M141" s="23">
        <f>IFERROR(__xludf.DUMMYFUNCTION("""COMPUTED_VALUE"""),225.0)</f>
        <v>225</v>
      </c>
      <c r="N141" s="23">
        <f>IFERROR(__xludf.DUMMYFUNCTION("""COMPUTED_VALUE"""),499.0)</f>
        <v>499</v>
      </c>
      <c r="O141" s="24">
        <f>IFERROR(__xludf.DUMMYFUNCTION("""COMPUTED_VALUE"""),0.55)</f>
        <v>0.55</v>
      </c>
      <c r="P141" s="17">
        <f>IFERROR(__xludf.DUMMYFUNCTION("""COMPUTED_VALUE"""),4.1)</f>
        <v>4.1</v>
      </c>
      <c r="Q141" s="17">
        <f>IFERROR(__xludf.DUMMYFUNCTION("""COMPUTED_VALUE"""),789.0)</f>
        <v>789</v>
      </c>
    </row>
    <row r="142">
      <c r="A142" s="7" t="s">
        <v>167</v>
      </c>
      <c r="B142" s="7" t="s">
        <v>15</v>
      </c>
      <c r="C142" s="8">
        <v>399.0</v>
      </c>
      <c r="D142" s="8">
        <v>1099.0</v>
      </c>
      <c r="E142" s="19">
        <v>0.64</v>
      </c>
      <c r="F142" s="10">
        <v>4.1</v>
      </c>
      <c r="G142" s="11">
        <v>2685.0</v>
      </c>
      <c r="K142" s="17" t="str">
        <f>IFERROR(__xludf.DUMMYFUNCTION("""COMPUTED_VALUE"""),"Caldipree Silicone Case Cover Compatible for 2022 Samsung Smart TV Remote QLED TV BN68-13897A TM2280E (2022-BLACK)")</f>
        <v>Caldipree Silicone Case Cover Compatible for 2022 Samsung Smart TV Remote QLED TV BN68-13897A TM2280E (2022-BLACK)</v>
      </c>
      <c r="L142" s="17" t="str">
        <f>IFERROR(__xludf.DUMMYFUNCTION("""COMPUTED_VALUE"""),"Electronics|HomeTheater,TV&amp;Video|Accessories|RemoteControls")</f>
        <v>Electronics|HomeTheater,TV&amp;Video|Accessories|RemoteControls</v>
      </c>
      <c r="M142" s="23">
        <f>IFERROR(__xludf.DUMMYFUNCTION("""COMPUTED_VALUE"""),547.0)</f>
        <v>547</v>
      </c>
      <c r="N142" s="23">
        <f>IFERROR(__xludf.DUMMYFUNCTION("""COMPUTED_VALUE"""),2999.0)</f>
        <v>2999</v>
      </c>
      <c r="O142" s="24">
        <f>IFERROR(__xludf.DUMMYFUNCTION("""COMPUTED_VALUE"""),0.82)</f>
        <v>0.82</v>
      </c>
      <c r="P142" s="17">
        <f>IFERROR(__xludf.DUMMYFUNCTION("""COMPUTED_VALUE"""),4.3)</f>
        <v>4.3</v>
      </c>
      <c r="Q142" s="17">
        <f>IFERROR(__xludf.DUMMYFUNCTION("""COMPUTED_VALUE"""),407.0)</f>
        <v>407</v>
      </c>
    </row>
    <row r="143">
      <c r="A143" s="7" t="s">
        <v>168</v>
      </c>
      <c r="B143" s="7" t="s">
        <v>25</v>
      </c>
      <c r="C143" s="8">
        <v>1699.0</v>
      </c>
      <c r="D143" s="8">
        <v>2999.0</v>
      </c>
      <c r="E143" s="19">
        <v>0.43</v>
      </c>
      <c r="F143" s="10">
        <v>4.4</v>
      </c>
      <c r="G143" s="11">
        <v>24780.0</v>
      </c>
      <c r="K143" s="17" t="str">
        <f>IFERROR(__xludf.DUMMYFUNCTION("""COMPUTED_VALUE"""),"Universal Remote Control for All Sony TV for All LCD LED and Bravia TVs Remote")</f>
        <v>Universal Remote Control for All Sony TV for All LCD LED and Bravia TVs Remote</v>
      </c>
      <c r="L143" s="17" t="str">
        <f>IFERROR(__xludf.DUMMYFUNCTION("""COMPUTED_VALUE"""),"Electronics|HomeTheater,TV&amp;Video|Accessories|RemoteControls")</f>
        <v>Electronics|HomeTheater,TV&amp;Video|Accessories|RemoteControls</v>
      </c>
      <c r="M143" s="23">
        <f>IFERROR(__xludf.DUMMYFUNCTION("""COMPUTED_VALUE"""),239.0)</f>
        <v>239</v>
      </c>
      <c r="N143" s="23">
        <f>IFERROR(__xludf.DUMMYFUNCTION("""COMPUTED_VALUE"""),699.0)</f>
        <v>699</v>
      </c>
      <c r="O143" s="24">
        <f>IFERROR(__xludf.DUMMYFUNCTION("""COMPUTED_VALUE"""),0.66)</f>
        <v>0.66</v>
      </c>
      <c r="P143" s="17">
        <f>IFERROR(__xludf.DUMMYFUNCTION("""COMPUTED_VALUE"""),4.4)</f>
        <v>4.4</v>
      </c>
      <c r="Q143" s="25">
        <f>IFERROR(__xludf.DUMMYFUNCTION("""COMPUTED_VALUE"""),2640.0)</f>
        <v>2640</v>
      </c>
    </row>
    <row r="144">
      <c r="A144" s="7" t="s">
        <v>169</v>
      </c>
      <c r="B144" s="7" t="s">
        <v>71</v>
      </c>
      <c r="C144" s="8">
        <v>655.0</v>
      </c>
      <c r="D144" s="8">
        <v>1099.0</v>
      </c>
      <c r="E144" s="19">
        <v>0.4</v>
      </c>
      <c r="F144" s="10">
        <v>3.2</v>
      </c>
      <c r="G144" s="10">
        <v>285.0</v>
      </c>
      <c r="K144" s="17" t="str">
        <f>IFERROR(__xludf.DUMMYFUNCTION("""COMPUTED_VALUE"""),"BlueRigger High Speed HDMI Cable with Ethernet - Supports 3D, 4K 60Hz and Audio Return - Latest Version (3 Feet / 0.9 Meter)")</f>
        <v>BlueRigger High Speed HDMI Cable with Ethernet - Supports 3D, 4K 60Hz and Audio Return - Latest Version (3 Feet / 0.9 Meter)</v>
      </c>
      <c r="L144" s="17" t="str">
        <f>IFERROR(__xludf.DUMMYFUNCTION("""COMPUTED_VALUE"""),"Electronics|HomeTheater,TV&amp;Video|Accessories|Cables|HDMICables")</f>
        <v>Electronics|HomeTheater,TV&amp;Video|Accessories|Cables|HDMICables</v>
      </c>
      <c r="M144" s="23">
        <f>IFERROR(__xludf.DUMMYFUNCTION("""COMPUTED_VALUE"""),467.0)</f>
        <v>467</v>
      </c>
      <c r="N144" s="23">
        <f>IFERROR(__xludf.DUMMYFUNCTION("""COMPUTED_VALUE"""),599.0)</f>
        <v>599</v>
      </c>
      <c r="O144" s="24">
        <f>IFERROR(__xludf.DUMMYFUNCTION("""COMPUTED_VALUE"""),0.22)</f>
        <v>0.22</v>
      </c>
      <c r="P144" s="17">
        <f>IFERROR(__xludf.DUMMYFUNCTION("""COMPUTED_VALUE"""),4.4)</f>
        <v>4.4</v>
      </c>
      <c r="Q144" s="25">
        <f>IFERROR(__xludf.DUMMYFUNCTION("""COMPUTED_VALUE"""),44054.0)</f>
        <v>44054</v>
      </c>
    </row>
    <row r="145">
      <c r="A145" s="7" t="s">
        <v>170</v>
      </c>
      <c r="B145" s="7" t="s">
        <v>25</v>
      </c>
      <c r="C145" s="8">
        <v>749.0</v>
      </c>
      <c r="D145" s="8">
        <v>1339.0</v>
      </c>
      <c r="E145" s="19">
        <v>0.44</v>
      </c>
      <c r="F145" s="10">
        <v>4.2</v>
      </c>
      <c r="G145" s="7" t="s">
        <v>171</v>
      </c>
      <c r="K145" s="17" t="str">
        <f>IFERROR(__xludf.DUMMYFUNCTION("""COMPUTED_VALUE"""),"TCL 80 cm (32 inches) HD Ready Certified Android Smart LED TV 32S615 (Black)")</f>
        <v>TCL 80 cm (32 inches) HD Ready Certified Android Smart LED TV 32S615 (Black)</v>
      </c>
      <c r="L145" s="17" t="str">
        <f>IFERROR(__xludf.DUMMYFUNCTION("""COMPUTED_VALUE"""),"Electronics|HomeTheater,TV&amp;Video|Televisions|SmartTelevisions")</f>
        <v>Electronics|HomeTheater,TV&amp;Video|Televisions|SmartTelevisions</v>
      </c>
      <c r="M145" s="23">
        <f>IFERROR(__xludf.DUMMYFUNCTION("""COMPUTED_VALUE"""),11990.0)</f>
        <v>11990</v>
      </c>
      <c r="N145" s="23">
        <f>IFERROR(__xludf.DUMMYFUNCTION("""COMPUTED_VALUE"""),31990.0)</f>
        <v>31990</v>
      </c>
      <c r="O145" s="24">
        <f>IFERROR(__xludf.DUMMYFUNCTION("""COMPUTED_VALUE"""),0.63)</f>
        <v>0.63</v>
      </c>
      <c r="P145" s="17">
        <f>IFERROR(__xludf.DUMMYFUNCTION("""COMPUTED_VALUE"""),4.2)</f>
        <v>4.2</v>
      </c>
      <c r="Q145" s="17">
        <f>IFERROR(__xludf.DUMMYFUNCTION("""COMPUTED_VALUE"""),64.0)</f>
        <v>64</v>
      </c>
    </row>
    <row r="146">
      <c r="A146" s="7" t="s">
        <v>172</v>
      </c>
      <c r="B146" s="7" t="s">
        <v>37</v>
      </c>
      <c r="C146" s="8">
        <v>9999.0</v>
      </c>
      <c r="D146" s="8">
        <v>12999.0</v>
      </c>
      <c r="E146" s="19">
        <v>0.23</v>
      </c>
      <c r="F146" s="10">
        <v>4.2</v>
      </c>
      <c r="G146" s="11">
        <v>6088.0</v>
      </c>
      <c r="K146" s="17" t="str">
        <f>IFERROR(__xludf.DUMMYFUNCTION("""COMPUTED_VALUE"""),"AmazonBasics USB 2.0 Extension Cable for Personal Computer, Printer, 2-Pack - A-Male to A-Female - 3.3 Feet (1 Meter, Black)")</f>
        <v>AmazonBasics USB 2.0 Extension Cable for Personal Computer, Printer, 2-Pack - A-Male to A-Female - 3.3 Feet (1 Meter, Black)</v>
      </c>
      <c r="L146" s="17" t="str">
        <f>IFERROR(__xludf.DUMMYFUNCTION("""COMPUTED_VALUE"""),"Computers&amp;Accessories|Accessories&amp;Peripherals|Cables&amp;Accessories|Cables|USBCables")</f>
        <v>Computers&amp;Accessories|Accessories&amp;Peripherals|Cables&amp;Accessories|Cables|USBCables</v>
      </c>
      <c r="M146" s="23">
        <f>IFERROR(__xludf.DUMMYFUNCTION("""COMPUTED_VALUE"""),299.0)</f>
        <v>299</v>
      </c>
      <c r="N146" s="23">
        <f>IFERROR(__xludf.DUMMYFUNCTION("""COMPUTED_VALUE"""),800.0)</f>
        <v>800</v>
      </c>
      <c r="O146" s="24">
        <f>IFERROR(__xludf.DUMMYFUNCTION("""COMPUTED_VALUE"""),0.63)</f>
        <v>0.63</v>
      </c>
      <c r="P146" s="17">
        <f>IFERROR(__xludf.DUMMYFUNCTION("""COMPUTED_VALUE"""),4.5)</f>
        <v>4.5</v>
      </c>
      <c r="Q146" s="25">
        <f>IFERROR(__xludf.DUMMYFUNCTION("""COMPUTED_VALUE"""),74977.0)</f>
        <v>74977</v>
      </c>
    </row>
    <row r="147">
      <c r="A147" s="7" t="s">
        <v>173</v>
      </c>
      <c r="B147" s="7" t="s">
        <v>71</v>
      </c>
      <c r="C147" s="8">
        <v>195.0</v>
      </c>
      <c r="D147" s="8">
        <v>499.0</v>
      </c>
      <c r="E147" s="19">
        <v>0.61</v>
      </c>
      <c r="F147" s="10">
        <v>3.7</v>
      </c>
      <c r="G147" s="11">
        <v>1383.0</v>
      </c>
      <c r="K147" s="17" t="str">
        <f>IFERROR(__xludf.DUMMYFUNCTION("""COMPUTED_VALUE"""),"Amazon Basics USB C to Lightning TPE MFi Certified Charging Cable (White, 1.2 meter)")</f>
        <v>Amazon Basics USB C to Lightning TPE MFi Certified Charging Cable (White, 1.2 meter)</v>
      </c>
      <c r="L147" s="17" t="str">
        <f>IFERROR(__xludf.DUMMYFUNCTION("""COMPUTED_VALUE"""),"Computers&amp;Accessories|Accessories&amp;Peripherals|Cables&amp;Accessories|Cables|USBCables")</f>
        <v>Computers&amp;Accessories|Accessories&amp;Peripherals|Cables&amp;Accessories|Cables|USBCables</v>
      </c>
      <c r="M147" s="23">
        <f>IFERROR(__xludf.DUMMYFUNCTION("""COMPUTED_VALUE"""),799.0)</f>
        <v>799</v>
      </c>
      <c r="N147" s="23">
        <f>IFERROR(__xludf.DUMMYFUNCTION("""COMPUTED_VALUE"""),1999.0)</f>
        <v>1999</v>
      </c>
      <c r="O147" s="24">
        <f>IFERROR(__xludf.DUMMYFUNCTION("""COMPUTED_VALUE"""),0.6)</f>
        <v>0.6</v>
      </c>
      <c r="P147" s="17">
        <f>IFERROR(__xludf.DUMMYFUNCTION("""COMPUTED_VALUE"""),4.2)</f>
        <v>4.2</v>
      </c>
      <c r="Q147" s="25">
        <f>IFERROR(__xludf.DUMMYFUNCTION("""COMPUTED_VALUE"""),8583.0)</f>
        <v>8583</v>
      </c>
    </row>
    <row r="148">
      <c r="A148" s="7" t="s">
        <v>174</v>
      </c>
      <c r="B148" s="7" t="s">
        <v>15</v>
      </c>
      <c r="C148" s="8">
        <v>999.0</v>
      </c>
      <c r="D148" s="8">
        <v>2100.0</v>
      </c>
      <c r="E148" s="19">
        <v>0.52</v>
      </c>
      <c r="F148" s="10">
        <v>4.5</v>
      </c>
      <c r="G148" s="11">
        <v>5492.0</v>
      </c>
      <c r="K148" s="17" t="str">
        <f>IFERROR(__xludf.DUMMYFUNCTION("""COMPUTED_VALUE"""),"OnePlus 138.7 cm (55 inches) U Series 4K LED Smart Android TV 55U1S (Black)")</f>
        <v>OnePlus 138.7 cm (55 inches) U Series 4K LED Smart Android TV 55U1S (Black)</v>
      </c>
      <c r="L148" s="17" t="str">
        <f>IFERROR(__xludf.DUMMYFUNCTION("""COMPUTED_VALUE"""),"Electronics|HomeTheater,TV&amp;Video|Televisions|SmartTelevisions")</f>
        <v>Electronics|HomeTheater,TV&amp;Video|Televisions|SmartTelevisions</v>
      </c>
      <c r="M148" s="23">
        <f>IFERROR(__xludf.DUMMYFUNCTION("""COMPUTED_VALUE"""),42999.0)</f>
        <v>42999</v>
      </c>
      <c r="N148" s="23">
        <f>IFERROR(__xludf.DUMMYFUNCTION("""COMPUTED_VALUE"""),59999.0)</f>
        <v>59999</v>
      </c>
      <c r="O148" s="24">
        <f>IFERROR(__xludf.DUMMYFUNCTION("""COMPUTED_VALUE"""),0.28)</f>
        <v>0.28</v>
      </c>
      <c r="P148" s="17">
        <f>IFERROR(__xludf.DUMMYFUNCTION("""COMPUTED_VALUE"""),4.1)</f>
        <v>4.1</v>
      </c>
      <c r="Q148" s="25">
        <f>IFERROR(__xludf.DUMMYFUNCTION("""COMPUTED_VALUE"""),6753.0)</f>
        <v>6753</v>
      </c>
    </row>
    <row r="149">
      <c r="A149" s="7" t="s">
        <v>175</v>
      </c>
      <c r="B149" s="7" t="s">
        <v>15</v>
      </c>
      <c r="C149" s="8">
        <v>499.0</v>
      </c>
      <c r="D149" s="8">
        <v>899.0</v>
      </c>
      <c r="E149" s="19">
        <v>0.44</v>
      </c>
      <c r="F149" s="10">
        <v>4.2</v>
      </c>
      <c r="G149" s="10">
        <v>919.0</v>
      </c>
      <c r="K149" s="17" t="str">
        <f>IFERROR(__xludf.DUMMYFUNCTION("""COMPUTED_VALUE"""),"Posh 1.5 Meter High Speed Gold Plated HDMI Male to Female Extension Cable (Black)")</f>
        <v>Posh 1.5 Meter High Speed Gold Plated HDMI Male to Female Extension Cable (Black)</v>
      </c>
      <c r="L149" s="17" t="str">
        <f>IFERROR(__xludf.DUMMYFUNCTION("""COMPUTED_VALUE"""),"Electronics|HomeTheater,TV&amp;Video|Accessories|Cables|HDMICables")</f>
        <v>Electronics|HomeTheater,TV&amp;Video|Accessories|Cables|HDMICables</v>
      </c>
      <c r="M149" s="23">
        <f>IFERROR(__xludf.DUMMYFUNCTION("""COMPUTED_VALUE"""),173.0)</f>
        <v>173</v>
      </c>
      <c r="N149" s="23">
        <f>IFERROR(__xludf.DUMMYFUNCTION("""COMPUTED_VALUE"""),999.0)</f>
        <v>999</v>
      </c>
      <c r="O149" s="24">
        <f>IFERROR(__xludf.DUMMYFUNCTION("""COMPUTED_VALUE"""),0.83)</f>
        <v>0.83</v>
      </c>
      <c r="P149" s="17">
        <f>IFERROR(__xludf.DUMMYFUNCTION("""COMPUTED_VALUE"""),4.3)</f>
        <v>4.3</v>
      </c>
      <c r="Q149" s="25">
        <f>IFERROR(__xludf.DUMMYFUNCTION("""COMPUTED_VALUE"""),1237.0)</f>
        <v>1237</v>
      </c>
    </row>
    <row r="150">
      <c r="A150" s="7" t="s">
        <v>176</v>
      </c>
      <c r="B150" s="7" t="s">
        <v>177</v>
      </c>
      <c r="C150" s="8">
        <v>416.0</v>
      </c>
      <c r="D150" s="8">
        <v>599.0</v>
      </c>
      <c r="E150" s="19">
        <v>0.31</v>
      </c>
      <c r="F150" s="10">
        <v>4.2</v>
      </c>
      <c r="G150" s="11">
        <v>30023.0</v>
      </c>
      <c r="K150" s="17" t="str">
        <f>IFERROR(__xludf.DUMMYFUNCTION("""COMPUTED_VALUE"""),"Amazon Basics HDMI Coupler,Black")</f>
        <v>Amazon Basics HDMI Coupler,Black</v>
      </c>
      <c r="L150" s="17" t="str">
        <f>IFERROR(__xludf.DUMMYFUNCTION("""COMPUTED_VALUE"""),"Electronics|HomeAudio|Accessories|Adapters")</f>
        <v>Electronics|HomeAudio|Accessories|Adapters</v>
      </c>
      <c r="M150" s="23">
        <f>IFERROR(__xludf.DUMMYFUNCTION("""COMPUTED_VALUE"""),209.0)</f>
        <v>209</v>
      </c>
      <c r="N150" s="23">
        <f>IFERROR(__xludf.DUMMYFUNCTION("""COMPUTED_VALUE"""),600.0)</f>
        <v>600</v>
      </c>
      <c r="O150" s="24">
        <f>IFERROR(__xludf.DUMMYFUNCTION("""COMPUTED_VALUE"""),0.65)</f>
        <v>0.65</v>
      </c>
      <c r="P150" s="17">
        <f>IFERROR(__xludf.DUMMYFUNCTION("""COMPUTED_VALUE"""),4.4)</f>
        <v>4.4</v>
      </c>
      <c r="Q150" s="25">
        <f>IFERROR(__xludf.DUMMYFUNCTION("""COMPUTED_VALUE"""),18872.0)</f>
        <v>18872</v>
      </c>
    </row>
    <row r="151">
      <c r="A151" s="7" t="s">
        <v>178</v>
      </c>
      <c r="B151" s="7" t="s">
        <v>15</v>
      </c>
      <c r="C151" s="8">
        <v>368.0</v>
      </c>
      <c r="D151" s="8">
        <v>699.0</v>
      </c>
      <c r="E151" s="19">
        <v>0.47</v>
      </c>
      <c r="F151" s="10">
        <v>4.2</v>
      </c>
      <c r="G151" s="10">
        <v>387.0</v>
      </c>
      <c r="K151" s="17" t="str">
        <f>IFERROR(__xludf.DUMMYFUNCTION("""COMPUTED_VALUE"""),"Wayona Nylon Braided Usb Syncing And Charging Cable Sync And Charging Cable For Iphone, Ipad (3 Ft, Black) - Pack Of 2")</f>
        <v>Wayona Nylon Braided Usb Syncing And Charging Cable Sync And Charging Cable For Iphone, Ipad (3 Ft, Black) - Pack Of 2</v>
      </c>
      <c r="L151" s="17" t="str">
        <f>IFERROR(__xludf.DUMMYFUNCTION("""COMPUTED_VALUE"""),"Computers&amp;Accessories|Accessories&amp;Peripherals|Cables&amp;Accessories|Cables|USBCables")</f>
        <v>Computers&amp;Accessories|Accessories&amp;Peripherals|Cables&amp;Accessories|Cables|USBCables</v>
      </c>
      <c r="M151" s="23">
        <f>IFERROR(__xludf.DUMMYFUNCTION("""COMPUTED_VALUE"""),649.0)</f>
        <v>649</v>
      </c>
      <c r="N151" s="23">
        <f>IFERROR(__xludf.DUMMYFUNCTION("""COMPUTED_VALUE"""),1999.0)</f>
        <v>1999</v>
      </c>
      <c r="O151" s="24">
        <f>IFERROR(__xludf.DUMMYFUNCTION("""COMPUTED_VALUE"""),0.68)</f>
        <v>0.68</v>
      </c>
      <c r="P151" s="17">
        <f>IFERROR(__xludf.DUMMYFUNCTION("""COMPUTED_VALUE"""),4.2)</f>
        <v>4.2</v>
      </c>
      <c r="Q151" s="25">
        <f>IFERROR(__xludf.DUMMYFUNCTION("""COMPUTED_VALUE"""),24269.0)</f>
        <v>24269</v>
      </c>
    </row>
    <row r="152">
      <c r="A152" s="7" t="s">
        <v>179</v>
      </c>
      <c r="B152" s="7" t="s">
        <v>37</v>
      </c>
      <c r="C152" s="8">
        <v>29990.0</v>
      </c>
      <c r="D152" s="8">
        <v>65000.0</v>
      </c>
      <c r="E152" s="19">
        <v>0.54</v>
      </c>
      <c r="F152" s="10">
        <v>4.1</v>
      </c>
      <c r="G152" s="10">
        <v>211.0</v>
      </c>
      <c r="K152" s="17" t="str">
        <f>IFERROR(__xludf.DUMMYFUNCTION("""COMPUTED_VALUE"""),"Caprigo Heavy Duty TV Wall Mount Stand for 12 to 27 inches LED/LCD/Monitor Screen's, Full Motion Rotatable Universal TV &amp; Monitor Wall Mount Bracket with Swivel &amp; Tilt Adjustments (Single Arm - M416)")</f>
        <v>Caprigo Heavy Duty TV Wall Mount Stand for 12 to 27 inches LED/LCD/Monitor Screen's, Full Motion Rotatable Universal TV &amp; Monitor Wall Mount Bracket with Swivel &amp; Tilt Adjustments (Single Arm - M416)</v>
      </c>
      <c r="L152" s="17" t="str">
        <f>IFERROR(__xludf.DUMMYFUNCTION("""COMPUTED_VALUE"""),"Electronics|HomeTheater,TV&amp;Video|Accessories|TVMounts,Stands&amp;Turntables|TVWall&amp;CeilingMounts")</f>
        <v>Electronics|HomeTheater,TV&amp;Video|Accessories|TVMounts,Stands&amp;Turntables|TVWall&amp;CeilingMounts</v>
      </c>
      <c r="M152" s="23">
        <f>IFERROR(__xludf.DUMMYFUNCTION("""COMPUTED_VALUE"""),399.0)</f>
        <v>399</v>
      </c>
      <c r="N152" s="23">
        <f>IFERROR(__xludf.DUMMYFUNCTION("""COMPUTED_VALUE"""),799.0)</f>
        <v>799</v>
      </c>
      <c r="O152" s="24">
        <f>IFERROR(__xludf.DUMMYFUNCTION("""COMPUTED_VALUE"""),0.5)</f>
        <v>0.5</v>
      </c>
      <c r="P152" s="17">
        <f>IFERROR(__xludf.DUMMYFUNCTION("""COMPUTED_VALUE"""),4.1)</f>
        <v>4.1</v>
      </c>
      <c r="Q152" s="25">
        <f>IFERROR(__xludf.DUMMYFUNCTION("""COMPUTED_VALUE"""),1161.0)</f>
        <v>1161</v>
      </c>
    </row>
    <row r="153">
      <c r="A153" s="7" t="s">
        <v>180</v>
      </c>
      <c r="B153" s="7" t="s">
        <v>15</v>
      </c>
      <c r="C153" s="8">
        <v>339.0</v>
      </c>
      <c r="D153" s="8">
        <v>1099.0</v>
      </c>
      <c r="E153" s="19">
        <v>0.69</v>
      </c>
      <c r="F153" s="10">
        <v>4.3</v>
      </c>
      <c r="G153" s="10">
        <v>974.0</v>
      </c>
      <c r="K153" s="17" t="str">
        <f>IFERROR(__xludf.DUMMYFUNCTION("""COMPUTED_VALUE"""),"Portronics Konnect L 60W PD Type C to Type C Mobile Charging Cable, 1.2M, Fast Data Sync, Tangle Resistant, TPE+Nylon Braided(Grey)")</f>
        <v>Portronics Konnect L 60W PD Type C to Type C Mobile Charging Cable, 1.2M, Fast Data Sync, Tangle Resistant, TPE+Nylon Braided(Grey)</v>
      </c>
      <c r="L153" s="17" t="str">
        <f>IFERROR(__xludf.DUMMYFUNCTION("""COMPUTED_VALUE"""),"Computers&amp;Accessories|Accessories&amp;Peripherals|Cables&amp;Accessories|Cables|USBCables")</f>
        <v>Computers&amp;Accessories|Accessories&amp;Peripherals|Cables&amp;Accessories|Cables|USBCables</v>
      </c>
      <c r="M153" s="23">
        <f>IFERROR(__xludf.DUMMYFUNCTION("""COMPUTED_VALUE"""),249.0)</f>
        <v>249</v>
      </c>
      <c r="N153" s="23">
        <f>IFERROR(__xludf.DUMMYFUNCTION("""COMPUTED_VALUE"""),499.0)</f>
        <v>499</v>
      </c>
      <c r="O153" s="24">
        <f>IFERROR(__xludf.DUMMYFUNCTION("""COMPUTED_VALUE"""),0.5)</f>
        <v>0.5</v>
      </c>
      <c r="P153" s="17">
        <f>IFERROR(__xludf.DUMMYFUNCTION("""COMPUTED_VALUE"""),4.1)</f>
        <v>4.1</v>
      </c>
      <c r="Q153" s="25">
        <f>IFERROR(__xludf.DUMMYFUNCTION("""COMPUTED_VALUE"""),1508.0)</f>
        <v>1508</v>
      </c>
    </row>
    <row r="154">
      <c r="A154" s="7" t="s">
        <v>181</v>
      </c>
      <c r="B154" s="7" t="s">
        <v>37</v>
      </c>
      <c r="C154" s="8">
        <v>15490.0</v>
      </c>
      <c r="D154" s="8">
        <v>20900.0</v>
      </c>
      <c r="E154" s="19">
        <v>0.26</v>
      </c>
      <c r="F154" s="10">
        <v>4.3</v>
      </c>
      <c r="G154" s="11">
        <v>16299.0</v>
      </c>
      <c r="K154" s="17" t="str">
        <f>IFERROR(__xludf.DUMMYFUNCTION("""COMPUTED_VALUE"""),"TATA SKY HD Connection with 1 month basic package and free installation")</f>
        <v>TATA SKY HD Connection with 1 month basic package and free installation</v>
      </c>
      <c r="L154" s="17" t="str">
        <f>IFERROR(__xludf.DUMMYFUNCTION("""COMPUTED_VALUE"""),"Electronics|HomeTheater,TV&amp;Video|SatelliteEquipment|SatelliteReceivers")</f>
        <v>Electronics|HomeTheater,TV&amp;Video|SatelliteEquipment|SatelliteReceivers</v>
      </c>
      <c r="M154" s="23">
        <f>IFERROR(__xludf.DUMMYFUNCTION("""COMPUTED_VALUE"""),1249.0)</f>
        <v>1249</v>
      </c>
      <c r="N154" s="23">
        <f>IFERROR(__xludf.DUMMYFUNCTION("""COMPUTED_VALUE"""),2299.0)</f>
        <v>2299</v>
      </c>
      <c r="O154" s="24">
        <f>IFERROR(__xludf.DUMMYFUNCTION("""COMPUTED_VALUE"""),0.46)</f>
        <v>0.46</v>
      </c>
      <c r="P154" s="17">
        <f>IFERROR(__xludf.DUMMYFUNCTION("""COMPUTED_VALUE"""),4.3)</f>
        <v>4.3</v>
      </c>
      <c r="Q154" s="25">
        <f>IFERROR(__xludf.DUMMYFUNCTION("""COMPUTED_VALUE"""),7636.0)</f>
        <v>7636</v>
      </c>
    </row>
    <row r="155">
      <c r="A155" s="7" t="s">
        <v>182</v>
      </c>
      <c r="B155" s="7" t="s">
        <v>15</v>
      </c>
      <c r="C155" s="8">
        <v>499.0</v>
      </c>
      <c r="D155" s="8">
        <v>1299.0</v>
      </c>
      <c r="E155" s="19">
        <v>0.62</v>
      </c>
      <c r="F155" s="10">
        <v>4.3</v>
      </c>
      <c r="G155" s="11">
        <v>30411.0</v>
      </c>
      <c r="K155" s="17" t="str">
        <f>IFERROR(__xludf.DUMMYFUNCTION("""COMPUTED_VALUE"""),"Rts™ High Speed 3D Full HD 1080p Support (10 Meters) HDMI Male to HDMI Male Cable TV Lead 1.4V for All Hdmi Devices- Black (10M - 30 FEET)")</f>
        <v>Rts™ High Speed 3D Full HD 1080p Support (10 Meters) HDMI Male to HDMI Male Cable TV Lead 1.4V for All Hdmi Devices- Black (10M - 30 FEET)</v>
      </c>
      <c r="L155" s="17" t="str">
        <f>IFERROR(__xludf.DUMMYFUNCTION("""COMPUTED_VALUE"""),"Electronics|HomeTheater,TV&amp;Video|Accessories|Cables|HDMICables")</f>
        <v>Electronics|HomeTheater,TV&amp;Video|Accessories|Cables|HDMICables</v>
      </c>
      <c r="M155" s="23">
        <f>IFERROR(__xludf.DUMMYFUNCTION("""COMPUTED_VALUE"""),598.0)</f>
        <v>598</v>
      </c>
      <c r="N155" s="23">
        <f>IFERROR(__xludf.DUMMYFUNCTION("""COMPUTED_VALUE"""),4999.0)</f>
        <v>4999</v>
      </c>
      <c r="O155" s="24">
        <f>IFERROR(__xludf.DUMMYFUNCTION("""COMPUTED_VALUE"""),0.88)</f>
        <v>0.88</v>
      </c>
      <c r="P155" s="17">
        <f>IFERROR(__xludf.DUMMYFUNCTION("""COMPUTED_VALUE"""),4.2)</f>
        <v>4.2</v>
      </c>
      <c r="Q155" s="17">
        <f>IFERROR(__xludf.DUMMYFUNCTION("""COMPUTED_VALUE"""),910.0)</f>
        <v>910</v>
      </c>
    </row>
    <row r="156">
      <c r="A156" s="7" t="s">
        <v>183</v>
      </c>
      <c r="B156" s="7" t="s">
        <v>25</v>
      </c>
      <c r="C156" s="8">
        <v>249.0</v>
      </c>
      <c r="D156" s="8">
        <v>399.0</v>
      </c>
      <c r="E156" s="19">
        <v>0.38</v>
      </c>
      <c r="F156" s="10">
        <v>3.4</v>
      </c>
      <c r="G156" s="11">
        <v>4642.0</v>
      </c>
      <c r="K156" s="17" t="str">
        <f>IFERROR(__xludf.DUMMYFUNCTION("""COMPUTED_VALUE"""),"boAt LTG 500 Apple MFI Certified for iPhone, iPad and iPod 2Mtr Data Cable(Metallic Silver)")</f>
        <v>boAt LTG 500 Apple MFI Certified for iPhone, iPad and iPod 2Mtr Data Cable(Metallic Silver)</v>
      </c>
      <c r="L156" s="17" t="str">
        <f>IFERROR(__xludf.DUMMYFUNCTION("""COMPUTED_VALUE"""),"Computers&amp;Accessories|Accessories&amp;Peripherals|Cables&amp;Accessories|Cables|USBCables")</f>
        <v>Computers&amp;Accessories|Accessories&amp;Peripherals|Cables&amp;Accessories|Cables|USBCables</v>
      </c>
      <c r="M156" s="23">
        <f>IFERROR(__xludf.DUMMYFUNCTION("""COMPUTED_VALUE"""),799.0)</f>
        <v>799</v>
      </c>
      <c r="N156" s="23">
        <f>IFERROR(__xludf.DUMMYFUNCTION("""COMPUTED_VALUE"""),1749.0)</f>
        <v>1749</v>
      </c>
      <c r="O156" s="24">
        <f>IFERROR(__xludf.DUMMYFUNCTION("""COMPUTED_VALUE"""),0.54)</f>
        <v>0.54</v>
      </c>
      <c r="P156" s="17">
        <f>IFERROR(__xludf.DUMMYFUNCTION("""COMPUTED_VALUE"""),4.1)</f>
        <v>4.1</v>
      </c>
      <c r="Q156" s="25">
        <f>IFERROR(__xludf.DUMMYFUNCTION("""COMPUTED_VALUE"""),5626.0)</f>
        <v>5626</v>
      </c>
    </row>
    <row r="157">
      <c r="A157" s="7" t="s">
        <v>184</v>
      </c>
      <c r="B157" s="7" t="s">
        <v>71</v>
      </c>
      <c r="C157" s="8">
        <v>399.0</v>
      </c>
      <c r="D157" s="8">
        <v>799.0</v>
      </c>
      <c r="E157" s="19">
        <v>0.5</v>
      </c>
      <c r="F157" s="10">
        <v>4.3</v>
      </c>
      <c r="G157" s="10">
        <v>12.0</v>
      </c>
      <c r="K157" s="17" t="str">
        <f>IFERROR(__xludf.DUMMYFUNCTION("""COMPUTED_VALUE"""),"Agaro Blaze USBA to micro +Type C 2in1 Braided 1.2M Cable")</f>
        <v>Agaro Blaze USBA to micro +Type C 2in1 Braided 1.2M Cable</v>
      </c>
      <c r="L157" s="17" t="str">
        <f>IFERROR(__xludf.DUMMYFUNCTION("""COMPUTED_VALUE"""),"Computers&amp;Accessories|Accessories&amp;Peripherals|Cables&amp;Accessories|Cables|USBCables")</f>
        <v>Computers&amp;Accessories|Accessories&amp;Peripherals|Cables&amp;Accessories|Cables|USBCables</v>
      </c>
      <c r="M157" s="23">
        <f>IFERROR(__xludf.DUMMYFUNCTION("""COMPUTED_VALUE"""),159.0)</f>
        <v>159</v>
      </c>
      <c r="N157" s="23">
        <f>IFERROR(__xludf.DUMMYFUNCTION("""COMPUTED_VALUE"""),595.0)</f>
        <v>595</v>
      </c>
      <c r="O157" s="24">
        <f>IFERROR(__xludf.DUMMYFUNCTION("""COMPUTED_VALUE"""),0.73)</f>
        <v>0.73</v>
      </c>
      <c r="P157" s="17">
        <f>IFERROR(__xludf.DUMMYFUNCTION("""COMPUTED_VALUE"""),4.3)</f>
        <v>4.3</v>
      </c>
      <c r="Q157" s="25">
        <f>IFERROR(__xludf.DUMMYFUNCTION("""COMPUTED_VALUE"""),14184.0)</f>
        <v>14184</v>
      </c>
    </row>
    <row r="158">
      <c r="A158" s="7" t="s">
        <v>185</v>
      </c>
      <c r="B158" s="7" t="s">
        <v>15</v>
      </c>
      <c r="C158" s="8">
        <v>1499.0</v>
      </c>
      <c r="D158" s="8">
        <v>1999.0</v>
      </c>
      <c r="E158" s="19">
        <v>0.25</v>
      </c>
      <c r="F158" s="10">
        <v>4.4</v>
      </c>
      <c r="G158" s="11">
        <v>1951.0</v>
      </c>
      <c r="K158" s="17" t="str">
        <f>IFERROR(__xludf.DUMMYFUNCTION("""COMPUTED_VALUE"""),"AmazonBasics 6 Feet DisplayPort to DisplayPort Cable - (Not HDMI Cable) (Gold)")</f>
        <v>AmazonBasics 6 Feet DisplayPort to DisplayPort Cable - (Not HDMI Cable) (Gold)</v>
      </c>
      <c r="L158" s="17" t="str">
        <f>IFERROR(__xludf.DUMMYFUNCTION("""COMPUTED_VALUE"""),"Computers&amp;Accessories|Accessories&amp;Peripherals|Cables&amp;Accessories|Cables|DVICables")</f>
        <v>Computers&amp;Accessories|Accessories&amp;Peripherals|Cables&amp;Accessories|Cables|DVICables</v>
      </c>
      <c r="M158" s="23">
        <f>IFERROR(__xludf.DUMMYFUNCTION("""COMPUTED_VALUE"""),499.0)</f>
        <v>499</v>
      </c>
      <c r="N158" s="23">
        <f>IFERROR(__xludf.DUMMYFUNCTION("""COMPUTED_VALUE"""),1100.0)</f>
        <v>1100</v>
      </c>
      <c r="O158" s="24">
        <f>IFERROR(__xludf.DUMMYFUNCTION("""COMPUTED_VALUE"""),0.55)</f>
        <v>0.55</v>
      </c>
      <c r="P158" s="17">
        <f>IFERROR(__xludf.DUMMYFUNCTION("""COMPUTED_VALUE"""),4.4)</f>
        <v>4.4</v>
      </c>
      <c r="Q158" s="25">
        <f>IFERROR(__xludf.DUMMYFUNCTION("""COMPUTED_VALUE"""),25177.0)</f>
        <v>25177</v>
      </c>
    </row>
    <row r="159">
      <c r="A159" s="7" t="s">
        <v>186</v>
      </c>
      <c r="B159" s="7" t="s">
        <v>187</v>
      </c>
      <c r="C159" s="8">
        <v>9490.0</v>
      </c>
      <c r="D159" s="8">
        <v>15990.0</v>
      </c>
      <c r="E159" s="19">
        <v>0.41</v>
      </c>
      <c r="F159" s="10">
        <v>3.9</v>
      </c>
      <c r="G159" s="11">
        <v>10480.0</v>
      </c>
      <c r="K159" s="17" t="str">
        <f>IFERROR(__xludf.DUMMYFUNCTION("""COMPUTED_VALUE"""),"MI 108 cm (43 inches) 5X Series 4K Ultra HD LED Smart Android TV L43M6-ES (Grey)")</f>
        <v>MI 108 cm (43 inches) 5X Series 4K Ultra HD LED Smart Android TV L43M6-ES (Grey)</v>
      </c>
      <c r="L159" s="17" t="str">
        <f>IFERROR(__xludf.DUMMYFUNCTION("""COMPUTED_VALUE"""),"Electronics|HomeTheater,TV&amp;Video|Televisions|SmartTelevisions")</f>
        <v>Electronics|HomeTheater,TV&amp;Video|Televisions|SmartTelevisions</v>
      </c>
      <c r="M159" s="23">
        <f>IFERROR(__xludf.DUMMYFUNCTION("""COMPUTED_VALUE"""),31999.0)</f>
        <v>31999</v>
      </c>
      <c r="N159" s="23">
        <f>IFERROR(__xludf.DUMMYFUNCTION("""COMPUTED_VALUE"""),49999.0)</f>
        <v>49999</v>
      </c>
      <c r="O159" s="24">
        <f>IFERROR(__xludf.DUMMYFUNCTION("""COMPUTED_VALUE"""),0.36)</f>
        <v>0.36</v>
      </c>
      <c r="P159" s="17">
        <f>IFERROR(__xludf.DUMMYFUNCTION("""COMPUTED_VALUE"""),4.3)</f>
        <v>4.3</v>
      </c>
      <c r="Q159" s="25">
        <f>IFERROR(__xludf.DUMMYFUNCTION("""COMPUTED_VALUE"""),21252.0)</f>
        <v>21252</v>
      </c>
    </row>
    <row r="160">
      <c r="A160" s="7" t="s">
        <v>188</v>
      </c>
      <c r="B160" s="7" t="s">
        <v>31</v>
      </c>
      <c r="C160" s="8">
        <v>637.0</v>
      </c>
      <c r="D160" s="8">
        <v>1499.0</v>
      </c>
      <c r="E160" s="19">
        <v>0.58</v>
      </c>
      <c r="F160" s="10">
        <v>4.1</v>
      </c>
      <c r="G160" s="10">
        <v>24.0</v>
      </c>
      <c r="K160" s="17" t="str">
        <f>IFERROR(__xludf.DUMMYFUNCTION("""COMPUTED_VALUE"""),"Sansui 140cm (55 inches) 4K Ultra HD Certified Android LED TV with Dolby Audio &amp; Dolby Vision JSW55ASUHD (Mystique Black)")</f>
        <v>Sansui 140cm (55 inches) 4K Ultra HD Certified Android LED TV with Dolby Audio &amp; Dolby Vision JSW55ASUHD (Mystique Black)</v>
      </c>
      <c r="L160" s="17" t="str">
        <f>IFERROR(__xludf.DUMMYFUNCTION("""COMPUTED_VALUE"""),"Electronics|HomeTheater,TV&amp;Video|Televisions|SmartTelevisions")</f>
        <v>Electronics|HomeTheater,TV&amp;Video|Televisions|SmartTelevisions</v>
      </c>
      <c r="M160" s="23">
        <f>IFERROR(__xludf.DUMMYFUNCTION("""COMPUTED_VALUE"""),32990.0)</f>
        <v>32990</v>
      </c>
      <c r="N160" s="23">
        <f>IFERROR(__xludf.DUMMYFUNCTION("""COMPUTED_VALUE"""),56790.0)</f>
        <v>56790</v>
      </c>
      <c r="O160" s="24">
        <f>IFERROR(__xludf.DUMMYFUNCTION("""COMPUTED_VALUE"""),0.42)</f>
        <v>0.42</v>
      </c>
      <c r="P160" s="17">
        <f>IFERROR(__xludf.DUMMYFUNCTION("""COMPUTED_VALUE"""),4.3)</f>
        <v>4.3</v>
      </c>
      <c r="Q160" s="17">
        <f>IFERROR(__xludf.DUMMYFUNCTION("""COMPUTED_VALUE"""),567.0)</f>
        <v>567</v>
      </c>
    </row>
    <row r="161">
      <c r="A161" s="7" t="s">
        <v>189</v>
      </c>
      <c r="B161" s="7" t="s">
        <v>71</v>
      </c>
      <c r="C161" s="8">
        <v>399.0</v>
      </c>
      <c r="D161" s="8">
        <v>899.0</v>
      </c>
      <c r="E161" s="19">
        <v>0.56</v>
      </c>
      <c r="F161" s="10">
        <v>3.9</v>
      </c>
      <c r="G161" s="10">
        <v>254.0</v>
      </c>
      <c r="K161" s="17" t="str">
        <f>IFERROR(__xludf.DUMMYFUNCTION("""COMPUTED_VALUE"""),"Belkin USB C to USB-C Fast Charging Type C Cable, 60W PD, 3.3 feet (1 meter) for Laptop, Personal Computer, Tablet, Smartphone - White, USB-IF Certified")</f>
        <v>Belkin USB C to USB-C Fast Charging Type C Cable, 60W PD, 3.3 feet (1 meter) for Laptop, Personal Computer, Tablet, Smartphone - White, USB-IF Certified</v>
      </c>
      <c r="L161" s="17" t="str">
        <f>IFERROR(__xludf.DUMMYFUNCTION("""COMPUTED_VALUE"""),"Computers&amp;Accessories|Accessories&amp;Peripherals|Cables&amp;Accessories|Cables|USBCables")</f>
        <v>Computers&amp;Accessories|Accessories&amp;Peripherals|Cables&amp;Accessories|Cables|USBCables</v>
      </c>
      <c r="M161" s="23">
        <f>IFERROR(__xludf.DUMMYFUNCTION("""COMPUTED_VALUE"""),599.0)</f>
        <v>599</v>
      </c>
      <c r="N161" s="23">
        <f>IFERROR(__xludf.DUMMYFUNCTION("""COMPUTED_VALUE"""),849.0)</f>
        <v>849</v>
      </c>
      <c r="O161" s="24">
        <f>IFERROR(__xludf.DUMMYFUNCTION("""COMPUTED_VALUE"""),0.29)</f>
        <v>0.29</v>
      </c>
      <c r="P161" s="17">
        <f>IFERROR(__xludf.DUMMYFUNCTION("""COMPUTED_VALUE"""),4.5)</f>
        <v>4.5</v>
      </c>
      <c r="Q161" s="17">
        <f>IFERROR(__xludf.DUMMYFUNCTION("""COMPUTED_VALUE"""),474.0)</f>
        <v>474</v>
      </c>
    </row>
    <row r="162">
      <c r="A162" s="7" t="s">
        <v>190</v>
      </c>
      <c r="B162" s="7" t="s">
        <v>177</v>
      </c>
      <c r="C162" s="8">
        <v>1089.0</v>
      </c>
      <c r="D162" s="8">
        <v>1600.0</v>
      </c>
      <c r="E162" s="19">
        <v>0.32</v>
      </c>
      <c r="F162" s="10">
        <v>4.0</v>
      </c>
      <c r="G162" s="11">
        <v>3565.0</v>
      </c>
      <c r="K162" s="17" t="str">
        <f>IFERROR(__xludf.DUMMYFUNCTION("""COMPUTED_VALUE"""),"Amazon Basics 16-Gauge Speaker Wire - 50 Feet")</f>
        <v>Amazon Basics 16-Gauge Speaker Wire - 50 Feet</v>
      </c>
      <c r="L162" s="17" t="str">
        <f>IFERROR(__xludf.DUMMYFUNCTION("""COMPUTED_VALUE"""),"Electronics|HomeTheater,TV&amp;Video|Accessories|Cables|SpeakerCables")</f>
        <v>Electronics|HomeTheater,TV&amp;Video|Accessories|Cables|SpeakerCables</v>
      </c>
      <c r="M162" s="23">
        <f>IFERROR(__xludf.DUMMYFUNCTION("""COMPUTED_VALUE"""),399.0)</f>
        <v>399</v>
      </c>
      <c r="N162" s="23">
        <f>IFERROR(__xludf.DUMMYFUNCTION("""COMPUTED_VALUE"""),795.0)</f>
        <v>795</v>
      </c>
      <c r="O162" s="24">
        <f>IFERROR(__xludf.DUMMYFUNCTION("""COMPUTED_VALUE"""),0.5)</f>
        <v>0.5</v>
      </c>
      <c r="P162" s="17">
        <f>IFERROR(__xludf.DUMMYFUNCTION("""COMPUTED_VALUE"""),4.4)</f>
        <v>4.4</v>
      </c>
      <c r="Q162" s="25">
        <f>IFERROR(__xludf.DUMMYFUNCTION("""COMPUTED_VALUE"""),12091.0)</f>
        <v>12091</v>
      </c>
    </row>
    <row r="163">
      <c r="A163" s="7" t="s">
        <v>191</v>
      </c>
      <c r="B163" s="7" t="s">
        <v>15</v>
      </c>
      <c r="C163" s="8">
        <v>339.0</v>
      </c>
      <c r="D163" s="8">
        <v>999.0</v>
      </c>
      <c r="E163" s="19">
        <v>0.66</v>
      </c>
      <c r="F163" s="10">
        <v>4.3</v>
      </c>
      <c r="G163" s="11">
        <v>6255.0</v>
      </c>
      <c r="K163" s="17" t="str">
        <f>IFERROR(__xludf.DUMMYFUNCTION("""COMPUTED_VALUE"""),"Wayona Usb Type C To Usb Nylon Braided Quick Charger Fast Charging Short Cable For Smartphone (Samsung Galaxy S21/S20/S10/S9/S9+/Note 9/S8/Note 8, Lg G7 G5 G6, Moto G6 G7) (0.25M,Grey)")</f>
        <v>Wayona Usb Type C To Usb Nylon Braided Quick Charger Fast Charging Short Cable For Smartphone (Samsung Galaxy S21/S20/S10/S9/S9+/Note 9/S8/Note 8, Lg G7 G5 G6, Moto G6 G7) (0.25M,Grey)</v>
      </c>
      <c r="L163" s="17" t="str">
        <f>IFERROR(__xludf.DUMMYFUNCTION("""COMPUTED_VALUE"""),"Computers&amp;Accessories|Accessories&amp;Peripherals|Cables&amp;Accessories|Cables|USBCables")</f>
        <v>Computers&amp;Accessories|Accessories&amp;Peripherals|Cables&amp;Accessories|Cables|USBCables</v>
      </c>
      <c r="M163" s="23">
        <f>IFERROR(__xludf.DUMMYFUNCTION("""COMPUTED_VALUE"""),339.0)</f>
        <v>339</v>
      </c>
      <c r="N163" s="23">
        <f>IFERROR(__xludf.DUMMYFUNCTION("""COMPUTED_VALUE"""),999.0)</f>
        <v>999</v>
      </c>
      <c r="O163" s="24">
        <f>IFERROR(__xludf.DUMMYFUNCTION("""COMPUTED_VALUE"""),0.66)</f>
        <v>0.66</v>
      </c>
      <c r="P163" s="17">
        <f>IFERROR(__xludf.DUMMYFUNCTION("""COMPUTED_VALUE"""),4.3)</f>
        <v>4.3</v>
      </c>
      <c r="Q163" s="25">
        <f>IFERROR(__xludf.DUMMYFUNCTION("""COMPUTED_VALUE"""),6255.0)</f>
        <v>6255</v>
      </c>
    </row>
    <row r="164">
      <c r="A164" s="7" t="s">
        <v>192</v>
      </c>
      <c r="B164" s="7" t="s">
        <v>15</v>
      </c>
      <c r="C164" s="8">
        <v>149.0</v>
      </c>
      <c r="D164" s="8">
        <v>499.0</v>
      </c>
      <c r="E164" s="19">
        <v>0.7</v>
      </c>
      <c r="F164" s="10">
        <v>4.0</v>
      </c>
      <c r="G164" s="11">
        <v>7732.0</v>
      </c>
      <c r="K164" s="17" t="str">
        <f>IFERROR(__xludf.DUMMYFUNCTION("""COMPUTED_VALUE"""),"Smashtronics® - Case for Firetv Remote, Fire Stick Remote Cover Case, Silicone Cover for TV Firestick 4K/TV 2nd Gen(3rd Gen) Remote Control - Light Weight/Anti Slip/Shockproof (Black)")</f>
        <v>Smashtronics® - Case for Firetv Remote, Fire Stick Remote Cover Case, Silicone Cover for TV Firestick 4K/TV 2nd Gen(3rd Gen) Remote Control - Light Weight/Anti Slip/Shockproof (Black)</v>
      </c>
      <c r="L164" s="17" t="str">
        <f>IFERROR(__xludf.DUMMYFUNCTION("""COMPUTED_VALUE"""),"Electronics|HomeTheater,TV&amp;Video|Accessories|RemoteControls")</f>
        <v>Electronics|HomeTheater,TV&amp;Video|Accessories|RemoteControls</v>
      </c>
      <c r="M164" s="23">
        <f>IFERROR(__xludf.DUMMYFUNCTION("""COMPUTED_VALUE"""),199.0)</f>
        <v>199</v>
      </c>
      <c r="N164" s="23">
        <f>IFERROR(__xludf.DUMMYFUNCTION("""COMPUTED_VALUE"""),399.0)</f>
        <v>399</v>
      </c>
      <c r="O164" s="24">
        <f>IFERROR(__xludf.DUMMYFUNCTION("""COMPUTED_VALUE"""),0.5)</f>
        <v>0.5</v>
      </c>
      <c r="P164" s="17">
        <f>IFERROR(__xludf.DUMMYFUNCTION("""COMPUTED_VALUE"""),4.2)</f>
        <v>4.2</v>
      </c>
      <c r="Q164" s="25">
        <f>IFERROR(__xludf.DUMMYFUNCTION("""COMPUTED_VALUE"""),1335.0)</f>
        <v>1335</v>
      </c>
    </row>
    <row r="165">
      <c r="A165" s="7" t="s">
        <v>193</v>
      </c>
      <c r="B165" s="7" t="s">
        <v>15</v>
      </c>
      <c r="C165" s="8">
        <v>149.0</v>
      </c>
      <c r="D165" s="8">
        <v>399.0</v>
      </c>
      <c r="E165" s="19">
        <v>0.63</v>
      </c>
      <c r="F165" s="10">
        <v>3.9</v>
      </c>
      <c r="G165" s="10">
        <v>57.0</v>
      </c>
      <c r="K165" s="17" t="str">
        <f>IFERROR(__xludf.DUMMYFUNCTION("""COMPUTED_VALUE"""),"Boat A 350 Type C Cable 1.5m(Jet Black)")</f>
        <v>Boat A 350 Type C Cable 1.5m(Jet Black)</v>
      </c>
      <c r="L165" s="17" t="str">
        <f>IFERROR(__xludf.DUMMYFUNCTION("""COMPUTED_VALUE"""),"Computers&amp;Accessories|Accessories&amp;Peripherals|Cables&amp;Accessories|Cables|USBCables")</f>
        <v>Computers&amp;Accessories|Accessories&amp;Peripherals|Cables&amp;Accessories|Cables|USBCables</v>
      </c>
      <c r="M165" s="23">
        <f>IFERROR(__xludf.DUMMYFUNCTION("""COMPUTED_VALUE"""),299.0)</f>
        <v>299</v>
      </c>
      <c r="N165" s="23">
        <f>IFERROR(__xludf.DUMMYFUNCTION("""COMPUTED_VALUE"""),798.0)</f>
        <v>798</v>
      </c>
      <c r="O165" s="24">
        <f>IFERROR(__xludf.DUMMYFUNCTION("""COMPUTED_VALUE"""),0.63)</f>
        <v>0.63</v>
      </c>
      <c r="P165" s="17">
        <f>IFERROR(__xludf.DUMMYFUNCTION("""COMPUTED_VALUE"""),4.4)</f>
        <v>4.4</v>
      </c>
      <c r="Q165" s="25">
        <f>IFERROR(__xludf.DUMMYFUNCTION("""COMPUTED_VALUE"""),28791.0)</f>
        <v>28791</v>
      </c>
    </row>
    <row r="166">
      <c r="A166" s="7" t="s">
        <v>194</v>
      </c>
      <c r="B166" s="7" t="s">
        <v>15</v>
      </c>
      <c r="C166" s="8">
        <v>599.0</v>
      </c>
      <c r="D166" s="8">
        <v>849.0</v>
      </c>
      <c r="E166" s="19">
        <v>0.29</v>
      </c>
      <c r="F166" s="10">
        <v>4.5</v>
      </c>
      <c r="G166" s="10">
        <v>577.0</v>
      </c>
      <c r="K166" s="17" t="str">
        <f>IFERROR(__xludf.DUMMYFUNCTION("""COMPUTED_VALUE"""),"AmazonBasics USB Type-C to USB Type-C 2.0 Cable for Charging Adapter, Smartphone - 9 Feet (2.7 Meters) - White")</f>
        <v>AmazonBasics USB Type-C to USB Type-C 2.0 Cable for Charging Adapter, Smartphone - 9 Feet (2.7 Meters) - White</v>
      </c>
      <c r="L166" s="17" t="str">
        <f>IFERROR(__xludf.DUMMYFUNCTION("""COMPUTED_VALUE"""),"Computers&amp;Accessories|Accessories&amp;Peripherals|Cables&amp;Accessories|Cables|USBCables")</f>
        <v>Computers&amp;Accessories|Accessories&amp;Peripherals|Cables&amp;Accessories|Cables|USBCables</v>
      </c>
      <c r="M166" s="23">
        <f>IFERROR(__xludf.DUMMYFUNCTION("""COMPUTED_VALUE"""),549.0)</f>
        <v>549</v>
      </c>
      <c r="N166" s="23">
        <f>IFERROR(__xludf.DUMMYFUNCTION("""COMPUTED_VALUE"""),995.0)</f>
        <v>995</v>
      </c>
      <c r="O166" s="24">
        <f>IFERROR(__xludf.DUMMYFUNCTION("""COMPUTED_VALUE"""),0.45)</f>
        <v>0.45</v>
      </c>
      <c r="P166" s="17">
        <f>IFERROR(__xludf.DUMMYFUNCTION("""COMPUTED_VALUE"""),4.2)</f>
        <v>4.2</v>
      </c>
      <c r="Q166" s="25">
        <f>IFERROR(__xludf.DUMMYFUNCTION("""COMPUTED_VALUE"""),29746.0)</f>
        <v>29746</v>
      </c>
    </row>
    <row r="167">
      <c r="A167" s="7" t="s">
        <v>195</v>
      </c>
      <c r="B167" s="7" t="s">
        <v>71</v>
      </c>
      <c r="C167" s="8">
        <v>299.0</v>
      </c>
      <c r="D167" s="8">
        <v>1199.0</v>
      </c>
      <c r="E167" s="19">
        <v>0.75</v>
      </c>
      <c r="F167" s="10">
        <v>3.9</v>
      </c>
      <c r="G167" s="11">
        <v>1193.0</v>
      </c>
      <c r="K167" s="17" t="str">
        <f>IFERROR(__xludf.DUMMYFUNCTION("""COMPUTED_VALUE"""),"Sony Bravia 164 cm (65 inches) 4K Ultra HD Smart LED Google TV KD-65X74K (Black)")</f>
        <v>Sony Bravia 164 cm (65 inches) 4K Ultra HD Smart LED Google TV KD-65X74K (Black)</v>
      </c>
      <c r="L167" s="17" t="str">
        <f>IFERROR(__xludf.DUMMYFUNCTION("""COMPUTED_VALUE"""),"Electronics|HomeTheater,TV&amp;Video|Televisions|SmartTelevisions")</f>
        <v>Electronics|HomeTheater,TV&amp;Video|Televisions|SmartTelevisions</v>
      </c>
      <c r="M167" s="23">
        <f>IFERROR(__xludf.DUMMYFUNCTION("""COMPUTED_VALUE"""),77990.0)</f>
        <v>77990</v>
      </c>
      <c r="N167" s="23" t="str">
        <f>IFERROR(__xludf.DUMMYFUNCTION("""COMPUTED_VALUE"""),"£1,39,900")</f>
        <v>£1,39,900</v>
      </c>
      <c r="O167" s="24">
        <f>IFERROR(__xludf.DUMMYFUNCTION("""COMPUTED_VALUE"""),0.44)</f>
        <v>0.44</v>
      </c>
      <c r="P167" s="17">
        <f>IFERROR(__xludf.DUMMYFUNCTION("""COMPUTED_VALUE"""),4.7)</f>
        <v>4.7</v>
      </c>
      <c r="Q167" s="25">
        <f>IFERROR(__xludf.DUMMYFUNCTION("""COMPUTED_VALUE"""),5935.0)</f>
        <v>5935</v>
      </c>
    </row>
    <row r="168">
      <c r="A168" s="7" t="s">
        <v>196</v>
      </c>
      <c r="B168" s="7" t="s">
        <v>15</v>
      </c>
      <c r="C168" s="8">
        <v>399.0</v>
      </c>
      <c r="D168" s="8">
        <v>1299.0</v>
      </c>
      <c r="E168" s="19">
        <v>0.69</v>
      </c>
      <c r="F168" s="10">
        <v>4.2</v>
      </c>
      <c r="G168" s="11">
        <v>13120.0</v>
      </c>
      <c r="K168" s="17" t="str">
        <f>IFERROR(__xludf.DUMMYFUNCTION("""COMPUTED_VALUE"""),"Storite High Speed Micro USB 3.0 Cable A to Micro B for External &amp; Desktop Hard Drives 45cm")</f>
        <v>Storite High Speed Micro USB 3.0 Cable A to Micro B for External &amp; Desktop Hard Drives 45cm</v>
      </c>
      <c r="L168" s="17" t="str">
        <f>IFERROR(__xludf.DUMMYFUNCTION("""COMPUTED_VALUE"""),"Computers&amp;Accessories|Accessories&amp;Peripherals|Cables&amp;Accessories|Cables|USBCables")</f>
        <v>Computers&amp;Accessories|Accessories&amp;Peripherals|Cables&amp;Accessories|Cables|USBCables</v>
      </c>
      <c r="M168" s="23">
        <f>IFERROR(__xludf.DUMMYFUNCTION("""COMPUTED_VALUE"""),299.0)</f>
        <v>299</v>
      </c>
      <c r="N168" s="23">
        <f>IFERROR(__xludf.DUMMYFUNCTION("""COMPUTED_VALUE"""),799.0)</f>
        <v>799</v>
      </c>
      <c r="O168" s="24">
        <f>IFERROR(__xludf.DUMMYFUNCTION("""COMPUTED_VALUE"""),0.63)</f>
        <v>0.63</v>
      </c>
      <c r="P168" s="17">
        <f>IFERROR(__xludf.DUMMYFUNCTION("""COMPUTED_VALUE"""),4.2)</f>
        <v>4.2</v>
      </c>
      <c r="Q168" s="25">
        <f>IFERROR(__xludf.DUMMYFUNCTION("""COMPUTED_VALUE"""),2117.0)</f>
        <v>2117</v>
      </c>
    </row>
    <row r="169">
      <c r="A169" s="7" t="s">
        <v>197</v>
      </c>
      <c r="B169" s="7" t="s">
        <v>71</v>
      </c>
      <c r="C169" s="8">
        <v>339.0</v>
      </c>
      <c r="D169" s="8">
        <v>1999.0</v>
      </c>
      <c r="E169" s="19">
        <v>0.83</v>
      </c>
      <c r="F169" s="10">
        <v>4.0</v>
      </c>
      <c r="G169" s="10">
        <v>343.0</v>
      </c>
      <c r="K169" s="17" t="str">
        <f>IFERROR(__xludf.DUMMYFUNCTION("""COMPUTED_VALUE"""),"VU 164 cm (65 inches) The GloLED Series 4K Smart LED Google TV 65GloLED (Grey)")</f>
        <v>VU 164 cm (65 inches) The GloLED Series 4K Smart LED Google TV 65GloLED (Grey)</v>
      </c>
      <c r="L169" s="17" t="str">
        <f>IFERROR(__xludf.DUMMYFUNCTION("""COMPUTED_VALUE"""),"Electronics|HomeTheater,TV&amp;Video|Televisions|SmartTelevisions")</f>
        <v>Electronics|HomeTheater,TV&amp;Video|Televisions|SmartTelevisions</v>
      </c>
      <c r="M169" s="23">
        <f>IFERROR(__xludf.DUMMYFUNCTION("""COMPUTED_VALUE"""),54990.0)</f>
        <v>54990</v>
      </c>
      <c r="N169" s="23">
        <f>IFERROR(__xludf.DUMMYFUNCTION("""COMPUTED_VALUE"""),85000.0)</f>
        <v>85000</v>
      </c>
      <c r="O169" s="24">
        <f>IFERROR(__xludf.DUMMYFUNCTION("""COMPUTED_VALUE"""),0.35)</f>
        <v>0.35</v>
      </c>
      <c r="P169" s="17">
        <f>IFERROR(__xludf.DUMMYFUNCTION("""COMPUTED_VALUE"""),4.3)</f>
        <v>4.3</v>
      </c>
      <c r="Q169" s="25">
        <f>IFERROR(__xludf.DUMMYFUNCTION("""COMPUTED_VALUE"""),3587.0)</f>
        <v>3587</v>
      </c>
    </row>
    <row r="170">
      <c r="A170" s="7" t="s">
        <v>198</v>
      </c>
      <c r="B170" s="7" t="s">
        <v>37</v>
      </c>
      <c r="C170" s="8">
        <v>12499.0</v>
      </c>
      <c r="D170" s="8">
        <v>22990.0</v>
      </c>
      <c r="E170" s="19">
        <v>0.46</v>
      </c>
      <c r="F170" s="10">
        <v>4.3</v>
      </c>
      <c r="G170" s="11">
        <v>1611.0</v>
      </c>
      <c r="K170" s="17" t="str">
        <f>IFERROR(__xludf.DUMMYFUNCTION("""COMPUTED_VALUE"""),"CableCreation RCA to 3.5mm Male Audio Cable, 3.5mm to 2RCA Cable Male RCA Cable,Y Splitter Stereo Jack Cable for Home Theater,Subwoofer, Receiver, Speakers and More (3Feet/0.9Meter,Black)")</f>
        <v>CableCreation RCA to 3.5mm Male Audio Cable, 3.5mm to 2RCA Cable Male RCA Cable,Y Splitter Stereo Jack Cable for Home Theater,Subwoofer, Receiver, Speakers and More (3Feet/0.9Meter,Black)</v>
      </c>
      <c r="L170" s="17" t="str">
        <f>IFERROR(__xludf.DUMMYFUNCTION("""COMPUTED_VALUE"""),"Electronics|HomeTheater,TV&amp;Video|Accessories|Cables|RCACables")</f>
        <v>Electronics|HomeTheater,TV&amp;Video|Accessories|Cables|RCACables</v>
      </c>
      <c r="M170" s="23">
        <f>IFERROR(__xludf.DUMMYFUNCTION("""COMPUTED_VALUE"""),439.0)</f>
        <v>439</v>
      </c>
      <c r="N170" s="23">
        <f>IFERROR(__xludf.DUMMYFUNCTION("""COMPUTED_VALUE"""),758.0)</f>
        <v>758</v>
      </c>
      <c r="O170" s="24">
        <f>IFERROR(__xludf.DUMMYFUNCTION("""COMPUTED_VALUE"""),0.42)</f>
        <v>0.42</v>
      </c>
      <c r="P170" s="17">
        <f>IFERROR(__xludf.DUMMYFUNCTION("""COMPUTED_VALUE"""),4.2)</f>
        <v>4.2</v>
      </c>
      <c r="Q170" s="25">
        <f>IFERROR(__xludf.DUMMYFUNCTION("""COMPUTED_VALUE"""),4296.0)</f>
        <v>4296</v>
      </c>
    </row>
    <row r="171">
      <c r="A171" s="7" t="s">
        <v>199</v>
      </c>
      <c r="B171" s="7" t="s">
        <v>15</v>
      </c>
      <c r="C171" s="8">
        <v>249.0</v>
      </c>
      <c r="D171" s="8">
        <v>399.0</v>
      </c>
      <c r="E171" s="19">
        <v>0.38</v>
      </c>
      <c r="F171" s="10">
        <v>4.0</v>
      </c>
      <c r="G171" s="11">
        <v>6558.0</v>
      </c>
      <c r="K171" s="17" t="str">
        <f>IFERROR(__xludf.DUMMYFUNCTION("""COMPUTED_VALUE"""),"Wayona USB Type C Fast Charging Cable Charger Cord 3A QC 3.0 Data Cable Compatible with Samsung Galaxy S10e S10 S9 S8 S20 Plus, Note 10 9 8, M51 A40 A50 A70, Moto G7 G8 (1M, Grey)")</f>
        <v>Wayona USB Type C Fast Charging Cable Charger Cord 3A QC 3.0 Data Cable Compatible with Samsung Galaxy S10e S10 S9 S8 S20 Plus, Note 10 9 8, M51 A40 A50 A70, Moto G7 G8 (1M, Grey)</v>
      </c>
      <c r="L171" s="17" t="str">
        <f>IFERROR(__xludf.DUMMYFUNCTION("""COMPUTED_VALUE"""),"Computers&amp;Accessories|Accessories&amp;Peripherals|Cables&amp;Accessories|Cables|USBCables")</f>
        <v>Computers&amp;Accessories|Accessories&amp;Peripherals|Cables&amp;Accessories|Cables|USBCables</v>
      </c>
      <c r="M171" s="23">
        <f>IFERROR(__xludf.DUMMYFUNCTION("""COMPUTED_VALUE"""),299.0)</f>
        <v>299</v>
      </c>
      <c r="N171" s="23">
        <f>IFERROR(__xludf.DUMMYFUNCTION("""COMPUTED_VALUE"""),999.0)</f>
        <v>999</v>
      </c>
      <c r="O171" s="24">
        <f>IFERROR(__xludf.DUMMYFUNCTION("""COMPUTED_VALUE"""),0.7)</f>
        <v>0.7</v>
      </c>
      <c r="P171" s="17">
        <f>IFERROR(__xludf.DUMMYFUNCTION("""COMPUTED_VALUE"""),4.3)</f>
        <v>4.3</v>
      </c>
      <c r="Q171" s="25">
        <f>IFERROR(__xludf.DUMMYFUNCTION("""COMPUTED_VALUE"""),2651.0)</f>
        <v>2651</v>
      </c>
    </row>
    <row r="172">
      <c r="A172" s="7" t="s">
        <v>200</v>
      </c>
      <c r="B172" s="7" t="s">
        <v>25</v>
      </c>
      <c r="C172" s="8">
        <v>1399.0</v>
      </c>
      <c r="D172" s="8">
        <v>2499.0</v>
      </c>
      <c r="E172" s="19">
        <v>0.44</v>
      </c>
      <c r="F172" s="10">
        <v>4.4</v>
      </c>
      <c r="G172" s="11">
        <v>23169.0</v>
      </c>
      <c r="K172" s="17" t="str">
        <f>IFERROR(__xludf.DUMMYFUNCTION("""COMPUTED_VALUE"""),"boAt Rugged V3 Braided Micro USB Cable (Pearl White)")</f>
        <v>boAt Rugged V3 Braided Micro USB Cable (Pearl White)</v>
      </c>
      <c r="L172" s="17" t="str">
        <f>IFERROR(__xludf.DUMMYFUNCTION("""COMPUTED_VALUE"""),"Computers&amp;Accessories|Accessories&amp;Peripherals|Cables&amp;Accessories|Cables|USBCables")</f>
        <v>Computers&amp;Accessories|Accessories&amp;Peripherals|Cables&amp;Accessories|Cables|USBCables</v>
      </c>
      <c r="M172" s="23">
        <f>IFERROR(__xludf.DUMMYFUNCTION("""COMPUTED_VALUE"""),299.0)</f>
        <v>299</v>
      </c>
      <c r="N172" s="23">
        <f>IFERROR(__xludf.DUMMYFUNCTION("""COMPUTED_VALUE"""),799.0)</f>
        <v>799</v>
      </c>
      <c r="O172" s="24">
        <f>IFERROR(__xludf.DUMMYFUNCTION("""COMPUTED_VALUE"""),0.63)</f>
        <v>0.63</v>
      </c>
      <c r="P172" s="17">
        <f>IFERROR(__xludf.DUMMYFUNCTION("""COMPUTED_VALUE"""),4.2)</f>
        <v>4.2</v>
      </c>
      <c r="Q172" s="25">
        <f>IFERROR(__xludf.DUMMYFUNCTION("""COMPUTED_VALUE"""),94363.0)</f>
        <v>94363</v>
      </c>
    </row>
    <row r="173">
      <c r="A173" s="7" t="s">
        <v>201</v>
      </c>
      <c r="B173" s="7" t="s">
        <v>37</v>
      </c>
      <c r="C173" s="8">
        <v>32999.0</v>
      </c>
      <c r="D173" s="8">
        <v>47990.0</v>
      </c>
      <c r="E173" s="19">
        <v>0.31</v>
      </c>
      <c r="F173" s="10">
        <v>4.3</v>
      </c>
      <c r="G173" s="11">
        <v>4703.0</v>
      </c>
      <c r="K173" s="17" t="str">
        <f>IFERROR(__xludf.DUMMYFUNCTION("""COMPUTED_VALUE"""),"Amazon Basics USB A to Lightning PVC Molded Nylon MFi Certified Charging Cable (Black, 1.2 meter)")</f>
        <v>Amazon Basics USB A to Lightning PVC Molded Nylon MFi Certified Charging Cable (Black, 1.2 meter)</v>
      </c>
      <c r="L173" s="17" t="str">
        <f>IFERROR(__xludf.DUMMYFUNCTION("""COMPUTED_VALUE"""),"Computers&amp;Accessories|Accessories&amp;Peripherals|Cables&amp;Accessories|Cables|USBCables")</f>
        <v>Computers&amp;Accessories|Accessories&amp;Peripherals|Cables&amp;Accessories|Cables|USBCables</v>
      </c>
      <c r="M173" s="23">
        <f>IFERROR(__xludf.DUMMYFUNCTION("""COMPUTED_VALUE"""),789.0)</f>
        <v>789</v>
      </c>
      <c r="N173" s="23">
        <f>IFERROR(__xludf.DUMMYFUNCTION("""COMPUTED_VALUE"""),1999.0)</f>
        <v>1999</v>
      </c>
      <c r="O173" s="24">
        <f>IFERROR(__xludf.DUMMYFUNCTION("""COMPUTED_VALUE"""),0.61)</f>
        <v>0.61</v>
      </c>
      <c r="P173" s="17">
        <f>IFERROR(__xludf.DUMMYFUNCTION("""COMPUTED_VALUE"""),4.2)</f>
        <v>4.2</v>
      </c>
      <c r="Q173" s="25">
        <f>IFERROR(__xludf.DUMMYFUNCTION("""COMPUTED_VALUE"""),34540.0)</f>
        <v>34540</v>
      </c>
    </row>
    <row r="174">
      <c r="A174" s="7" t="s">
        <v>202</v>
      </c>
      <c r="B174" s="7" t="s">
        <v>15</v>
      </c>
      <c r="C174" s="8">
        <v>149.0</v>
      </c>
      <c r="D174" s="8">
        <v>399.0</v>
      </c>
      <c r="E174" s="19">
        <v>0.63</v>
      </c>
      <c r="F174" s="10">
        <v>4.0</v>
      </c>
      <c r="G174" s="11">
        <v>1423.0</v>
      </c>
      <c r="K174" s="17" t="str">
        <f>IFERROR(__xludf.DUMMYFUNCTION("""COMPUTED_VALUE"""),"AmazonBasics - High-Speed Male to Female HDMI Extension Cable - 6 Feet")</f>
        <v>AmazonBasics - High-Speed Male to Female HDMI Extension Cable - 6 Feet</v>
      </c>
      <c r="L174" s="17" t="str">
        <f>IFERROR(__xludf.DUMMYFUNCTION("""COMPUTED_VALUE"""),"Electronics|HomeTheater,TV&amp;Video|Accessories|Cables|HDMICables")</f>
        <v>Electronics|HomeTheater,TV&amp;Video|Accessories|Cables|HDMICables</v>
      </c>
      <c r="M174" s="23">
        <f>IFERROR(__xludf.DUMMYFUNCTION("""COMPUTED_VALUE"""),299.0)</f>
        <v>299</v>
      </c>
      <c r="N174" s="23">
        <f>IFERROR(__xludf.DUMMYFUNCTION("""COMPUTED_VALUE"""),700.0)</f>
        <v>700</v>
      </c>
      <c r="O174" s="24">
        <f>IFERROR(__xludf.DUMMYFUNCTION("""COMPUTED_VALUE"""),0.57)</f>
        <v>0.57</v>
      </c>
      <c r="P174" s="17">
        <f>IFERROR(__xludf.DUMMYFUNCTION("""COMPUTED_VALUE"""),4.4)</f>
        <v>4.4</v>
      </c>
      <c r="Q174" s="25">
        <f>IFERROR(__xludf.DUMMYFUNCTION("""COMPUTED_VALUE"""),8714.0)</f>
        <v>8714</v>
      </c>
    </row>
    <row r="175">
      <c r="A175" s="7" t="s">
        <v>203</v>
      </c>
      <c r="B175" s="7" t="s">
        <v>15</v>
      </c>
      <c r="C175" s="8">
        <v>325.0</v>
      </c>
      <c r="D175" s="8">
        <v>999.0</v>
      </c>
      <c r="E175" s="19">
        <v>0.67</v>
      </c>
      <c r="F175" s="10">
        <v>4.3</v>
      </c>
      <c r="G175" s="11">
        <v>2651.0</v>
      </c>
      <c r="K175" s="17" t="str">
        <f>IFERROR(__xludf.DUMMYFUNCTION("""COMPUTED_VALUE"""),"Wayona Nylon Braided Usb Type C 3Ft 1M 3A Fast Charger Cable For Samsung Galaxy S9 S8 (Wc3Cb1, Black)")</f>
        <v>Wayona Nylon Braided Usb Type C 3Ft 1M 3A Fast Charger Cable For Samsung Galaxy S9 S8 (Wc3Cb1, Black)</v>
      </c>
      <c r="L175" s="17" t="str">
        <f>IFERROR(__xludf.DUMMYFUNCTION("""COMPUTED_VALUE"""),"Computers&amp;Accessories|Accessories&amp;Peripherals|Cables&amp;Accessories|Cables|USBCables")</f>
        <v>Computers&amp;Accessories|Accessories&amp;Peripherals|Cables&amp;Accessories|Cables|USBCables</v>
      </c>
      <c r="M175" s="23">
        <f>IFERROR(__xludf.DUMMYFUNCTION("""COMPUTED_VALUE"""),325.0)</f>
        <v>325</v>
      </c>
      <c r="N175" s="23">
        <f>IFERROR(__xludf.DUMMYFUNCTION("""COMPUTED_VALUE"""),1099.0)</f>
        <v>1099</v>
      </c>
      <c r="O175" s="24">
        <f>IFERROR(__xludf.DUMMYFUNCTION("""COMPUTED_VALUE"""),0.7)</f>
        <v>0.7</v>
      </c>
      <c r="P175" s="17">
        <f>IFERROR(__xludf.DUMMYFUNCTION("""COMPUTED_VALUE"""),4.2)</f>
        <v>4.2</v>
      </c>
      <c r="Q175" s="25">
        <f>IFERROR(__xludf.DUMMYFUNCTION("""COMPUTED_VALUE"""),10576.0)</f>
        <v>10576</v>
      </c>
    </row>
    <row r="176">
      <c r="A176" s="7" t="s">
        <v>204</v>
      </c>
      <c r="B176" s="7" t="s">
        <v>15</v>
      </c>
      <c r="C176" s="8">
        <v>399.0</v>
      </c>
      <c r="D176" s="8">
        <v>1999.0</v>
      </c>
      <c r="E176" s="19">
        <v>0.8</v>
      </c>
      <c r="F176" s="10">
        <v>5.0</v>
      </c>
      <c r="G176" s="10">
        <v>5.0</v>
      </c>
      <c r="K176" s="17" t="str">
        <f>IFERROR(__xludf.DUMMYFUNCTION("""COMPUTED_VALUE"""),"Belkin Apple Certified Lightning to USB Charge and Sync Tough Braided Cable for iPhone, iPad, Air Pods, 3.3 feet (1 meters) – Black")</f>
        <v>Belkin Apple Certified Lightning to USB Charge and Sync Tough Braided Cable for iPhone, iPad, Air Pods, 3.3 feet (1 meters) – Black</v>
      </c>
      <c r="L176" s="17" t="str">
        <f>IFERROR(__xludf.DUMMYFUNCTION("""COMPUTED_VALUE"""),"Computers&amp;Accessories|Accessories&amp;Peripherals|Cables&amp;Accessories|Cables|USBCables")</f>
        <v>Computers&amp;Accessories|Accessories&amp;Peripherals|Cables&amp;Accessories|Cables|USBCables</v>
      </c>
      <c r="M176" s="23">
        <f>IFERROR(__xludf.DUMMYFUNCTION("""COMPUTED_VALUE"""),1299.0)</f>
        <v>1299</v>
      </c>
      <c r="N176" s="23">
        <f>IFERROR(__xludf.DUMMYFUNCTION("""COMPUTED_VALUE"""),1999.0)</f>
        <v>1999</v>
      </c>
      <c r="O176" s="24">
        <f>IFERROR(__xludf.DUMMYFUNCTION("""COMPUTED_VALUE"""),0.35)</f>
        <v>0.35</v>
      </c>
      <c r="P176" s="17">
        <f>IFERROR(__xludf.DUMMYFUNCTION("""COMPUTED_VALUE"""),4.4)</f>
        <v>4.4</v>
      </c>
      <c r="Q176" s="25">
        <f>IFERROR(__xludf.DUMMYFUNCTION("""COMPUTED_VALUE"""),7318.0)</f>
        <v>7318</v>
      </c>
    </row>
    <row r="177">
      <c r="A177" s="7" t="s">
        <v>205</v>
      </c>
      <c r="B177" s="7" t="s">
        <v>25</v>
      </c>
      <c r="C177" s="8">
        <v>199.0</v>
      </c>
      <c r="D177" s="8">
        <v>499.0</v>
      </c>
      <c r="E177" s="19">
        <v>0.6</v>
      </c>
      <c r="F177" s="10">
        <v>3.7</v>
      </c>
      <c r="G177" s="10">
        <v>612.0</v>
      </c>
      <c r="K177" s="17" t="str">
        <f>IFERROR(__xludf.DUMMYFUNCTION("""COMPUTED_VALUE"""),"Realme Smart TV Stick 4K")</f>
        <v>Realme Smart TV Stick 4K</v>
      </c>
      <c r="L177" s="17" t="str">
        <f>IFERROR(__xludf.DUMMYFUNCTION("""COMPUTED_VALUE"""),"Electronics|HomeAudio|MediaStreamingDevices|StreamingClients")</f>
        <v>Electronics|HomeAudio|MediaStreamingDevices|StreamingClients</v>
      </c>
      <c r="M177" s="23">
        <f>IFERROR(__xludf.DUMMYFUNCTION("""COMPUTED_VALUE"""),4699.0)</f>
        <v>4699</v>
      </c>
      <c r="N177" s="23">
        <f>IFERROR(__xludf.DUMMYFUNCTION("""COMPUTED_VALUE"""),4699.0)</f>
        <v>4699</v>
      </c>
      <c r="O177" s="24">
        <f>IFERROR(__xludf.DUMMYFUNCTION("""COMPUTED_VALUE"""),0.0)</f>
        <v>0</v>
      </c>
      <c r="P177" s="17">
        <f>IFERROR(__xludf.DUMMYFUNCTION("""COMPUTED_VALUE"""),4.5)</f>
        <v>4.5</v>
      </c>
      <c r="Q177" s="17">
        <f>IFERROR(__xludf.DUMMYFUNCTION("""COMPUTED_VALUE"""),224.0)</f>
        <v>224</v>
      </c>
    </row>
    <row r="178">
      <c r="A178" s="7" t="s">
        <v>206</v>
      </c>
      <c r="B178" s="7" t="s">
        <v>15</v>
      </c>
      <c r="C178" s="8">
        <v>88.0</v>
      </c>
      <c r="D178" s="8">
        <v>299.0</v>
      </c>
      <c r="E178" s="19">
        <v>0.71</v>
      </c>
      <c r="F178" s="10">
        <v>4.0</v>
      </c>
      <c r="G178" s="11">
        <v>9378.0</v>
      </c>
      <c r="K178" s="17" t="str">
        <f>IFERROR(__xludf.DUMMYFUNCTION("""COMPUTED_VALUE"""),"Acer 100 cm (40 inches) P Series Full HD Android Smart LED TV AR40AR2841FDFL (Black)")</f>
        <v>Acer 100 cm (40 inches) P Series Full HD Android Smart LED TV AR40AR2841FDFL (Black)</v>
      </c>
      <c r="L178" s="17" t="str">
        <f>IFERROR(__xludf.DUMMYFUNCTION("""COMPUTED_VALUE"""),"Electronics|HomeTheater,TV&amp;Video|Televisions|SmartTelevisions")</f>
        <v>Electronics|HomeTheater,TV&amp;Video|Televisions|SmartTelevisions</v>
      </c>
      <c r="M178" s="23">
        <f>IFERROR(__xludf.DUMMYFUNCTION("""COMPUTED_VALUE"""),18999.0)</f>
        <v>18999</v>
      </c>
      <c r="N178" s="23">
        <f>IFERROR(__xludf.DUMMYFUNCTION("""COMPUTED_VALUE"""),24990.0)</f>
        <v>24990</v>
      </c>
      <c r="O178" s="24">
        <f>IFERROR(__xludf.DUMMYFUNCTION("""COMPUTED_VALUE"""),0.24)</f>
        <v>0.24</v>
      </c>
      <c r="P178" s="17">
        <f>IFERROR(__xludf.DUMMYFUNCTION("""COMPUTED_VALUE"""),4.3)</f>
        <v>4.3</v>
      </c>
      <c r="Q178" s="25">
        <f>IFERROR(__xludf.DUMMYFUNCTION("""COMPUTED_VALUE"""),4702.0)</f>
        <v>4702</v>
      </c>
    </row>
    <row r="179">
      <c r="A179" s="7" t="s">
        <v>207</v>
      </c>
      <c r="B179" s="7" t="s">
        <v>15</v>
      </c>
      <c r="C179" s="8">
        <v>399.0</v>
      </c>
      <c r="D179" s="8">
        <v>1099.0</v>
      </c>
      <c r="E179" s="19">
        <v>0.64</v>
      </c>
      <c r="F179" s="10">
        <v>4.1</v>
      </c>
      <c r="G179" s="11">
        <v>2685.0</v>
      </c>
      <c r="K179" s="17" t="str">
        <f>IFERROR(__xludf.DUMMYFUNCTION("""COMPUTED_VALUE"""),"Lapster usb 2.0 mantra cable, mantra mfs 100 data cable (black)")</f>
        <v>Lapster usb 2.0 mantra cable, mantra mfs 100 data cable (black)</v>
      </c>
      <c r="L179" s="17" t="str">
        <f>IFERROR(__xludf.DUMMYFUNCTION("""COMPUTED_VALUE"""),"Computers&amp;Accessories|Accessories&amp;Peripherals|Cables&amp;Accessories|Cables|USBCables")</f>
        <v>Computers&amp;Accessories|Accessories&amp;Peripherals|Cables&amp;Accessories|Cables|USBCables</v>
      </c>
      <c r="M179" s="23">
        <f>IFERROR(__xludf.DUMMYFUNCTION("""COMPUTED_VALUE"""),199.0)</f>
        <v>199</v>
      </c>
      <c r="N179" s="23">
        <f>IFERROR(__xludf.DUMMYFUNCTION("""COMPUTED_VALUE"""),999.0)</f>
        <v>999</v>
      </c>
      <c r="O179" s="24">
        <f>IFERROR(__xludf.DUMMYFUNCTION("""COMPUTED_VALUE"""),0.8)</f>
        <v>0.8</v>
      </c>
      <c r="P179" s="17">
        <f>IFERROR(__xludf.DUMMYFUNCTION("""COMPUTED_VALUE"""),4.2)</f>
        <v>4.2</v>
      </c>
      <c r="Q179" s="17">
        <f>IFERROR(__xludf.DUMMYFUNCTION("""COMPUTED_VALUE"""),85.0)</f>
        <v>85</v>
      </c>
    </row>
    <row r="180">
      <c r="A180" s="7" t="s">
        <v>208</v>
      </c>
      <c r="B180" s="7" t="s">
        <v>15</v>
      </c>
      <c r="C180" s="8">
        <v>57.89</v>
      </c>
      <c r="D180" s="8">
        <v>199.0</v>
      </c>
      <c r="E180" s="19">
        <v>0.71</v>
      </c>
      <c r="F180" s="10">
        <v>4.0</v>
      </c>
      <c r="G180" s="11">
        <v>9378.0</v>
      </c>
      <c r="K180" s="17" t="str">
        <f>IFERROR(__xludf.DUMMYFUNCTION("""COMPUTED_VALUE"""),"AmazonBasics High-Speed Braided HDMI Cable - 3 Feet - Supports Ethernet, 3D, 4K and Audio Return (Black)")</f>
        <v>AmazonBasics High-Speed Braided HDMI Cable - 3 Feet - Supports Ethernet, 3D, 4K and Audio Return (Black)</v>
      </c>
      <c r="L180" s="17" t="str">
        <f>IFERROR(__xludf.DUMMYFUNCTION("""COMPUTED_VALUE"""),"Electronics|HomeTheater,TV&amp;Video|Accessories|Cables|HDMICables")</f>
        <v>Electronics|HomeTheater,TV&amp;Video|Accessories|Cables|HDMICables</v>
      </c>
      <c r="M180" s="23">
        <f>IFERROR(__xludf.DUMMYFUNCTION("""COMPUTED_VALUE"""),269.0)</f>
        <v>269</v>
      </c>
      <c r="N180" s="23">
        <f>IFERROR(__xludf.DUMMYFUNCTION("""COMPUTED_VALUE"""),650.0)</f>
        <v>650</v>
      </c>
      <c r="O180" s="24">
        <f>IFERROR(__xludf.DUMMYFUNCTION("""COMPUTED_VALUE"""),0.59)</f>
        <v>0.59</v>
      </c>
      <c r="P180" s="17">
        <f>IFERROR(__xludf.DUMMYFUNCTION("""COMPUTED_VALUE"""),4.4)</f>
        <v>4.4</v>
      </c>
      <c r="Q180" s="25">
        <f>IFERROR(__xludf.DUMMYFUNCTION("""COMPUTED_VALUE"""),35877.0)</f>
        <v>35877</v>
      </c>
    </row>
    <row r="181">
      <c r="A181" s="7" t="s">
        <v>209</v>
      </c>
      <c r="B181" s="7" t="s">
        <v>71</v>
      </c>
      <c r="C181" s="8">
        <v>799.0</v>
      </c>
      <c r="D181" s="8">
        <v>1999.0</v>
      </c>
      <c r="E181" s="19">
        <v>0.6</v>
      </c>
      <c r="F181" s="10">
        <v>3.3</v>
      </c>
      <c r="G181" s="10">
        <v>576.0</v>
      </c>
      <c r="K181" s="17" t="str">
        <f>IFERROR(__xludf.DUMMYFUNCTION("""COMPUTED_VALUE"""),"Acer 139 cm (55 inches) H Series 4K Ultra HD Android Smart LED TV AR55AR2851UDPRO (Black)")</f>
        <v>Acer 139 cm (55 inches) H Series 4K Ultra HD Android Smart LED TV AR55AR2851UDPRO (Black)</v>
      </c>
      <c r="L181" s="17" t="str">
        <f>IFERROR(__xludf.DUMMYFUNCTION("""COMPUTED_VALUE"""),"Electronics|HomeTheater,TV&amp;Video|Televisions|SmartTelevisions")</f>
        <v>Electronics|HomeTheater,TV&amp;Video|Televisions|SmartTelevisions</v>
      </c>
      <c r="M181" s="23">
        <f>IFERROR(__xludf.DUMMYFUNCTION("""COMPUTED_VALUE"""),35999.0)</f>
        <v>35999</v>
      </c>
      <c r="N181" s="23">
        <f>IFERROR(__xludf.DUMMYFUNCTION("""COMPUTED_VALUE"""),49990.0)</f>
        <v>49990</v>
      </c>
      <c r="O181" s="24">
        <f>IFERROR(__xludf.DUMMYFUNCTION("""COMPUTED_VALUE"""),0.28)</f>
        <v>0.28</v>
      </c>
      <c r="P181" s="17">
        <f>IFERROR(__xludf.DUMMYFUNCTION("""COMPUTED_VALUE"""),4.3)</f>
        <v>4.3</v>
      </c>
      <c r="Q181" s="25">
        <f>IFERROR(__xludf.DUMMYFUNCTION("""COMPUTED_VALUE"""),1611.0)</f>
        <v>1611</v>
      </c>
    </row>
    <row r="182">
      <c r="A182" s="7" t="s">
        <v>210</v>
      </c>
      <c r="B182" s="7" t="s">
        <v>71</v>
      </c>
      <c r="C182" s="8">
        <v>205.0</v>
      </c>
      <c r="D182" s="8">
        <v>499.0</v>
      </c>
      <c r="E182" s="19">
        <v>0.59</v>
      </c>
      <c r="F182" s="10">
        <v>3.8</v>
      </c>
      <c r="G182" s="10">
        <v>313.0</v>
      </c>
      <c r="K182" s="17" t="str">
        <f>IFERROR(__xludf.DUMMYFUNCTION("""COMPUTED_VALUE"""),"Dealfreez Case Compatible for Fire TV Stick 4K All Alexa Voice Remote Shockproof Silicone Anti-Lost Cover with Loop (C-Black)")</f>
        <v>Dealfreez Case Compatible for Fire TV Stick 4K All Alexa Voice Remote Shockproof Silicone Anti-Lost Cover with Loop (C-Black)</v>
      </c>
      <c r="L182" s="17" t="str">
        <f>IFERROR(__xludf.DUMMYFUNCTION("""COMPUTED_VALUE"""),"Electronics|HomeTheater,TV&amp;Video|Accessories|RemoteControls")</f>
        <v>Electronics|HomeTheater,TV&amp;Video|Accessories|RemoteControls</v>
      </c>
      <c r="M182" s="23">
        <f>IFERROR(__xludf.DUMMYFUNCTION("""COMPUTED_VALUE"""),349.0)</f>
        <v>349</v>
      </c>
      <c r="N182" s="23">
        <f>IFERROR(__xludf.DUMMYFUNCTION("""COMPUTED_VALUE"""),999.0)</f>
        <v>999</v>
      </c>
      <c r="O182" s="24">
        <f>IFERROR(__xludf.DUMMYFUNCTION("""COMPUTED_VALUE"""),0.65)</f>
        <v>0.65</v>
      </c>
      <c r="P182" s="17">
        <f>IFERROR(__xludf.DUMMYFUNCTION("""COMPUTED_VALUE"""),4.2)</f>
        <v>4.2</v>
      </c>
      <c r="Q182" s="17">
        <f>IFERROR(__xludf.DUMMYFUNCTION("""COMPUTED_VALUE"""),513.0)</f>
        <v>513</v>
      </c>
    </row>
    <row r="183">
      <c r="A183" s="7" t="s">
        <v>211</v>
      </c>
      <c r="B183" s="7" t="s">
        <v>15</v>
      </c>
      <c r="C183" s="8">
        <v>299.0</v>
      </c>
      <c r="D183" s="8">
        <v>699.0</v>
      </c>
      <c r="E183" s="19">
        <v>0.57</v>
      </c>
      <c r="F183" s="10">
        <v>4.1</v>
      </c>
      <c r="G183" s="11">
        <v>2957.0</v>
      </c>
      <c r="K183" s="17" t="str">
        <f>IFERROR(__xludf.DUMMYFUNCTION("""COMPUTED_VALUE"""),"Wayona Type C to Lightning MFI Certified 20W Fast charging Nylon Braided USB C Cable for iPhone 14 Pro, 14 Pro Max, 14, 14 Plus, 13, 13 Pro, 13 Pro Max, 13 Mini, 12, 12 Pro, 11, 11 Pro Max, iPhone 12 Mini (2M, Black)")</f>
        <v>Wayona Type C to Lightning MFI Certified 20W Fast charging Nylon Braided USB C Cable for iPhone 14 Pro, 14 Pro Max, 14, 14 Plus, 13, 13 Pro, 13 Pro Max, 13 Mini, 12, 12 Pro, 11, 11 Pro Max, iPhone 12 Mini (2M, Black)</v>
      </c>
      <c r="L183" s="17" t="str">
        <f>IFERROR(__xludf.DUMMYFUNCTION("""COMPUTED_VALUE"""),"Computers&amp;Accessories|Accessories&amp;Peripherals|Cables&amp;Accessories|Cables|USBCables")</f>
        <v>Computers&amp;Accessories|Accessories&amp;Peripherals|Cables&amp;Accessories|Cables|USBCables</v>
      </c>
      <c r="M183" s="23">
        <f>IFERROR(__xludf.DUMMYFUNCTION("""COMPUTED_VALUE"""),719.0)</f>
        <v>719</v>
      </c>
      <c r="N183" s="23">
        <f>IFERROR(__xludf.DUMMYFUNCTION("""COMPUTED_VALUE"""),1499.0)</f>
        <v>1499</v>
      </c>
      <c r="O183" s="24">
        <f>IFERROR(__xludf.DUMMYFUNCTION("""COMPUTED_VALUE"""),0.52)</f>
        <v>0.52</v>
      </c>
      <c r="P183" s="17">
        <f>IFERROR(__xludf.DUMMYFUNCTION("""COMPUTED_VALUE"""),4.1)</f>
        <v>4.1</v>
      </c>
      <c r="Q183" s="25">
        <f>IFERROR(__xludf.DUMMYFUNCTION("""COMPUTED_VALUE"""),1045.0)</f>
        <v>1045</v>
      </c>
    </row>
    <row r="184">
      <c r="A184" s="7" t="s">
        <v>212</v>
      </c>
      <c r="B184" s="7" t="s">
        <v>15</v>
      </c>
      <c r="C184" s="8">
        <v>849.0</v>
      </c>
      <c r="D184" s="8">
        <v>999.0</v>
      </c>
      <c r="E184" s="19">
        <v>0.15</v>
      </c>
      <c r="F184" s="10">
        <v>4.1</v>
      </c>
      <c r="G184" s="11">
        <v>6736.0</v>
      </c>
      <c r="K184" s="17" t="str">
        <f>IFERROR(__xludf.DUMMYFUNCTION("""COMPUTED_VALUE"""),"Airtel Digital TV HD Set Top Box with 1 Month Basic Pack with Recording + Free Standard Installation")</f>
        <v>Airtel Digital TV HD Set Top Box with 1 Month Basic Pack with Recording + Free Standard Installation</v>
      </c>
      <c r="L184" s="17" t="str">
        <f>IFERROR(__xludf.DUMMYFUNCTION("""COMPUTED_VALUE"""),"Electronics|HomeTheater,TV&amp;Video|SatelliteEquipment|SatelliteReceivers")</f>
        <v>Electronics|HomeTheater,TV&amp;Video|SatelliteEquipment|SatelliteReceivers</v>
      </c>
      <c r="M184" s="23">
        <f>IFERROR(__xludf.DUMMYFUNCTION("""COMPUTED_VALUE"""),917.0)</f>
        <v>917</v>
      </c>
      <c r="N184" s="23">
        <f>IFERROR(__xludf.DUMMYFUNCTION("""COMPUTED_VALUE"""),2299.0)</f>
        <v>2299</v>
      </c>
      <c r="O184" s="24">
        <f>IFERROR(__xludf.DUMMYFUNCTION("""COMPUTED_VALUE"""),0.6)</f>
        <v>0.6</v>
      </c>
      <c r="P184" s="17">
        <f>IFERROR(__xludf.DUMMYFUNCTION("""COMPUTED_VALUE"""),4.2)</f>
        <v>4.2</v>
      </c>
      <c r="Q184" s="25">
        <f>IFERROR(__xludf.DUMMYFUNCTION("""COMPUTED_VALUE"""),3300.0)</f>
        <v>3300</v>
      </c>
    </row>
    <row r="185">
      <c r="A185" s="7" t="s">
        <v>213</v>
      </c>
      <c r="B185" s="7" t="s">
        <v>15</v>
      </c>
      <c r="C185" s="8">
        <v>949.0</v>
      </c>
      <c r="D185" s="8">
        <v>1999.0</v>
      </c>
      <c r="E185" s="19">
        <v>0.53</v>
      </c>
      <c r="F185" s="10">
        <v>4.4</v>
      </c>
      <c r="G185" s="11">
        <v>13552.0</v>
      </c>
      <c r="K185" s="17" t="str">
        <f>IFERROR(__xludf.DUMMYFUNCTION("""COMPUTED_VALUE"""),"Samsung 138 cm (55 inches) Crystal 4K Series Ultra HD Smart LED TV UA55AUE60AKLXL (Black)")</f>
        <v>Samsung 138 cm (55 inches) Crystal 4K Series Ultra HD Smart LED TV UA55AUE60AKLXL (Black)</v>
      </c>
      <c r="L185" s="17" t="str">
        <f>IFERROR(__xludf.DUMMYFUNCTION("""COMPUTED_VALUE"""),"Electronics|HomeTheater,TV&amp;Video|Televisions|SmartTelevisions")</f>
        <v>Electronics|HomeTheater,TV&amp;Video|Televisions|SmartTelevisions</v>
      </c>
      <c r="M185" s="23">
        <f>IFERROR(__xludf.DUMMYFUNCTION("""COMPUTED_VALUE"""),45999.0)</f>
        <v>45999</v>
      </c>
      <c r="N185" s="23">
        <f>IFERROR(__xludf.DUMMYFUNCTION("""COMPUTED_VALUE"""),69900.0)</f>
        <v>69900</v>
      </c>
      <c r="O185" s="24">
        <f>IFERROR(__xludf.DUMMYFUNCTION("""COMPUTED_VALUE"""),0.34)</f>
        <v>0.34</v>
      </c>
      <c r="P185" s="17">
        <f>IFERROR(__xludf.DUMMYFUNCTION("""COMPUTED_VALUE"""),4.3)</f>
        <v>4.3</v>
      </c>
      <c r="Q185" s="25">
        <f>IFERROR(__xludf.DUMMYFUNCTION("""COMPUTED_VALUE"""),7109.0)</f>
        <v>7109</v>
      </c>
    </row>
    <row r="186">
      <c r="A186" s="7" t="s">
        <v>214</v>
      </c>
      <c r="B186" s="7" t="s">
        <v>15</v>
      </c>
      <c r="C186" s="8">
        <v>499.0</v>
      </c>
      <c r="D186" s="8">
        <v>1200.0</v>
      </c>
      <c r="E186" s="19">
        <v>0.58</v>
      </c>
      <c r="F186" s="10">
        <v>4.3</v>
      </c>
      <c r="G186" s="11">
        <v>5451.0</v>
      </c>
      <c r="K186" s="17" t="str">
        <f>IFERROR(__xludf.DUMMYFUNCTION("""COMPUTED_VALUE"""),"Mi 100 cm (40 inches) Horizon Edition Full HD Android LED TV 4A | L40M6-EI (Black)")</f>
        <v>Mi 100 cm (40 inches) Horizon Edition Full HD Android LED TV 4A | L40M6-EI (Black)</v>
      </c>
      <c r="L186" s="17" t="str">
        <f>IFERROR(__xludf.DUMMYFUNCTION("""COMPUTED_VALUE"""),"Electronics|HomeTheater,TV&amp;Video|Televisions|SmartTelevisions")</f>
        <v>Electronics|HomeTheater,TV&amp;Video|Televisions|SmartTelevisions</v>
      </c>
      <c r="M186" s="23">
        <f>IFERROR(__xludf.DUMMYFUNCTION("""COMPUTED_VALUE"""),21999.0)</f>
        <v>21999</v>
      </c>
      <c r="N186" s="23">
        <f>IFERROR(__xludf.DUMMYFUNCTION("""COMPUTED_VALUE"""),29999.0)</f>
        <v>29999</v>
      </c>
      <c r="O186" s="24">
        <f>IFERROR(__xludf.DUMMYFUNCTION("""COMPUTED_VALUE"""),0.27)</f>
        <v>0.27</v>
      </c>
      <c r="P186" s="17">
        <f>IFERROR(__xludf.DUMMYFUNCTION("""COMPUTED_VALUE"""),4.2)</f>
        <v>4.2</v>
      </c>
      <c r="Q186" s="25">
        <f>IFERROR(__xludf.DUMMYFUNCTION("""COMPUTED_VALUE"""),32840.0)</f>
        <v>32840</v>
      </c>
    </row>
    <row r="187">
      <c r="A187" s="7" t="s">
        <v>215</v>
      </c>
      <c r="B187" s="7" t="s">
        <v>15</v>
      </c>
      <c r="C187" s="8">
        <v>299.0</v>
      </c>
      <c r="D187" s="8">
        <v>485.0</v>
      </c>
      <c r="E187" s="19">
        <v>0.38</v>
      </c>
      <c r="F187" s="10">
        <v>4.3</v>
      </c>
      <c r="G187" s="11">
        <v>10911.0</v>
      </c>
      <c r="K187" s="17" t="str">
        <f>IFERROR(__xludf.DUMMYFUNCTION("""COMPUTED_VALUE"""),"Toshiba 108 cm (43 inches) V Series Full HD Smart Android LED TV 43V35KP (Silver)")</f>
        <v>Toshiba 108 cm (43 inches) V Series Full HD Smart Android LED TV 43V35KP (Silver)</v>
      </c>
      <c r="L187" s="17" t="str">
        <f>IFERROR(__xludf.DUMMYFUNCTION("""COMPUTED_VALUE"""),"Electronics|HomeTheater,TV&amp;Video|Televisions|SmartTelevisions")</f>
        <v>Electronics|HomeTheater,TV&amp;Video|Televisions|SmartTelevisions</v>
      </c>
      <c r="M187" s="23">
        <f>IFERROR(__xludf.DUMMYFUNCTION("""COMPUTED_VALUE"""),21990.0)</f>
        <v>21990</v>
      </c>
      <c r="N187" s="23">
        <f>IFERROR(__xludf.DUMMYFUNCTION("""COMPUTED_VALUE"""),34990.0)</f>
        <v>34990</v>
      </c>
      <c r="O187" s="24">
        <f>IFERROR(__xludf.DUMMYFUNCTION("""COMPUTED_VALUE"""),0.37)</f>
        <v>0.37</v>
      </c>
      <c r="P187" s="17">
        <f>IFERROR(__xludf.DUMMYFUNCTION("""COMPUTED_VALUE"""),4.3)</f>
        <v>4.3</v>
      </c>
      <c r="Q187" s="25">
        <f>IFERROR(__xludf.DUMMYFUNCTION("""COMPUTED_VALUE"""),1657.0)</f>
        <v>1657</v>
      </c>
    </row>
    <row r="188">
      <c r="A188" s="7" t="s">
        <v>216</v>
      </c>
      <c r="B188" s="7" t="s">
        <v>15</v>
      </c>
      <c r="C188" s="8">
        <v>949.0</v>
      </c>
      <c r="D188" s="8">
        <v>1999.0</v>
      </c>
      <c r="E188" s="19">
        <v>0.53</v>
      </c>
      <c r="F188" s="10">
        <v>4.4</v>
      </c>
      <c r="G188" s="11">
        <v>13552.0</v>
      </c>
      <c r="K188" s="17" t="str">
        <f>IFERROR(__xludf.DUMMYFUNCTION("""COMPUTED_VALUE"""),"LG 139 cm (55 inches) 4K Ultra HD Smart LED TV 55UQ7500PSF (Ceramic Black)")</f>
        <v>LG 139 cm (55 inches) 4K Ultra HD Smart LED TV 55UQ7500PSF (Ceramic Black)</v>
      </c>
      <c r="L188" s="17" t="str">
        <f>IFERROR(__xludf.DUMMYFUNCTION("""COMPUTED_VALUE"""),"Electronics|HomeTheater,TV&amp;Video|Televisions|SmartTelevisions")</f>
        <v>Electronics|HomeTheater,TV&amp;Video|Televisions|SmartTelevisions</v>
      </c>
      <c r="M188" s="23">
        <f>IFERROR(__xludf.DUMMYFUNCTION("""COMPUTED_VALUE"""),47990.0)</f>
        <v>47990</v>
      </c>
      <c r="N188" s="23">
        <f>IFERROR(__xludf.DUMMYFUNCTION("""COMPUTED_VALUE"""),79990.0)</f>
        <v>79990</v>
      </c>
      <c r="O188" s="24">
        <f>IFERROR(__xludf.DUMMYFUNCTION("""COMPUTED_VALUE"""),0.4)</f>
        <v>0.4</v>
      </c>
      <c r="P188" s="17">
        <f>IFERROR(__xludf.DUMMYFUNCTION("""COMPUTED_VALUE"""),4.3)</f>
        <v>4.3</v>
      </c>
      <c r="Q188" s="25">
        <f>IFERROR(__xludf.DUMMYFUNCTION("""COMPUTED_VALUE"""),1376.0)</f>
        <v>1376</v>
      </c>
    </row>
    <row r="189">
      <c r="A189" s="7" t="s">
        <v>217</v>
      </c>
      <c r="B189" s="7" t="s">
        <v>15</v>
      </c>
      <c r="C189" s="8">
        <v>379.0</v>
      </c>
      <c r="D189" s="8">
        <v>1099.0</v>
      </c>
      <c r="E189" s="19">
        <v>0.66</v>
      </c>
      <c r="F189" s="10">
        <v>4.3</v>
      </c>
      <c r="G189" s="11">
        <v>2806.0</v>
      </c>
      <c r="K189" s="17" t="str">
        <f>IFERROR(__xludf.DUMMYFUNCTION("""COMPUTED_VALUE"""),"Storite Super Speed USB 3.0 Male to Male Cable for Hard Drive Enclosures, Laptop Cooling Pad, DVD Players(60cm,Black)")</f>
        <v>Storite Super Speed USB 3.0 Male to Male Cable for Hard Drive Enclosures, Laptop Cooling Pad, DVD Players(60cm,Black)</v>
      </c>
      <c r="L189" s="17" t="str">
        <f>IFERROR(__xludf.DUMMYFUNCTION("""COMPUTED_VALUE"""),"Computers&amp;Accessories|Accessories&amp;Peripherals|Cables&amp;Accessories|Cables|USBCables")</f>
        <v>Computers&amp;Accessories|Accessories&amp;Peripherals|Cables&amp;Accessories|Cables|USBCables</v>
      </c>
      <c r="M189" s="23">
        <f>IFERROR(__xludf.DUMMYFUNCTION("""COMPUTED_VALUE"""),249.0)</f>
        <v>249</v>
      </c>
      <c r="N189" s="23">
        <f>IFERROR(__xludf.DUMMYFUNCTION("""COMPUTED_VALUE"""),999.0)</f>
        <v>999</v>
      </c>
      <c r="O189" s="24">
        <f>IFERROR(__xludf.DUMMYFUNCTION("""COMPUTED_VALUE"""),0.75)</f>
        <v>0.75</v>
      </c>
      <c r="P189" s="17">
        <f>IFERROR(__xludf.DUMMYFUNCTION("""COMPUTED_VALUE"""),4.3)</f>
        <v>4.3</v>
      </c>
      <c r="Q189" s="17">
        <f>IFERROR(__xludf.DUMMYFUNCTION("""COMPUTED_VALUE"""),112.0)</f>
        <v>112</v>
      </c>
    </row>
    <row r="190">
      <c r="A190" s="7" t="s">
        <v>218</v>
      </c>
      <c r="B190" s="7" t="s">
        <v>37</v>
      </c>
      <c r="C190" s="8">
        <v>8990.0</v>
      </c>
      <c r="D190" s="8">
        <v>18990.0</v>
      </c>
      <c r="E190" s="19">
        <v>0.53</v>
      </c>
      <c r="F190" s="10">
        <v>3.9</v>
      </c>
      <c r="G190" s="10">
        <v>350.0</v>
      </c>
      <c r="K190" s="17" t="str">
        <f>IFERROR(__xludf.DUMMYFUNCTION("""COMPUTED_VALUE"""),"AmazonBasics Double Braided Nylon USB Type-C to Type-C 2.0 Cable, Charging Adapter, Smartphone 6 feet, Dark Grey")</f>
        <v>AmazonBasics Double Braided Nylon USB Type-C to Type-C 2.0 Cable, Charging Adapter, Smartphone 6 feet, Dark Grey</v>
      </c>
      <c r="L190" s="17" t="str">
        <f>IFERROR(__xludf.DUMMYFUNCTION("""COMPUTED_VALUE"""),"Computers&amp;Accessories|Accessories&amp;Peripherals|Cables&amp;Accessories|Cables|USBCables")</f>
        <v>Computers&amp;Accessories|Accessories&amp;Peripherals|Cables&amp;Accessories|Cables|USBCables</v>
      </c>
      <c r="M190" s="23">
        <f>IFERROR(__xludf.DUMMYFUNCTION("""COMPUTED_VALUE"""),649.0)</f>
        <v>649</v>
      </c>
      <c r="N190" s="23">
        <f>IFERROR(__xludf.DUMMYFUNCTION("""COMPUTED_VALUE"""),1600.0)</f>
        <v>1600</v>
      </c>
      <c r="O190" s="24">
        <f>IFERROR(__xludf.DUMMYFUNCTION("""COMPUTED_VALUE"""),0.59)</f>
        <v>0.59</v>
      </c>
      <c r="P190" s="17">
        <f>IFERROR(__xludf.DUMMYFUNCTION("""COMPUTED_VALUE"""),4.3)</f>
        <v>4.3</v>
      </c>
      <c r="Q190" s="25">
        <f>IFERROR(__xludf.DUMMYFUNCTION("""COMPUTED_VALUE"""),5451.0)</f>
        <v>5451</v>
      </c>
    </row>
    <row r="191">
      <c r="A191" s="7" t="s">
        <v>219</v>
      </c>
      <c r="B191" s="7" t="s">
        <v>177</v>
      </c>
      <c r="C191" s="8">
        <v>486.0</v>
      </c>
      <c r="D191" s="8">
        <v>1999.0</v>
      </c>
      <c r="E191" s="19">
        <v>0.76</v>
      </c>
      <c r="F191" s="10">
        <v>4.2</v>
      </c>
      <c r="G191" s="11">
        <v>30023.0</v>
      </c>
      <c r="K191" s="17" t="str">
        <f>IFERROR(__xludf.DUMMYFUNCTION("""COMPUTED_VALUE"""),"AmazonBasics 10.2 Gbps High-Speed 4K HDMI Cable with Braided Cord (10-Foot, Dark Grey)")</f>
        <v>AmazonBasics 10.2 Gbps High-Speed 4K HDMI Cable with Braided Cord (10-Foot, Dark Grey)</v>
      </c>
      <c r="L191" s="17" t="str">
        <f>IFERROR(__xludf.DUMMYFUNCTION("""COMPUTED_VALUE"""),"Electronics|HomeTheater,TV&amp;Video|Accessories|Cables|HDMICables")</f>
        <v>Electronics|HomeTheater,TV&amp;Video|Accessories|Cables|HDMICables</v>
      </c>
      <c r="M191" s="23">
        <f>IFERROR(__xludf.DUMMYFUNCTION("""COMPUTED_VALUE"""),609.0)</f>
        <v>609</v>
      </c>
      <c r="N191" s="23">
        <f>IFERROR(__xludf.DUMMYFUNCTION("""COMPUTED_VALUE"""),1500.0)</f>
        <v>1500</v>
      </c>
      <c r="O191" s="24">
        <f>IFERROR(__xludf.DUMMYFUNCTION("""COMPUTED_VALUE"""),0.59)</f>
        <v>0.59</v>
      </c>
      <c r="P191" s="17">
        <f>IFERROR(__xludf.DUMMYFUNCTION("""COMPUTED_VALUE"""),4.5)</f>
        <v>4.5</v>
      </c>
      <c r="Q191" s="25">
        <f>IFERROR(__xludf.DUMMYFUNCTION("""COMPUTED_VALUE"""),1029.0)</f>
        <v>1029</v>
      </c>
    </row>
    <row r="192">
      <c r="A192" s="7" t="s">
        <v>220</v>
      </c>
      <c r="B192" s="7" t="s">
        <v>77</v>
      </c>
      <c r="C192" s="8">
        <v>5699.0</v>
      </c>
      <c r="D192" s="8">
        <v>11000.0</v>
      </c>
      <c r="E192" s="19">
        <v>0.48</v>
      </c>
      <c r="F192" s="10">
        <v>4.2</v>
      </c>
      <c r="G192" s="11">
        <v>4003.0</v>
      </c>
      <c r="K192" s="17" t="str">
        <f>IFERROR(__xludf.DUMMYFUNCTION("""COMPUTED_VALUE"""),"Hisense 126 cm (50 inches) Bezelless Series 4K Ultra HD Smart LED Google TV 50A6H (Black)")</f>
        <v>Hisense 126 cm (50 inches) Bezelless Series 4K Ultra HD Smart LED Google TV 50A6H (Black)</v>
      </c>
      <c r="L192" s="17" t="str">
        <f>IFERROR(__xludf.DUMMYFUNCTION("""COMPUTED_VALUE"""),"Electronics|HomeTheater,TV&amp;Video|Televisions|SmartTelevisions")</f>
        <v>Electronics|HomeTheater,TV&amp;Video|Televisions|SmartTelevisions</v>
      </c>
      <c r="M192" s="23">
        <f>IFERROR(__xludf.DUMMYFUNCTION("""COMPUTED_VALUE"""),32990.0)</f>
        <v>32990</v>
      </c>
      <c r="N192" s="23">
        <f>IFERROR(__xludf.DUMMYFUNCTION("""COMPUTED_VALUE"""),54990.0)</f>
        <v>54990</v>
      </c>
      <c r="O192" s="24">
        <f>IFERROR(__xludf.DUMMYFUNCTION("""COMPUTED_VALUE"""),0.4)</f>
        <v>0.4</v>
      </c>
      <c r="P192" s="17">
        <f>IFERROR(__xludf.DUMMYFUNCTION("""COMPUTED_VALUE"""),4.1)</f>
        <v>4.1</v>
      </c>
      <c r="Q192" s="25">
        <f>IFERROR(__xludf.DUMMYFUNCTION("""COMPUTED_VALUE"""),1555.0)</f>
        <v>1555</v>
      </c>
    </row>
    <row r="193">
      <c r="A193" s="7" t="s">
        <v>221</v>
      </c>
      <c r="B193" s="7" t="s">
        <v>15</v>
      </c>
      <c r="C193" s="8">
        <v>709.0</v>
      </c>
      <c r="D193" s="8">
        <v>1999.0</v>
      </c>
      <c r="E193" s="19">
        <v>0.65</v>
      </c>
      <c r="F193" s="10">
        <v>4.1</v>
      </c>
      <c r="G193" s="7" t="s">
        <v>222</v>
      </c>
      <c r="K193" s="17" t="str">
        <f>IFERROR(__xludf.DUMMYFUNCTION("""COMPUTED_VALUE"""),"Tuarso 8K HDMI 2.1 Cable 48Gbps , 1.5 Meter High-Speed Braided HDMI Cable ( 8K@60HZ、4K@120HZ、2K@240HZ ) HDMI 2.1 Cable Compatible with Monitors , Television , Laptops , Projectors , Game Consoles and more with HDMI Ports Device")</f>
        <v>Tuarso 8K HDMI 2.1 Cable 48Gbps , 1.5 Meter High-Speed Braided HDMI Cable ( 8K@60HZ、4K@120HZ、2K@240HZ ) HDMI 2.1 Cable Compatible with Monitors , Television , Laptops , Projectors , Game Consoles and more with HDMI Ports Device</v>
      </c>
      <c r="L193" s="17" t="str">
        <f>IFERROR(__xludf.DUMMYFUNCTION("""COMPUTED_VALUE"""),"Electronics|HomeTheater,TV&amp;Video|Accessories|Cables|HDMICables")</f>
        <v>Electronics|HomeTheater,TV&amp;Video|Accessories|Cables|HDMICables</v>
      </c>
      <c r="M193" s="23">
        <f>IFERROR(__xludf.DUMMYFUNCTION("""COMPUTED_VALUE"""),599.0)</f>
        <v>599</v>
      </c>
      <c r="N193" s="23">
        <f>IFERROR(__xludf.DUMMYFUNCTION("""COMPUTED_VALUE"""),1999.0)</f>
        <v>1999</v>
      </c>
      <c r="O193" s="24">
        <f>IFERROR(__xludf.DUMMYFUNCTION("""COMPUTED_VALUE"""),0.7)</f>
        <v>0.7</v>
      </c>
      <c r="P193" s="17">
        <f>IFERROR(__xludf.DUMMYFUNCTION("""COMPUTED_VALUE"""),4.2)</f>
        <v>4.2</v>
      </c>
      <c r="Q193" s="17">
        <f>IFERROR(__xludf.DUMMYFUNCTION("""COMPUTED_VALUE"""),47.0)</f>
        <v>47</v>
      </c>
    </row>
    <row r="194">
      <c r="A194" s="7" t="s">
        <v>223</v>
      </c>
      <c r="B194" s="7" t="s">
        <v>37</v>
      </c>
      <c r="C194" s="8">
        <v>47990.0</v>
      </c>
      <c r="D194" s="8">
        <v>70900.0</v>
      </c>
      <c r="E194" s="19">
        <v>0.32</v>
      </c>
      <c r="F194" s="10">
        <v>4.3</v>
      </c>
      <c r="G194" s="11">
        <v>7109.0</v>
      </c>
      <c r="K194" s="17" t="str">
        <f>IFERROR(__xludf.DUMMYFUNCTION("""COMPUTED_VALUE"""),"AmazonBasics USB Type-C to Micro-B 2.0 Cable - 6 Inches (15.2 Centimeters) - White")</f>
        <v>AmazonBasics USB Type-C to Micro-B 2.0 Cable - 6 Inches (15.2 Centimeters) - White</v>
      </c>
      <c r="L194" s="17" t="str">
        <f>IFERROR(__xludf.DUMMYFUNCTION("""COMPUTED_VALUE"""),"Computers&amp;Accessories|Accessories&amp;Peripherals|Cables&amp;Accessories|Cables|USBCables")</f>
        <v>Computers&amp;Accessories|Accessories&amp;Peripherals|Cables&amp;Accessories|Cables|USBCables</v>
      </c>
      <c r="M194" s="23">
        <f>IFERROR(__xludf.DUMMYFUNCTION("""COMPUTED_VALUE"""),349.0)</f>
        <v>349</v>
      </c>
      <c r="N194" s="23">
        <f>IFERROR(__xludf.DUMMYFUNCTION("""COMPUTED_VALUE"""),899.0)</f>
        <v>899</v>
      </c>
      <c r="O194" s="24">
        <f>IFERROR(__xludf.DUMMYFUNCTION("""COMPUTED_VALUE"""),0.61)</f>
        <v>0.61</v>
      </c>
      <c r="P194" s="17">
        <f>IFERROR(__xludf.DUMMYFUNCTION("""COMPUTED_VALUE"""),4.1)</f>
        <v>4.1</v>
      </c>
      <c r="Q194" s="25">
        <f>IFERROR(__xludf.DUMMYFUNCTION("""COMPUTED_VALUE"""),14896.0)</f>
        <v>14896</v>
      </c>
    </row>
    <row r="195">
      <c r="A195" s="7" t="s">
        <v>224</v>
      </c>
      <c r="B195" s="7" t="s">
        <v>71</v>
      </c>
      <c r="C195" s="8">
        <v>299.0</v>
      </c>
      <c r="D195" s="8">
        <v>1199.0</v>
      </c>
      <c r="E195" s="19">
        <v>0.75</v>
      </c>
      <c r="F195" s="10">
        <v>3.7</v>
      </c>
      <c r="G195" s="10">
        <v>490.0</v>
      </c>
      <c r="K195" s="17" t="str">
        <f>IFERROR(__xludf.DUMMYFUNCTION("""COMPUTED_VALUE"""),"Kodak 139 cm (55 inches) 4K Ultra HD Smart LED TV 55CA0909 (Black)")</f>
        <v>Kodak 139 cm (55 inches) 4K Ultra HD Smart LED TV 55CA0909 (Black)</v>
      </c>
      <c r="L195" s="17" t="str">
        <f>IFERROR(__xludf.DUMMYFUNCTION("""COMPUTED_VALUE"""),"Electronics|HomeTheater,TV&amp;Video|Televisions|SmartTelevisions")</f>
        <v>Electronics|HomeTheater,TV&amp;Video|Televisions|SmartTelevisions</v>
      </c>
      <c r="M195" s="23">
        <f>IFERROR(__xludf.DUMMYFUNCTION("""COMPUTED_VALUE"""),29999.0)</f>
        <v>29999</v>
      </c>
      <c r="N195" s="23">
        <f>IFERROR(__xludf.DUMMYFUNCTION("""COMPUTED_VALUE"""),50999.0)</f>
        <v>50999</v>
      </c>
      <c r="O195" s="24">
        <f>IFERROR(__xludf.DUMMYFUNCTION("""COMPUTED_VALUE"""),0.41)</f>
        <v>0.41</v>
      </c>
      <c r="P195" s="17">
        <f>IFERROR(__xludf.DUMMYFUNCTION("""COMPUTED_VALUE"""),4.4)</f>
        <v>4.4</v>
      </c>
      <c r="Q195" s="25">
        <f>IFERROR(__xludf.DUMMYFUNCTION("""COMPUTED_VALUE"""),1712.0)</f>
        <v>1712</v>
      </c>
    </row>
    <row r="196">
      <c r="A196" s="7" t="s">
        <v>225</v>
      </c>
      <c r="B196" s="7" t="s">
        <v>15</v>
      </c>
      <c r="C196" s="8">
        <v>320.0</v>
      </c>
      <c r="D196" s="8">
        <v>599.0</v>
      </c>
      <c r="E196" s="19">
        <v>0.47</v>
      </c>
      <c r="F196" s="10">
        <v>4.1</v>
      </c>
      <c r="G196" s="10">
        <v>491.0</v>
      </c>
      <c r="K196" s="17" t="str">
        <f>IFERROR(__xludf.DUMMYFUNCTION("""COMPUTED_VALUE"""),"Smashtronics® - Case for Firetv Remote, Fire Stick Remote Cover Case, Silicone Cover for TV Firestick 4K/TV 2nd Gen(3rd Gen) Remote Control - Light Weight/Anti Slip/Shockproof (Black)")</f>
        <v>Smashtronics® - Case for Firetv Remote, Fire Stick Remote Cover Case, Silicone Cover for TV Firestick 4K/TV 2nd Gen(3rd Gen) Remote Control - Light Weight/Anti Slip/Shockproof (Black)</v>
      </c>
      <c r="L196" s="17" t="str">
        <f>IFERROR(__xludf.DUMMYFUNCTION("""COMPUTED_VALUE"""),"Electronics|HomeTheater,TV&amp;Video|Accessories|RemoteControls")</f>
        <v>Electronics|HomeTheater,TV&amp;Video|Accessories|RemoteControls</v>
      </c>
      <c r="M196" s="23">
        <f>IFERROR(__xludf.DUMMYFUNCTION("""COMPUTED_VALUE"""),199.0)</f>
        <v>199</v>
      </c>
      <c r="N196" s="23">
        <f>IFERROR(__xludf.DUMMYFUNCTION("""COMPUTED_VALUE"""),399.0)</f>
        <v>399</v>
      </c>
      <c r="O196" s="24">
        <f>IFERROR(__xludf.DUMMYFUNCTION("""COMPUTED_VALUE"""),0.5)</f>
        <v>0.5</v>
      </c>
      <c r="P196" s="17">
        <f>IFERROR(__xludf.DUMMYFUNCTION("""COMPUTED_VALUE"""),4.2)</f>
        <v>4.2</v>
      </c>
      <c r="Q196" s="25">
        <f>IFERROR(__xludf.DUMMYFUNCTION("""COMPUTED_VALUE"""),1335.0)</f>
        <v>1335</v>
      </c>
    </row>
    <row r="197">
      <c r="A197" s="7" t="s">
        <v>226</v>
      </c>
      <c r="B197" s="7" t="s">
        <v>15</v>
      </c>
      <c r="C197" s="8">
        <v>139.0</v>
      </c>
      <c r="D197" s="8">
        <v>549.0</v>
      </c>
      <c r="E197" s="19">
        <v>0.75</v>
      </c>
      <c r="F197" s="10">
        <v>3.9</v>
      </c>
      <c r="G197" s="10">
        <v>61.0</v>
      </c>
      <c r="K197" s="17" t="str">
        <f>IFERROR(__xludf.DUMMYFUNCTION("""COMPUTED_VALUE"""),"WANBO X1 Pro (Upgraded) | Native 1080P Full HD | Android 9 | Projector for Home | LED Cinema | 350ANSI | 3900 lumens | WiFi Bluetooth | HDMI ARC | Dolby DTS | 4D Keystone Correction (Global Version)")</f>
        <v>WANBO X1 Pro (Upgraded) | Native 1080P Full HD | Android 9 | Projector for Home | LED Cinema | 350ANSI | 3900 lumens | WiFi Bluetooth | HDMI ARC | Dolby DTS | 4D Keystone Correction (Global Version)</v>
      </c>
      <c r="L197" s="17" t="str">
        <f>IFERROR(__xludf.DUMMYFUNCTION("""COMPUTED_VALUE"""),"Electronics|HomeTheater,TV&amp;Video|Projectors")</f>
        <v>Electronics|HomeTheater,TV&amp;Video|Projectors</v>
      </c>
      <c r="M197" s="23">
        <f>IFERROR(__xludf.DUMMYFUNCTION("""COMPUTED_VALUE"""),13990.0)</f>
        <v>13990</v>
      </c>
      <c r="N197" s="23">
        <f>IFERROR(__xludf.DUMMYFUNCTION("""COMPUTED_VALUE"""),28900.0)</f>
        <v>28900</v>
      </c>
      <c r="O197" s="24">
        <f>IFERROR(__xludf.DUMMYFUNCTION("""COMPUTED_VALUE"""),0.52)</f>
        <v>0.52</v>
      </c>
      <c r="P197" s="17">
        <f>IFERROR(__xludf.DUMMYFUNCTION("""COMPUTED_VALUE"""),4.5)</f>
        <v>4.5</v>
      </c>
      <c r="Q197" s="17">
        <f>IFERROR(__xludf.DUMMYFUNCTION("""COMPUTED_VALUE"""),7.0)</f>
        <v>7</v>
      </c>
    </row>
    <row r="198">
      <c r="A198" s="7" t="s">
        <v>227</v>
      </c>
      <c r="B198" s="7" t="s">
        <v>15</v>
      </c>
      <c r="C198" s="8">
        <v>129.0</v>
      </c>
      <c r="D198" s="8">
        <v>249.0</v>
      </c>
      <c r="E198" s="19">
        <v>0.48</v>
      </c>
      <c r="F198" s="10">
        <v>4.0</v>
      </c>
      <c r="G198" s="11">
        <v>9378.0</v>
      </c>
      <c r="K198" s="17" t="str">
        <f>IFERROR(__xludf.DUMMYFUNCTION("""COMPUTED_VALUE"""),"TIZUM High Speed HDMI Cable Aura -Gold Plated-High Speed Data 10.2Gbps, 3D, 4K, HD 1080P (10 Ft/ 3 M)")</f>
        <v>TIZUM High Speed HDMI Cable Aura -Gold Plated-High Speed Data 10.2Gbps, 3D, 4K, HD 1080P (10 Ft/ 3 M)</v>
      </c>
      <c r="L198" s="17" t="str">
        <f>IFERROR(__xludf.DUMMYFUNCTION("""COMPUTED_VALUE"""),"Electronics|HomeTheater,TV&amp;Video|Accessories|Cables|HDMICables")</f>
        <v>Electronics|HomeTheater,TV&amp;Video|Accessories|Cables|HDMICables</v>
      </c>
      <c r="M198" s="23">
        <f>IFERROR(__xludf.DUMMYFUNCTION("""COMPUTED_VALUE"""),379.0)</f>
        <v>379</v>
      </c>
      <c r="N198" s="23">
        <f>IFERROR(__xludf.DUMMYFUNCTION("""COMPUTED_VALUE"""),999.0)</f>
        <v>999</v>
      </c>
      <c r="O198" s="24">
        <f>IFERROR(__xludf.DUMMYFUNCTION("""COMPUTED_VALUE"""),0.62)</f>
        <v>0.62</v>
      </c>
      <c r="P198" s="17">
        <f>IFERROR(__xludf.DUMMYFUNCTION("""COMPUTED_VALUE"""),4.2)</f>
        <v>4.2</v>
      </c>
      <c r="Q198" s="25">
        <f>IFERROR(__xludf.DUMMYFUNCTION("""COMPUTED_VALUE"""),12153.0)</f>
        <v>12153</v>
      </c>
    </row>
    <row r="199">
      <c r="A199" s="7" t="s">
        <v>228</v>
      </c>
      <c r="B199" s="7" t="s">
        <v>37</v>
      </c>
      <c r="C199" s="8">
        <v>24999.0</v>
      </c>
      <c r="D199" s="8">
        <v>35999.0</v>
      </c>
      <c r="E199" s="19">
        <v>0.31</v>
      </c>
      <c r="F199" s="10">
        <v>4.2</v>
      </c>
      <c r="G199" s="11">
        <v>32840.0</v>
      </c>
      <c r="K199" s="17" t="str">
        <f>IFERROR(__xludf.DUMMYFUNCTION("""COMPUTED_VALUE"""),"Technotech High Speed HDMI Cable 5 Meter V1.4 - Supports Full HD 1080p (Color May Vary)")</f>
        <v>Technotech High Speed HDMI Cable 5 Meter V1.4 - Supports Full HD 1080p (Color May Vary)</v>
      </c>
      <c r="L199" s="17" t="str">
        <f>IFERROR(__xludf.DUMMYFUNCTION("""COMPUTED_VALUE"""),"Electronics|HomeTheater,TV&amp;Video|Accessories|Cables|HDMICables")</f>
        <v>Electronics|HomeTheater,TV&amp;Video|Accessories|Cables|HDMICables</v>
      </c>
      <c r="M199" s="23">
        <f>IFERROR(__xludf.DUMMYFUNCTION("""COMPUTED_VALUE"""),185.0)</f>
        <v>185</v>
      </c>
      <c r="N199" s="23">
        <f>IFERROR(__xludf.DUMMYFUNCTION("""COMPUTED_VALUE"""),499.0)</f>
        <v>499</v>
      </c>
      <c r="O199" s="24">
        <f>IFERROR(__xludf.DUMMYFUNCTION("""COMPUTED_VALUE"""),0.63)</f>
        <v>0.63</v>
      </c>
      <c r="P199" s="17">
        <f>IFERROR(__xludf.DUMMYFUNCTION("""COMPUTED_VALUE"""),4.2)</f>
        <v>4.2</v>
      </c>
      <c r="Q199" s="17">
        <f>IFERROR(__xludf.DUMMYFUNCTION("""COMPUTED_VALUE"""),25.0)</f>
        <v>25</v>
      </c>
    </row>
    <row r="200">
      <c r="A200" s="7" t="s">
        <v>229</v>
      </c>
      <c r="B200" s="7" t="s">
        <v>15</v>
      </c>
      <c r="C200" s="8">
        <v>999.0</v>
      </c>
      <c r="D200" s="8">
        <v>1699.0</v>
      </c>
      <c r="E200" s="19">
        <v>0.41</v>
      </c>
      <c r="F200" s="10">
        <v>4.4</v>
      </c>
      <c r="G200" s="11">
        <v>7318.0</v>
      </c>
      <c r="K200" s="17" t="str">
        <f>IFERROR(__xludf.DUMMYFUNCTION("""COMPUTED_VALUE"""),"NK STAR 950 Mbps USB WiFi Adapter Wireless Network Receiver Dongle for Desktop Laptop, (Support- Windows XP/7/8/10 &amp; MAC OS) NOt Support to DVR and HDTV")</f>
        <v>NK STAR 950 Mbps USB WiFi Adapter Wireless Network Receiver Dongle for Desktop Laptop, (Support- Windows XP/7/8/10 &amp; MAC OS) NOt Support to DVR and HDTV</v>
      </c>
      <c r="L200" s="17" t="str">
        <f>IFERROR(__xludf.DUMMYFUNCTION("""COMPUTED_VALUE"""),"Computers&amp;Accessories|NetworkingDevices|NetworkAdapters|WirelessUSBAdapters")</f>
        <v>Computers&amp;Accessories|NetworkingDevices|NetworkAdapters|WirelessUSBAdapters</v>
      </c>
      <c r="M200" s="23">
        <f>IFERROR(__xludf.DUMMYFUNCTION("""COMPUTED_VALUE"""),218.0)</f>
        <v>218</v>
      </c>
      <c r="N200" s="23">
        <f>IFERROR(__xludf.DUMMYFUNCTION("""COMPUTED_VALUE"""),999.0)</f>
        <v>999</v>
      </c>
      <c r="O200" s="24">
        <f>IFERROR(__xludf.DUMMYFUNCTION("""COMPUTED_VALUE"""),0.78)</f>
        <v>0.78</v>
      </c>
      <c r="P200" s="17">
        <f>IFERROR(__xludf.DUMMYFUNCTION("""COMPUTED_VALUE"""),4.2)</f>
        <v>4.2</v>
      </c>
      <c r="Q200" s="17">
        <f>IFERROR(__xludf.DUMMYFUNCTION("""COMPUTED_VALUE"""),163.0)</f>
        <v>163</v>
      </c>
    </row>
    <row r="201">
      <c r="A201" s="7" t="s">
        <v>230</v>
      </c>
      <c r="B201" s="7" t="s">
        <v>15</v>
      </c>
      <c r="C201" s="8">
        <v>225.0</v>
      </c>
      <c r="D201" s="8">
        <v>499.0</v>
      </c>
      <c r="E201" s="19">
        <v>0.55</v>
      </c>
      <c r="F201" s="10">
        <v>4.1</v>
      </c>
      <c r="G201" s="10">
        <v>789.0</v>
      </c>
      <c r="K201" s="17" t="str">
        <f>IFERROR(__xludf.DUMMYFUNCTION("""COMPUTED_VALUE"""),"LS LAPSTER Quality Assured USB 2.0 morpho cable, morpho device cable for Mso 1300 E3/E2/E Biometric Finger Print Scanner morpho USB cable (Black)")</f>
        <v>LS LAPSTER Quality Assured USB 2.0 morpho cable, morpho device cable for Mso 1300 E3/E2/E Biometric Finger Print Scanner morpho USB cable (Black)</v>
      </c>
      <c r="L201" s="17" t="str">
        <f>IFERROR(__xludf.DUMMYFUNCTION("""COMPUTED_VALUE"""),"Computers&amp;Accessories|Accessories&amp;Peripherals|Cables&amp;Accessories|Cables|USBCables")</f>
        <v>Computers&amp;Accessories|Accessories&amp;Peripherals|Cables&amp;Accessories|Cables|USBCables</v>
      </c>
      <c r="M201" s="23">
        <f>IFERROR(__xludf.DUMMYFUNCTION("""COMPUTED_VALUE"""),199.0)</f>
        <v>199</v>
      </c>
      <c r="N201" s="23">
        <f>IFERROR(__xludf.DUMMYFUNCTION("""COMPUTED_VALUE"""),999.0)</f>
        <v>999</v>
      </c>
      <c r="O201" s="24">
        <f>IFERROR(__xludf.DUMMYFUNCTION("""COMPUTED_VALUE"""),0.8)</f>
        <v>0.8</v>
      </c>
      <c r="P201" s="17">
        <f>IFERROR(__xludf.DUMMYFUNCTION("""COMPUTED_VALUE"""),4.3)</f>
        <v>4.3</v>
      </c>
      <c r="Q201" s="17">
        <f>IFERROR(__xludf.DUMMYFUNCTION("""COMPUTED_VALUE"""),87.0)</f>
        <v>87</v>
      </c>
    </row>
    <row r="202">
      <c r="A202" s="7" t="s">
        <v>231</v>
      </c>
      <c r="B202" s="7" t="s">
        <v>71</v>
      </c>
      <c r="C202" s="8">
        <v>547.0</v>
      </c>
      <c r="D202" s="8">
        <v>2999.0</v>
      </c>
      <c r="E202" s="19">
        <v>0.82</v>
      </c>
      <c r="F202" s="10">
        <v>4.3</v>
      </c>
      <c r="G202" s="10">
        <v>407.0</v>
      </c>
      <c r="K202" s="17" t="str">
        <f>IFERROR(__xludf.DUMMYFUNCTION("""COMPUTED_VALUE"""),"Amazon Basics 10.2 Gbps High-Speed 4K HDMI Cable with Braided Cord, 1.8 Meter, Dark Grey")</f>
        <v>Amazon Basics 10.2 Gbps High-Speed 4K HDMI Cable with Braided Cord, 1.8 Meter, Dark Grey</v>
      </c>
      <c r="L202" s="17" t="str">
        <f>IFERROR(__xludf.DUMMYFUNCTION("""COMPUTED_VALUE"""),"Electronics|HomeTheater,TV&amp;Video|Accessories|Cables|HDMICables")</f>
        <v>Electronics|HomeTheater,TV&amp;Video|Accessories|Cables|HDMICables</v>
      </c>
      <c r="M202" s="23">
        <f>IFERROR(__xludf.DUMMYFUNCTION("""COMPUTED_VALUE"""),499.0)</f>
        <v>499</v>
      </c>
      <c r="N202" s="23">
        <f>IFERROR(__xludf.DUMMYFUNCTION("""COMPUTED_VALUE"""),900.0)</f>
        <v>900</v>
      </c>
      <c r="O202" s="24">
        <f>IFERROR(__xludf.DUMMYFUNCTION("""COMPUTED_VALUE"""),0.45)</f>
        <v>0.45</v>
      </c>
      <c r="P202" s="17">
        <f>IFERROR(__xludf.DUMMYFUNCTION("""COMPUTED_VALUE"""),4.4)</f>
        <v>4.4</v>
      </c>
      <c r="Q202" s="25">
        <f>IFERROR(__xludf.DUMMYFUNCTION("""COMPUTED_VALUE"""),2165.0)</f>
        <v>2165</v>
      </c>
    </row>
    <row r="203">
      <c r="A203" s="7" t="s">
        <v>232</v>
      </c>
      <c r="B203" s="7" t="s">
        <v>15</v>
      </c>
      <c r="C203" s="8">
        <v>259.0</v>
      </c>
      <c r="D203" s="8">
        <v>699.0</v>
      </c>
      <c r="E203" s="19">
        <v>0.63</v>
      </c>
      <c r="F203" s="10">
        <v>3.8</v>
      </c>
      <c r="G203" s="11">
        <v>2399.0</v>
      </c>
      <c r="K203" s="17" t="str">
        <f>IFERROR(__xludf.DUMMYFUNCTION("""COMPUTED_VALUE"""),"Kodak 126 cm (50 inches) Bezel-Less Design Series 4K Ultra HD Smart Android LED TV 50UHDX7XPROBL (Black)")</f>
        <v>Kodak 126 cm (50 inches) Bezel-Less Design Series 4K Ultra HD Smart Android LED TV 50UHDX7XPROBL (Black)</v>
      </c>
      <c r="L203" s="17" t="str">
        <f>IFERROR(__xludf.DUMMYFUNCTION("""COMPUTED_VALUE"""),"Electronics|HomeTheater,TV&amp;Video|Televisions|SmartTelevisions")</f>
        <v>Electronics|HomeTheater,TV&amp;Video|Televisions|SmartTelevisions</v>
      </c>
      <c r="M203" s="23">
        <f>IFERROR(__xludf.DUMMYFUNCTION("""COMPUTED_VALUE"""),26999.0)</f>
        <v>26999</v>
      </c>
      <c r="N203" s="23">
        <f>IFERROR(__xludf.DUMMYFUNCTION("""COMPUTED_VALUE"""),42999.0)</f>
        <v>42999</v>
      </c>
      <c r="O203" s="24">
        <f>IFERROR(__xludf.DUMMYFUNCTION("""COMPUTED_VALUE"""),0.37)</f>
        <v>0.37</v>
      </c>
      <c r="P203" s="17">
        <f>IFERROR(__xludf.DUMMYFUNCTION("""COMPUTED_VALUE"""),4.2)</f>
        <v>4.2</v>
      </c>
      <c r="Q203" s="25">
        <f>IFERROR(__xludf.DUMMYFUNCTION("""COMPUTED_VALUE"""),1510.0)</f>
        <v>1510</v>
      </c>
    </row>
    <row r="204">
      <c r="A204" s="7" t="s">
        <v>233</v>
      </c>
      <c r="B204" s="7" t="s">
        <v>71</v>
      </c>
      <c r="C204" s="8">
        <v>239.0</v>
      </c>
      <c r="D204" s="8">
        <v>699.0</v>
      </c>
      <c r="E204" s="19">
        <v>0.66</v>
      </c>
      <c r="F204" s="10">
        <v>4.4</v>
      </c>
      <c r="G204" s="11">
        <v>2640.0</v>
      </c>
      <c r="K204" s="17" t="str">
        <f>IFERROR(__xludf.DUMMYFUNCTION("""COMPUTED_VALUE"""),"ZORBES® Wall Adapter Holder for Alexa Echo Dot 4th Generation,A Space-Saving Solution with Cord Management for Your Smart Home Speakers -White (Holder Only)")</f>
        <v>ZORBES® Wall Adapter Holder for Alexa Echo Dot 4th Generation,A Space-Saving Solution with Cord Management for Your Smart Home Speakers -White (Holder Only)</v>
      </c>
      <c r="L204" s="17" t="str">
        <f>IFERROR(__xludf.DUMMYFUNCTION("""COMPUTED_VALUE"""),"Electronics|HomeTheater,TV&amp;Video|Accessories|TVMounts,Stands&amp;Turntables|TVWall&amp;CeilingMounts")</f>
        <v>Electronics|HomeTheater,TV&amp;Video|Accessories|TVMounts,Stands&amp;Turntables|TVWall&amp;CeilingMounts</v>
      </c>
      <c r="M204" s="23">
        <f>IFERROR(__xludf.DUMMYFUNCTION("""COMPUTED_VALUE"""),893.0)</f>
        <v>893</v>
      </c>
      <c r="N204" s="23">
        <f>IFERROR(__xludf.DUMMYFUNCTION("""COMPUTED_VALUE"""),1052.0)</f>
        <v>1052</v>
      </c>
      <c r="O204" s="24">
        <f>IFERROR(__xludf.DUMMYFUNCTION("""COMPUTED_VALUE"""),0.15)</f>
        <v>0.15</v>
      </c>
      <c r="P204" s="17">
        <f>IFERROR(__xludf.DUMMYFUNCTION("""COMPUTED_VALUE"""),4.3)</f>
        <v>4.3</v>
      </c>
      <c r="Q204" s="17">
        <f>IFERROR(__xludf.DUMMYFUNCTION("""COMPUTED_VALUE"""),106.0)</f>
        <v>106</v>
      </c>
    </row>
    <row r="205">
      <c r="A205" s="7" t="s">
        <v>234</v>
      </c>
      <c r="B205" s="7" t="s">
        <v>71</v>
      </c>
      <c r="C205" s="8">
        <v>349.0</v>
      </c>
      <c r="D205" s="8">
        <v>999.0</v>
      </c>
      <c r="E205" s="19">
        <v>0.65</v>
      </c>
      <c r="F205" s="10">
        <v>4.0</v>
      </c>
      <c r="G205" s="10">
        <v>839.0</v>
      </c>
      <c r="K205" s="17" t="str">
        <f>IFERROR(__xludf.DUMMYFUNCTION("""COMPUTED_VALUE"""),"Synqe USB Type C Fast Charging Cable 2M Charger Cord Data Cable Compatible with Samsung Galaxy M51,Galaxy M31S, S10e S10 S9 S20 Plus, Note10 9 8,M40 A50 A70, Redmi Note 9, Moto G7, Poco F1 (2M, Grey)")</f>
        <v>Synqe USB Type C Fast Charging Cable 2M Charger Cord Data Cable Compatible with Samsung Galaxy M51,Galaxy M31S, S10e S10 S9 S20 Plus, Note10 9 8,M40 A50 A70, Redmi Note 9, Moto G7, Poco F1 (2M, Grey)</v>
      </c>
      <c r="L205" s="17" t="str">
        <f>IFERROR(__xludf.DUMMYFUNCTION("""COMPUTED_VALUE"""),"Computers&amp;Accessories|Accessories&amp;Peripherals|Cables&amp;Accessories|Cables|USBCables")</f>
        <v>Computers&amp;Accessories|Accessories&amp;Peripherals|Cables&amp;Accessories|Cables|USBCables</v>
      </c>
      <c r="M205" s="23">
        <f>IFERROR(__xludf.DUMMYFUNCTION("""COMPUTED_VALUE"""),379.0)</f>
        <v>379</v>
      </c>
      <c r="N205" s="23">
        <f>IFERROR(__xludf.DUMMYFUNCTION("""COMPUTED_VALUE"""),1099.0)</f>
        <v>1099</v>
      </c>
      <c r="O205" s="24">
        <f>IFERROR(__xludf.DUMMYFUNCTION("""COMPUTED_VALUE"""),0.66)</f>
        <v>0.66</v>
      </c>
      <c r="P205" s="17">
        <f>IFERROR(__xludf.DUMMYFUNCTION("""COMPUTED_VALUE"""),4.3)</f>
        <v>4.3</v>
      </c>
      <c r="Q205" s="25">
        <f>IFERROR(__xludf.DUMMYFUNCTION("""COMPUTED_VALUE"""),3049.0)</f>
        <v>3049</v>
      </c>
    </row>
    <row r="206">
      <c r="A206" s="7" t="s">
        <v>235</v>
      </c>
      <c r="B206" s="7" t="s">
        <v>31</v>
      </c>
      <c r="C206" s="8">
        <v>467.0</v>
      </c>
      <c r="D206" s="8">
        <v>599.0</v>
      </c>
      <c r="E206" s="19">
        <v>0.22</v>
      </c>
      <c r="F206" s="10">
        <v>4.4</v>
      </c>
      <c r="G206" s="11">
        <v>44054.0</v>
      </c>
      <c r="K206" s="17" t="str">
        <f>IFERROR(__xludf.DUMMYFUNCTION("""COMPUTED_VALUE"""),"MI 80 cm (32 inches) HD Ready Smart Android LED TV 5A Pro | L32M7-EAIN (Black)")</f>
        <v>MI 80 cm (32 inches) HD Ready Smart Android LED TV 5A Pro | L32M7-EAIN (Black)</v>
      </c>
      <c r="L206" s="17" t="str">
        <f>IFERROR(__xludf.DUMMYFUNCTION("""COMPUTED_VALUE"""),"Electronics|HomeTheater,TV&amp;Video|Televisions|SmartTelevisions")</f>
        <v>Electronics|HomeTheater,TV&amp;Video|Televisions|SmartTelevisions</v>
      </c>
      <c r="M206" s="23">
        <f>IFERROR(__xludf.DUMMYFUNCTION("""COMPUTED_VALUE"""),16999.0)</f>
        <v>16999</v>
      </c>
      <c r="N206" s="23">
        <f>IFERROR(__xludf.DUMMYFUNCTION("""COMPUTED_VALUE"""),25999.0)</f>
        <v>25999</v>
      </c>
      <c r="O206" s="24">
        <f>IFERROR(__xludf.DUMMYFUNCTION("""COMPUTED_VALUE"""),0.35)</f>
        <v>0.35</v>
      </c>
      <c r="P206" s="17">
        <f>IFERROR(__xludf.DUMMYFUNCTION("""COMPUTED_VALUE"""),4.2)</f>
        <v>4.2</v>
      </c>
      <c r="Q206" s="25">
        <f>IFERROR(__xludf.DUMMYFUNCTION("""COMPUTED_VALUE"""),32840.0)</f>
        <v>32840</v>
      </c>
    </row>
    <row r="207">
      <c r="A207" s="7" t="s">
        <v>236</v>
      </c>
      <c r="B207" s="7" t="s">
        <v>15</v>
      </c>
      <c r="C207" s="8">
        <v>449.0</v>
      </c>
      <c r="D207" s="8">
        <v>599.0</v>
      </c>
      <c r="E207" s="19">
        <v>0.25</v>
      </c>
      <c r="F207" s="10">
        <v>4.0</v>
      </c>
      <c r="G207" s="11">
        <v>3231.0</v>
      </c>
      <c r="K207" s="17" t="str">
        <f>IFERROR(__xludf.DUMMYFUNCTION("""COMPUTED_VALUE"""),"Bestor ® 8K Hdmi 2.1 Cable 48Gbps 9.80Ft/Ultra High Speed Hdmi Braided Cord For Roku Tv/Ps5/Hdtv/Blu-Ray Projector, Laptop, Television, Personal Computer, Xbox, Ps4, Ps5, Ps4 Pro (1 M, Grey)")</f>
        <v>Bestor ® 8K Hdmi 2.1 Cable 48Gbps 9.80Ft/Ultra High Speed Hdmi Braided Cord For Roku Tv/Ps5/Hdtv/Blu-Ray Projector, Laptop, Television, Personal Computer, Xbox, Ps4, Ps5, Ps4 Pro (1 M, Grey)</v>
      </c>
      <c r="L207" s="17" t="str">
        <f>IFERROR(__xludf.DUMMYFUNCTION("""COMPUTED_VALUE"""),"Electronics|HomeTheater,TV&amp;Video|Accessories|Cables|HDMICables")</f>
        <v>Electronics|HomeTheater,TV&amp;Video|Accessories|Cables|HDMICables</v>
      </c>
      <c r="M207" s="23">
        <f>IFERROR(__xludf.DUMMYFUNCTION("""COMPUTED_VALUE"""),699.0)</f>
        <v>699</v>
      </c>
      <c r="N207" s="23">
        <f>IFERROR(__xludf.DUMMYFUNCTION("""COMPUTED_VALUE"""),1899.0)</f>
        <v>1899</v>
      </c>
      <c r="O207" s="24">
        <f>IFERROR(__xludf.DUMMYFUNCTION("""COMPUTED_VALUE"""),0.63)</f>
        <v>0.63</v>
      </c>
      <c r="P207" s="17">
        <f>IFERROR(__xludf.DUMMYFUNCTION("""COMPUTED_VALUE"""),4.4)</f>
        <v>4.4</v>
      </c>
      <c r="Q207" s="17">
        <f>IFERROR(__xludf.DUMMYFUNCTION("""COMPUTED_VALUE"""),390.0)</f>
        <v>390</v>
      </c>
    </row>
    <row r="208">
      <c r="A208" s="7" t="s">
        <v>237</v>
      </c>
      <c r="B208" s="7" t="s">
        <v>37</v>
      </c>
      <c r="C208" s="8">
        <v>11990.0</v>
      </c>
      <c r="D208" s="8">
        <v>31990.0</v>
      </c>
      <c r="E208" s="19">
        <v>0.63</v>
      </c>
      <c r="F208" s="10">
        <v>4.2</v>
      </c>
      <c r="G208" s="10">
        <v>64.0</v>
      </c>
      <c r="K208" s="17" t="str">
        <f>IFERROR(__xludf.DUMMYFUNCTION("""COMPUTED_VALUE"""),"Amazon Brand - Solimo Fast Charging Braided Type C Data Cable Seam, Suitable For All Supported Mobile Phones (1 Meter, Black)")</f>
        <v>Amazon Brand - Solimo Fast Charging Braided Type C Data Cable Seam, Suitable For All Supported Mobile Phones (1 Meter, Black)</v>
      </c>
      <c r="L208" s="17" t="str">
        <f>IFERROR(__xludf.DUMMYFUNCTION("""COMPUTED_VALUE"""),"Computers&amp;Accessories|Accessories&amp;Peripherals|Cables&amp;Accessories|Cables|USBCables")</f>
        <v>Computers&amp;Accessories|Accessories&amp;Peripherals|Cables&amp;Accessories|Cables|USBCables</v>
      </c>
      <c r="M208" s="23">
        <f>IFERROR(__xludf.DUMMYFUNCTION("""COMPUTED_VALUE"""),129.0)</f>
        <v>129</v>
      </c>
      <c r="N208" s="23">
        <f>IFERROR(__xludf.DUMMYFUNCTION("""COMPUTED_VALUE"""),599.0)</f>
        <v>599</v>
      </c>
      <c r="O208" s="24">
        <f>IFERROR(__xludf.DUMMYFUNCTION("""COMPUTED_VALUE"""),0.78)</f>
        <v>0.78</v>
      </c>
      <c r="P208" s="17">
        <f>IFERROR(__xludf.DUMMYFUNCTION("""COMPUTED_VALUE"""),4.1)</f>
        <v>4.1</v>
      </c>
      <c r="Q208" s="17">
        <f>IFERROR(__xludf.DUMMYFUNCTION("""COMPUTED_VALUE"""),265.0)</f>
        <v>265</v>
      </c>
    </row>
    <row r="209">
      <c r="A209" s="7" t="s">
        <v>238</v>
      </c>
      <c r="B209" s="7" t="s">
        <v>15</v>
      </c>
      <c r="C209" s="8">
        <v>350.0</v>
      </c>
      <c r="D209" s="8">
        <v>599.0</v>
      </c>
      <c r="E209" s="19">
        <v>0.42</v>
      </c>
      <c r="F209" s="10">
        <v>3.9</v>
      </c>
      <c r="G209" s="11">
        <v>8314.0</v>
      </c>
      <c r="K209" s="17" t="str">
        <f>IFERROR(__xludf.DUMMYFUNCTION("""COMPUTED_VALUE"""),"Synqe USB C to USB C 60W Nylon Braided Fast Charging Type C to Type C Cable Compatible with Samsung Galaxy Note 20/Ultra, S20 S22 S21 S20 FE A73 A53 A33 (2M, Black)")</f>
        <v>Synqe USB C to USB C 60W Nylon Braided Fast Charging Type C to Type C Cable Compatible with Samsung Galaxy Note 20/Ultra, S20 S22 S21 S20 FE A73 A53 A33 (2M, Black)</v>
      </c>
      <c r="L209" s="17" t="str">
        <f>IFERROR(__xludf.DUMMYFUNCTION("""COMPUTED_VALUE"""),"Computers&amp;Accessories|Accessories&amp;Peripherals|Cables&amp;Accessories|Cables|USBCables")</f>
        <v>Computers&amp;Accessories|Accessories&amp;Peripherals|Cables&amp;Accessories|Cables|USBCables</v>
      </c>
      <c r="M209" s="23">
        <f>IFERROR(__xludf.DUMMYFUNCTION("""COMPUTED_VALUE"""),389.0)</f>
        <v>389</v>
      </c>
      <c r="N209" s="23">
        <f>IFERROR(__xludf.DUMMYFUNCTION("""COMPUTED_VALUE"""),999.0)</f>
        <v>999</v>
      </c>
      <c r="O209" s="24">
        <f>IFERROR(__xludf.DUMMYFUNCTION("""COMPUTED_VALUE"""),0.61)</f>
        <v>0.61</v>
      </c>
      <c r="P209" s="17">
        <f>IFERROR(__xludf.DUMMYFUNCTION("""COMPUTED_VALUE"""),4.3)</f>
        <v>4.3</v>
      </c>
      <c r="Q209" s="17">
        <f>IFERROR(__xludf.DUMMYFUNCTION("""COMPUTED_VALUE"""),838.0)</f>
        <v>838</v>
      </c>
    </row>
    <row r="210">
      <c r="A210" s="7" t="s">
        <v>239</v>
      </c>
      <c r="B210" s="7" t="s">
        <v>15</v>
      </c>
      <c r="C210" s="8">
        <v>252.0</v>
      </c>
      <c r="D210" s="8">
        <v>999.0</v>
      </c>
      <c r="E210" s="19">
        <v>0.75</v>
      </c>
      <c r="F210" s="10">
        <v>3.7</v>
      </c>
      <c r="G210" s="11">
        <v>2249.0</v>
      </c>
      <c r="K210" s="17" t="str">
        <f>IFERROR(__xludf.DUMMYFUNCTION("""COMPUTED_VALUE"""),"Shopoflux Silicone Remote Cover for Mi Smart TV and Mi TV Stick/MI Box S / 3S / MI 4X / 4A Smart LED TV (Black)")</f>
        <v>Shopoflux Silicone Remote Cover for Mi Smart TV and Mi TV Stick/MI Box S / 3S / MI 4X / 4A Smart LED TV (Black)</v>
      </c>
      <c r="L210" s="17" t="str">
        <f>IFERROR(__xludf.DUMMYFUNCTION("""COMPUTED_VALUE"""),"Electronics|HomeTheater,TV&amp;Video|Accessories|RemoteControls")</f>
        <v>Electronics|HomeTheater,TV&amp;Video|Accessories|RemoteControls</v>
      </c>
      <c r="M210" s="23">
        <f>IFERROR(__xludf.DUMMYFUNCTION("""COMPUTED_VALUE"""),246.0)</f>
        <v>246</v>
      </c>
      <c r="N210" s="23">
        <f>IFERROR(__xludf.DUMMYFUNCTION("""COMPUTED_VALUE"""),600.0)</f>
        <v>600</v>
      </c>
      <c r="O210" s="24">
        <f>IFERROR(__xludf.DUMMYFUNCTION("""COMPUTED_VALUE"""),0.59)</f>
        <v>0.59</v>
      </c>
      <c r="P210" s="17">
        <f>IFERROR(__xludf.DUMMYFUNCTION("""COMPUTED_VALUE"""),4.2)</f>
        <v>4.2</v>
      </c>
      <c r="Q210" s="17">
        <f>IFERROR(__xludf.DUMMYFUNCTION("""COMPUTED_VALUE"""),143.0)</f>
        <v>143</v>
      </c>
    </row>
    <row r="211">
      <c r="A211" s="7" t="s">
        <v>240</v>
      </c>
      <c r="B211" s="7" t="s">
        <v>71</v>
      </c>
      <c r="C211" s="8">
        <v>204.0</v>
      </c>
      <c r="D211" s="8">
        <v>599.0</v>
      </c>
      <c r="E211" s="19">
        <v>0.66</v>
      </c>
      <c r="F211" s="10">
        <v>3.6</v>
      </c>
      <c r="G211" s="10">
        <v>339.0</v>
      </c>
      <c r="K211" s="17" t="str">
        <f>IFERROR(__xludf.DUMMYFUNCTION("""COMPUTED_VALUE"""),"Mi 80 cm (32 inches) HD Ready Android Smart LED TV 4A PRO | L32M5-AL (Black)")</f>
        <v>Mi 80 cm (32 inches) HD Ready Android Smart LED TV 4A PRO | L32M5-AL (Black)</v>
      </c>
      <c r="L211" s="17" t="str">
        <f>IFERROR(__xludf.DUMMYFUNCTION("""COMPUTED_VALUE"""),"Electronics|HomeTheater,TV&amp;Video|Televisions|SmartTelevisions")</f>
        <v>Electronics|HomeTheater,TV&amp;Video|Televisions|SmartTelevisions</v>
      </c>
      <c r="M211" s="23">
        <f>IFERROR(__xludf.DUMMYFUNCTION("""COMPUTED_VALUE"""),14999.0)</f>
        <v>14999</v>
      </c>
      <c r="N211" s="23">
        <f>IFERROR(__xludf.DUMMYFUNCTION("""COMPUTED_VALUE"""),14999.0)</f>
        <v>14999</v>
      </c>
      <c r="O211" s="24">
        <f>IFERROR(__xludf.DUMMYFUNCTION("""COMPUTED_VALUE"""),0.0)</f>
        <v>0</v>
      </c>
      <c r="P211" s="17">
        <f>IFERROR(__xludf.DUMMYFUNCTION("""COMPUTED_VALUE"""),4.3)</f>
        <v>4.3</v>
      </c>
      <c r="Q211" s="25">
        <f>IFERROR(__xludf.DUMMYFUNCTION("""COMPUTED_VALUE"""),27508.0)</f>
        <v>27508</v>
      </c>
    </row>
    <row r="212">
      <c r="A212" s="7" t="s">
        <v>241</v>
      </c>
      <c r="B212" s="7" t="s">
        <v>187</v>
      </c>
      <c r="C212" s="8">
        <v>6490.0</v>
      </c>
      <c r="D212" s="8">
        <v>9990.0</v>
      </c>
      <c r="E212" s="19">
        <v>0.35</v>
      </c>
      <c r="F212" s="10">
        <v>4.0</v>
      </c>
      <c r="G212" s="10">
        <v>27.0</v>
      </c>
      <c r="K212" s="17" t="str">
        <f>IFERROR(__xludf.DUMMYFUNCTION("""COMPUTED_VALUE"""),"TCL 108 cm (43 inches) 4K Ultra HD Certified Android Smart LED TV 43P615 (Black)")</f>
        <v>TCL 108 cm (43 inches) 4K Ultra HD Certified Android Smart LED TV 43P615 (Black)</v>
      </c>
      <c r="L212" s="17" t="str">
        <f>IFERROR(__xludf.DUMMYFUNCTION("""COMPUTED_VALUE"""),"Electronics|HomeTheater,TV&amp;Video|Televisions|SmartTelevisions")</f>
        <v>Electronics|HomeTheater,TV&amp;Video|Televisions|SmartTelevisions</v>
      </c>
      <c r="M212" s="23">
        <f>IFERROR(__xludf.DUMMYFUNCTION("""COMPUTED_VALUE"""),24990.0)</f>
        <v>24990</v>
      </c>
      <c r="N212" s="23">
        <f>IFERROR(__xludf.DUMMYFUNCTION("""COMPUTED_VALUE"""),51990.0)</f>
        <v>51990</v>
      </c>
      <c r="O212" s="24">
        <f>IFERROR(__xludf.DUMMYFUNCTION("""COMPUTED_VALUE"""),0.52)</f>
        <v>0.52</v>
      </c>
      <c r="P212" s="17">
        <f>IFERROR(__xludf.DUMMYFUNCTION("""COMPUTED_VALUE"""),4.2)</f>
        <v>4.2</v>
      </c>
      <c r="Q212" s="25">
        <f>IFERROR(__xludf.DUMMYFUNCTION("""COMPUTED_VALUE"""),2951.0)</f>
        <v>2951</v>
      </c>
    </row>
    <row r="213">
      <c r="A213" s="7" t="s">
        <v>242</v>
      </c>
      <c r="B213" s="7" t="s">
        <v>71</v>
      </c>
      <c r="C213" s="8">
        <v>235.0</v>
      </c>
      <c r="D213" s="8">
        <v>599.0</v>
      </c>
      <c r="E213" s="19">
        <v>0.61</v>
      </c>
      <c r="F213" s="10">
        <v>3.5</v>
      </c>
      <c r="G213" s="10">
        <v>197.0</v>
      </c>
      <c r="K213" s="17" t="str">
        <f>IFERROR(__xludf.DUMMYFUNCTION("""COMPUTED_VALUE"""),"REDTECH USB-C to Lightning Cable 3.3FT, [Apple MFi Certified] Lightning to Type C Fast Charging Cord Compatible with iPhone 14/13/13 pro/Max/12/11/X/XS/XR/8, Supports Power Delivery - White")</f>
        <v>REDTECH USB-C to Lightning Cable 3.3FT, [Apple MFi Certified] Lightning to Type C Fast Charging Cord Compatible with iPhone 14/13/13 pro/Max/12/11/X/XS/XR/8, Supports Power Delivery - White</v>
      </c>
      <c r="L213" s="17" t="str">
        <f>IFERROR(__xludf.DUMMYFUNCTION("""COMPUTED_VALUE"""),"Computers&amp;Accessories|Accessories&amp;Peripherals|Cables&amp;Accessories|Cables|USBCables")</f>
        <v>Computers&amp;Accessories|Accessories&amp;Peripherals|Cables&amp;Accessories|Cables|USBCables</v>
      </c>
      <c r="M213" s="23">
        <f>IFERROR(__xludf.DUMMYFUNCTION("""COMPUTED_VALUE"""),249.0)</f>
        <v>249</v>
      </c>
      <c r="N213" s="23">
        <f>IFERROR(__xludf.DUMMYFUNCTION("""COMPUTED_VALUE"""),999.0)</f>
        <v>999</v>
      </c>
      <c r="O213" s="24">
        <f>IFERROR(__xludf.DUMMYFUNCTION("""COMPUTED_VALUE"""),0.75)</f>
        <v>0.75</v>
      </c>
      <c r="P213" s="17">
        <f>IFERROR(__xludf.DUMMYFUNCTION("""COMPUTED_VALUE"""),5.0)</f>
        <v>5</v>
      </c>
      <c r="Q213" s="17"/>
    </row>
    <row r="214">
      <c r="A214" s="7" t="s">
        <v>243</v>
      </c>
      <c r="B214" s="7" t="s">
        <v>15</v>
      </c>
      <c r="C214" s="8">
        <v>299.0</v>
      </c>
      <c r="D214" s="8">
        <v>800.0</v>
      </c>
      <c r="E214" s="19">
        <v>0.63</v>
      </c>
      <c r="F214" s="10">
        <v>4.5</v>
      </c>
      <c r="G214" s="11">
        <v>74977.0</v>
      </c>
      <c r="K214" s="17" t="str">
        <f>IFERROR(__xludf.DUMMYFUNCTION("""COMPUTED_VALUE"""),"OnePlus 163.8 cm (65 inches) U Series 4K LED Smart Android TV 65U1S (Black)")</f>
        <v>OnePlus 163.8 cm (65 inches) U Series 4K LED Smart Android TV 65U1S (Black)</v>
      </c>
      <c r="L214" s="17" t="str">
        <f>IFERROR(__xludf.DUMMYFUNCTION("""COMPUTED_VALUE"""),"Electronics|HomeTheater,TV&amp;Video|Televisions|SmartTelevisions")</f>
        <v>Electronics|HomeTheater,TV&amp;Video|Televisions|SmartTelevisions</v>
      </c>
      <c r="M214" s="23">
        <f>IFERROR(__xludf.DUMMYFUNCTION("""COMPUTED_VALUE"""),61999.0)</f>
        <v>61999</v>
      </c>
      <c r="N214" s="23">
        <f>IFERROR(__xludf.DUMMYFUNCTION("""COMPUTED_VALUE"""),69999.0)</f>
        <v>69999</v>
      </c>
      <c r="O214" s="24">
        <f>IFERROR(__xludf.DUMMYFUNCTION("""COMPUTED_VALUE"""),0.11)</f>
        <v>0.11</v>
      </c>
      <c r="P214" s="17">
        <f>IFERROR(__xludf.DUMMYFUNCTION("""COMPUTED_VALUE"""),4.1)</f>
        <v>4.1</v>
      </c>
      <c r="Q214" s="25">
        <f>IFERROR(__xludf.DUMMYFUNCTION("""COMPUTED_VALUE"""),6753.0)</f>
        <v>6753</v>
      </c>
    </row>
    <row r="215">
      <c r="A215" s="7" t="s">
        <v>244</v>
      </c>
      <c r="B215" s="7" t="s">
        <v>15</v>
      </c>
      <c r="C215" s="8">
        <v>799.0</v>
      </c>
      <c r="D215" s="8">
        <v>1999.0</v>
      </c>
      <c r="E215" s="19">
        <v>0.6</v>
      </c>
      <c r="F215" s="10">
        <v>4.2</v>
      </c>
      <c r="G215" s="11">
        <v>8583.0</v>
      </c>
      <c r="K215" s="17" t="str">
        <f>IFERROR(__xludf.DUMMYFUNCTION("""COMPUTED_VALUE"""),"Kodak 80 cm (32 inches) HD Ready Certified Android Smart LED TV 32HDX7XPROBL (Black)")</f>
        <v>Kodak 80 cm (32 inches) HD Ready Certified Android Smart LED TV 32HDX7XPROBL (Black)</v>
      </c>
      <c r="L215" s="17" t="str">
        <f>IFERROR(__xludf.DUMMYFUNCTION("""COMPUTED_VALUE"""),"Electronics|HomeTheater,TV&amp;Video|Televisions|SmartTelevisions")</f>
        <v>Electronics|HomeTheater,TV&amp;Video|Televisions|SmartTelevisions</v>
      </c>
      <c r="M215" s="23">
        <f>IFERROR(__xludf.DUMMYFUNCTION("""COMPUTED_VALUE"""),10499.0)</f>
        <v>10499</v>
      </c>
      <c r="N215" s="23">
        <f>IFERROR(__xludf.DUMMYFUNCTION("""COMPUTED_VALUE"""),19499.0)</f>
        <v>19499</v>
      </c>
      <c r="O215" s="24">
        <f>IFERROR(__xludf.DUMMYFUNCTION("""COMPUTED_VALUE"""),0.46)</f>
        <v>0.46</v>
      </c>
      <c r="P215" s="17">
        <f>IFERROR(__xludf.DUMMYFUNCTION("""COMPUTED_VALUE"""),4.2)</f>
        <v>4.2</v>
      </c>
      <c r="Q215" s="25">
        <f>IFERROR(__xludf.DUMMYFUNCTION("""COMPUTED_VALUE"""),1510.0)</f>
        <v>1510</v>
      </c>
    </row>
    <row r="216">
      <c r="A216" s="7" t="s">
        <v>245</v>
      </c>
      <c r="B216" s="7" t="s">
        <v>71</v>
      </c>
      <c r="C216" s="8">
        <v>299.0</v>
      </c>
      <c r="D216" s="8">
        <v>999.0</v>
      </c>
      <c r="E216" s="19">
        <v>0.7</v>
      </c>
      <c r="F216" s="10">
        <v>3.8</v>
      </c>
      <c r="G216" s="10">
        <v>928.0</v>
      </c>
      <c r="K216" s="17" t="str">
        <f>IFERROR(__xludf.DUMMYFUNCTION("""COMPUTED_VALUE"""),"Synqe Type C to Type C Short Fast Charging 60W Cable Compatible with Samsung Galaxy Z Fold3 5G, Z Flip3 5G, S22 5G, S22 Ultra, S21, S20, S20FE, A52, A73, A53 (0.25M, Black)")</f>
        <v>Synqe Type C to Type C Short Fast Charging 60W Cable Compatible with Samsung Galaxy Z Fold3 5G, Z Flip3 5G, S22 5G, S22 Ultra, S21, S20, S20FE, A52, A73, A53 (0.25M, Black)</v>
      </c>
      <c r="L216" s="17" t="str">
        <f>IFERROR(__xludf.DUMMYFUNCTION("""COMPUTED_VALUE"""),"Computers&amp;Accessories|Accessories&amp;Peripherals|Cables&amp;Accessories|Cables|USBCables")</f>
        <v>Computers&amp;Accessories|Accessories&amp;Peripherals|Cables&amp;Accessories|Cables|USBCables</v>
      </c>
      <c r="M216" s="23">
        <f>IFERROR(__xludf.DUMMYFUNCTION("""COMPUTED_VALUE"""),349.0)</f>
        <v>349</v>
      </c>
      <c r="N216" s="23">
        <f>IFERROR(__xludf.DUMMYFUNCTION("""COMPUTED_VALUE"""),999.0)</f>
        <v>999</v>
      </c>
      <c r="O216" s="24">
        <f>IFERROR(__xludf.DUMMYFUNCTION("""COMPUTED_VALUE"""),0.65)</f>
        <v>0.65</v>
      </c>
      <c r="P216" s="17">
        <f>IFERROR(__xludf.DUMMYFUNCTION("""COMPUTED_VALUE"""),4.3)</f>
        <v>4.3</v>
      </c>
      <c r="Q216" s="17">
        <f>IFERROR(__xludf.DUMMYFUNCTION("""COMPUTED_VALUE"""),838.0)</f>
        <v>838</v>
      </c>
    </row>
    <row r="217">
      <c r="A217" s="7" t="s">
        <v>246</v>
      </c>
      <c r="B217" s="7" t="s">
        <v>77</v>
      </c>
      <c r="C217" s="8">
        <v>6999.0</v>
      </c>
      <c r="D217" s="8">
        <v>16990.0</v>
      </c>
      <c r="E217" s="19">
        <v>0.59</v>
      </c>
      <c r="F217" s="10">
        <v>3.8</v>
      </c>
      <c r="G217" s="10">
        <v>110.0</v>
      </c>
      <c r="K217" s="17" t="str">
        <f>IFERROR(__xludf.DUMMYFUNCTION("""COMPUTED_VALUE"""),"Airtel Digital TV HD Set Top Box with FTA Pack | Unlimited Entertainment + Recording Feature + Free Standard Installation (6 Months Pack)")</f>
        <v>Airtel Digital TV HD Set Top Box with FTA Pack | Unlimited Entertainment + Recording Feature + Free Standard Installation (6 Months Pack)</v>
      </c>
      <c r="L217" s="17" t="str">
        <f>IFERROR(__xludf.DUMMYFUNCTION("""COMPUTED_VALUE"""),"Electronics|HomeTheater,TV&amp;Video|SatelliteEquipment|SatelliteReceivers")</f>
        <v>Electronics|HomeTheater,TV&amp;Video|SatelliteEquipment|SatelliteReceivers</v>
      </c>
      <c r="M217" s="23">
        <f>IFERROR(__xludf.DUMMYFUNCTION("""COMPUTED_VALUE"""),1299.0)</f>
        <v>1299</v>
      </c>
      <c r="N217" s="23">
        <f>IFERROR(__xludf.DUMMYFUNCTION("""COMPUTED_VALUE"""),2499.0)</f>
        <v>2499</v>
      </c>
      <c r="O217" s="24">
        <f>IFERROR(__xludf.DUMMYFUNCTION("""COMPUTED_VALUE"""),0.48)</f>
        <v>0.48</v>
      </c>
      <c r="P217" s="17">
        <f>IFERROR(__xludf.DUMMYFUNCTION("""COMPUTED_VALUE"""),4.3)</f>
        <v>4.3</v>
      </c>
      <c r="Q217" s="17">
        <f>IFERROR(__xludf.DUMMYFUNCTION("""COMPUTED_VALUE"""),301.0)</f>
        <v>301</v>
      </c>
    </row>
    <row r="218">
      <c r="A218" s="7" t="s">
        <v>247</v>
      </c>
      <c r="B218" s="7" t="s">
        <v>37</v>
      </c>
      <c r="C218" s="8">
        <v>42999.0</v>
      </c>
      <c r="D218" s="8">
        <v>59999.0</v>
      </c>
      <c r="E218" s="19">
        <v>0.28</v>
      </c>
      <c r="F218" s="10">
        <v>4.1</v>
      </c>
      <c r="G218" s="11">
        <v>6753.0</v>
      </c>
      <c r="K218" s="17" t="str">
        <f>IFERROR(__xludf.DUMMYFUNCTION("""COMPUTED_VALUE"""),"ESR USB C to Lightning Cable, 10 ft (3 m), MFi-Certified, Braided Nylon Power Delivery Fast Charging for iPhone 14/14 Plus/14 Pro/14 Pro Max, iPhone 13/12/11/X/8 Series, Use with Type-C Chargers, Black")</f>
        <v>ESR USB C to Lightning Cable, 10 ft (3 m), MFi-Certified, Braided Nylon Power Delivery Fast Charging for iPhone 14/14 Plus/14 Pro/14 Pro Max, iPhone 13/12/11/X/8 Series, Use with Type-C Chargers, Black</v>
      </c>
      <c r="L218" s="17" t="str">
        <f>IFERROR(__xludf.DUMMYFUNCTION("""COMPUTED_VALUE"""),"Computers&amp;Accessories|Accessories&amp;Peripherals|Cables&amp;Accessories|Cables|USBCables")</f>
        <v>Computers&amp;Accessories|Accessories&amp;Peripherals|Cables&amp;Accessories|Cables|USBCables</v>
      </c>
      <c r="M218" s="23">
        <f>IFERROR(__xludf.DUMMYFUNCTION("""COMPUTED_VALUE"""),1519.0)</f>
        <v>1519</v>
      </c>
      <c r="N218" s="23">
        <f>IFERROR(__xludf.DUMMYFUNCTION("""COMPUTED_VALUE"""),1899.0)</f>
        <v>1899</v>
      </c>
      <c r="O218" s="24">
        <f>IFERROR(__xludf.DUMMYFUNCTION("""COMPUTED_VALUE"""),0.2)</f>
        <v>0.2</v>
      </c>
      <c r="P218" s="17">
        <f>IFERROR(__xludf.DUMMYFUNCTION("""COMPUTED_VALUE"""),4.4)</f>
        <v>4.4</v>
      </c>
      <c r="Q218" s="25">
        <f>IFERROR(__xludf.DUMMYFUNCTION("""COMPUTED_VALUE"""),19763.0)</f>
        <v>19763</v>
      </c>
    </row>
    <row r="219">
      <c r="A219" s="7" t="s">
        <v>248</v>
      </c>
      <c r="B219" s="7" t="s">
        <v>31</v>
      </c>
      <c r="C219" s="8">
        <v>173.0</v>
      </c>
      <c r="D219" s="8">
        <v>999.0</v>
      </c>
      <c r="E219" s="19">
        <v>0.83</v>
      </c>
      <c r="F219" s="10">
        <v>4.3</v>
      </c>
      <c r="G219" s="11">
        <v>1237.0</v>
      </c>
      <c r="K219" s="17" t="str">
        <f>IFERROR(__xludf.DUMMYFUNCTION("""COMPUTED_VALUE"""),"MI 138.8 cm (55 inches) 5X Series 4K Ultra HD LED Smart Android TV L55M6-ES (Grey)")</f>
        <v>MI 138.8 cm (55 inches) 5X Series 4K Ultra HD LED Smart Android TV L55M6-ES (Grey)</v>
      </c>
      <c r="L219" s="17" t="str">
        <f>IFERROR(__xludf.DUMMYFUNCTION("""COMPUTED_VALUE"""),"Electronics|HomeTheater,TV&amp;Video|Televisions|SmartTelevisions")</f>
        <v>Electronics|HomeTheater,TV&amp;Video|Televisions|SmartTelevisions</v>
      </c>
      <c r="M219" s="23">
        <f>IFERROR(__xludf.DUMMYFUNCTION("""COMPUTED_VALUE"""),46999.0)</f>
        <v>46999</v>
      </c>
      <c r="N219" s="23">
        <f>IFERROR(__xludf.DUMMYFUNCTION("""COMPUTED_VALUE"""),69999.0)</f>
        <v>69999</v>
      </c>
      <c r="O219" s="24">
        <f>IFERROR(__xludf.DUMMYFUNCTION("""COMPUTED_VALUE"""),0.33)</f>
        <v>0.33</v>
      </c>
      <c r="P219" s="17">
        <f>IFERROR(__xludf.DUMMYFUNCTION("""COMPUTED_VALUE"""),4.3)</f>
        <v>4.3</v>
      </c>
      <c r="Q219" s="25">
        <f>IFERROR(__xludf.DUMMYFUNCTION("""COMPUTED_VALUE"""),21252.0)</f>
        <v>21252</v>
      </c>
    </row>
    <row r="220">
      <c r="A220" s="7" t="s">
        <v>249</v>
      </c>
      <c r="B220" s="7" t="s">
        <v>250</v>
      </c>
      <c r="C220" s="8">
        <v>209.0</v>
      </c>
      <c r="D220" s="8">
        <v>600.0</v>
      </c>
      <c r="E220" s="19">
        <v>0.65</v>
      </c>
      <c r="F220" s="10">
        <v>4.4</v>
      </c>
      <c r="G220" s="11">
        <v>18872.0</v>
      </c>
      <c r="K220" s="17" t="str">
        <f>IFERROR(__xludf.DUMMYFUNCTION("""COMPUTED_VALUE"""),"Storite USB Extension Cable USB 3.0 Male to Female Extension Cable High Speed 5GBps Extension Cable Data Transfer for Keyboard, Mouse, Flash Drive, Hard Drive, Printer and More- 1.5M - Blue")</f>
        <v>Storite USB Extension Cable USB 3.0 Male to Female Extension Cable High Speed 5GBps Extension Cable Data Transfer for Keyboard, Mouse, Flash Drive, Hard Drive, Printer and More- 1.5M - Blue</v>
      </c>
      <c r="L220" s="17" t="str">
        <f>IFERROR(__xludf.DUMMYFUNCTION("""COMPUTED_VALUE"""),"Computers&amp;Accessories|Accessories&amp;Peripherals|Cables&amp;Accessories|Cables|USBCables")</f>
        <v>Computers&amp;Accessories|Accessories&amp;Peripherals|Cables&amp;Accessories|Cables|USBCables</v>
      </c>
      <c r="M220" s="23">
        <f>IFERROR(__xludf.DUMMYFUNCTION("""COMPUTED_VALUE"""),299.0)</f>
        <v>299</v>
      </c>
      <c r="N220" s="23">
        <f>IFERROR(__xludf.DUMMYFUNCTION("""COMPUTED_VALUE"""),799.0)</f>
        <v>799</v>
      </c>
      <c r="O220" s="24">
        <f>IFERROR(__xludf.DUMMYFUNCTION("""COMPUTED_VALUE"""),0.63)</f>
        <v>0.63</v>
      </c>
      <c r="P220" s="17">
        <f>IFERROR(__xludf.DUMMYFUNCTION("""COMPUTED_VALUE"""),4.3)</f>
        <v>4.3</v>
      </c>
      <c r="Q220" s="25">
        <f>IFERROR(__xludf.DUMMYFUNCTION("""COMPUTED_VALUE"""),1902.0)</f>
        <v>1902</v>
      </c>
    </row>
    <row r="221">
      <c r="A221" s="7" t="s">
        <v>251</v>
      </c>
      <c r="B221" s="7" t="s">
        <v>15</v>
      </c>
      <c r="C221" s="8">
        <v>848.99</v>
      </c>
      <c r="D221" s="8">
        <v>1490.0</v>
      </c>
      <c r="E221" s="19">
        <v>0.43</v>
      </c>
      <c r="F221" s="10">
        <v>3.9</v>
      </c>
      <c r="G221" s="10">
        <v>356.0</v>
      </c>
      <c r="K221" s="17" t="str">
        <f>IFERROR(__xludf.DUMMYFUNCTION("""COMPUTED_VALUE"""),"Fire-Boltt Ninja Call Pro Plus 1.83"" Smart Watch with Bluetooth Calling, AI Voice Assistance, 100 Sports Modes IP67 Rating, 240*280 Pixel High Resolution")</f>
        <v>Fire-Boltt Ninja Call Pro Plus 1.83" Smart Watch with Bluetooth Calling, AI Voice Assistance, 100 Sports Modes IP67 Rating, 240*280 Pixel High Resolution</v>
      </c>
      <c r="L221" s="17" t="str">
        <f>IFERROR(__xludf.DUMMYFUNCTION("""COMPUTED_VALUE"""),"Electronics|WearableTechnology|SmartWatches")</f>
        <v>Electronics|WearableTechnology|SmartWatches</v>
      </c>
      <c r="M221" s="23">
        <f>IFERROR(__xludf.DUMMYFUNCTION("""COMPUTED_VALUE"""),1799.0)</f>
        <v>1799</v>
      </c>
      <c r="N221" s="23">
        <f>IFERROR(__xludf.DUMMYFUNCTION("""COMPUTED_VALUE"""),19999.0)</f>
        <v>19999</v>
      </c>
      <c r="O221" s="24">
        <f>IFERROR(__xludf.DUMMYFUNCTION("""COMPUTED_VALUE"""),0.91)</f>
        <v>0.91</v>
      </c>
      <c r="P221" s="17">
        <f>IFERROR(__xludf.DUMMYFUNCTION("""COMPUTED_VALUE"""),4.2)</f>
        <v>4.2</v>
      </c>
      <c r="Q221" s="25">
        <f>IFERROR(__xludf.DUMMYFUNCTION("""COMPUTED_VALUE"""),13937.0)</f>
        <v>13937</v>
      </c>
    </row>
    <row r="222">
      <c r="A222" s="7" t="s">
        <v>252</v>
      </c>
      <c r="B222" s="7" t="s">
        <v>15</v>
      </c>
      <c r="C222" s="8">
        <v>649.0</v>
      </c>
      <c r="D222" s="8">
        <v>1999.0</v>
      </c>
      <c r="E222" s="19">
        <v>0.68</v>
      </c>
      <c r="F222" s="10">
        <v>4.2</v>
      </c>
      <c r="G222" s="11">
        <v>24269.0</v>
      </c>
      <c r="K222" s="17" t="str">
        <f>IFERROR(__xludf.DUMMYFUNCTION("""COMPUTED_VALUE"""),"Fire-Boltt Phoenix Smart Watch with Bluetooth Calling 1.3"",120+ Sports Modes, 240*240 PX High Res with SpO2, Heart Rate Monitoring &amp; IP67 Rating")</f>
        <v>Fire-Boltt Phoenix Smart Watch with Bluetooth Calling 1.3",120+ Sports Modes, 240*240 PX High Res with SpO2, Heart Rate Monitoring &amp; IP67 Rating</v>
      </c>
      <c r="L222" s="17" t="str">
        <f>IFERROR(__xludf.DUMMYFUNCTION("""COMPUTED_VALUE"""),"Electronics|WearableTechnology|SmartWatches")</f>
        <v>Electronics|WearableTechnology|SmartWatches</v>
      </c>
      <c r="M222" s="23">
        <f>IFERROR(__xludf.DUMMYFUNCTION("""COMPUTED_VALUE"""),1998.0)</f>
        <v>1998</v>
      </c>
      <c r="N222" s="23">
        <f>IFERROR(__xludf.DUMMYFUNCTION("""COMPUTED_VALUE"""),9999.0)</f>
        <v>9999</v>
      </c>
      <c r="O222" s="24">
        <f>IFERROR(__xludf.DUMMYFUNCTION("""COMPUTED_VALUE"""),0.8)</f>
        <v>0.8</v>
      </c>
      <c r="P222" s="17">
        <f>IFERROR(__xludf.DUMMYFUNCTION("""COMPUTED_VALUE"""),4.3)</f>
        <v>4.3</v>
      </c>
      <c r="Q222" s="25">
        <f>IFERROR(__xludf.DUMMYFUNCTION("""COMPUTED_VALUE"""),27696.0)</f>
        <v>27696</v>
      </c>
    </row>
    <row r="223">
      <c r="A223" s="7" t="s">
        <v>253</v>
      </c>
      <c r="B223" s="7" t="s">
        <v>71</v>
      </c>
      <c r="C223" s="8">
        <v>299.0</v>
      </c>
      <c r="D223" s="8">
        <v>899.0</v>
      </c>
      <c r="E223" s="19">
        <v>0.67</v>
      </c>
      <c r="F223" s="10">
        <v>3.8</v>
      </c>
      <c r="G223" s="10">
        <v>425.0</v>
      </c>
      <c r="K223" s="17" t="str">
        <f>IFERROR(__xludf.DUMMYFUNCTION("""COMPUTED_VALUE"""),"MI Power Bank 3i 20000mAh Lithium Polymer 18W Fast Power Delivery Charging | Input- Type C | Micro USB| Triple Output | Sandstone Black")</f>
        <v>MI Power Bank 3i 20000mAh Lithium Polymer 18W Fast Power Delivery Charging | Input- Type C | Micro USB| Triple Output | Sandstone Black</v>
      </c>
      <c r="L223" s="17" t="str">
        <f>IFERROR(__xludf.DUMMYFUNCTION("""COMPUTED_VALUE"""),"Electronics|Mobiles&amp;Accessories|MobileAccessories|Chargers|PowerBanks")</f>
        <v>Electronics|Mobiles&amp;Accessories|MobileAccessories|Chargers|PowerBanks</v>
      </c>
      <c r="M223" s="23">
        <f>IFERROR(__xludf.DUMMYFUNCTION("""COMPUTED_VALUE"""),2049.0)</f>
        <v>2049</v>
      </c>
      <c r="N223" s="23">
        <f>IFERROR(__xludf.DUMMYFUNCTION("""COMPUTED_VALUE"""),2199.0)</f>
        <v>2199</v>
      </c>
      <c r="O223" s="24">
        <f>IFERROR(__xludf.DUMMYFUNCTION("""COMPUTED_VALUE"""),0.07)</f>
        <v>0.07</v>
      </c>
      <c r="P223" s="17">
        <f>IFERROR(__xludf.DUMMYFUNCTION("""COMPUTED_VALUE"""),4.3)</f>
        <v>4.3</v>
      </c>
      <c r="Q223" s="17" t="str">
        <f>IFERROR(__xludf.DUMMYFUNCTION("""COMPUTED_VALUE"""),"1,78,912")</f>
        <v>1,78,912</v>
      </c>
    </row>
    <row r="224">
      <c r="A224" s="7" t="s">
        <v>254</v>
      </c>
      <c r="B224" s="7" t="s">
        <v>93</v>
      </c>
      <c r="C224" s="8">
        <v>399.0</v>
      </c>
      <c r="D224" s="8">
        <v>799.0</v>
      </c>
      <c r="E224" s="19">
        <v>0.5</v>
      </c>
      <c r="F224" s="10">
        <v>4.1</v>
      </c>
      <c r="G224" s="11">
        <v>1161.0</v>
      </c>
      <c r="K224" s="17" t="str">
        <f>IFERROR(__xludf.DUMMYFUNCTION("""COMPUTED_VALUE"""),"OnePlus Nord 2T 5G (Jade Fog, 8GB RAM, 128GB Storage)")</f>
        <v>OnePlus Nord 2T 5G (Jade Fog, 8GB RAM, 128GB Storage)</v>
      </c>
      <c r="L224" s="17" t="str">
        <f>IFERROR(__xludf.DUMMYFUNCTION("""COMPUTED_VALUE"""),"Electronics|Mobiles&amp;Accessories|Smartphones&amp;BasicMobiles|Smartphones")</f>
        <v>Electronics|Mobiles&amp;Accessories|Smartphones&amp;BasicMobiles|Smartphones</v>
      </c>
      <c r="M224" s="23">
        <f>IFERROR(__xludf.DUMMYFUNCTION("""COMPUTED_VALUE"""),28999.0)</f>
        <v>28999</v>
      </c>
      <c r="N224" s="23">
        <f>IFERROR(__xludf.DUMMYFUNCTION("""COMPUTED_VALUE"""),28999.0)</f>
        <v>28999</v>
      </c>
      <c r="O224" s="24">
        <f>IFERROR(__xludf.DUMMYFUNCTION("""COMPUTED_VALUE"""),0.0)</f>
        <v>0</v>
      </c>
      <c r="P224" s="17">
        <f>IFERROR(__xludf.DUMMYFUNCTION("""COMPUTED_VALUE"""),4.3)</f>
        <v>4.3</v>
      </c>
      <c r="Q224" s="25">
        <f>IFERROR(__xludf.DUMMYFUNCTION("""COMPUTED_VALUE"""),17415.0)</f>
        <v>17415</v>
      </c>
    </row>
    <row r="225">
      <c r="A225" s="7" t="s">
        <v>255</v>
      </c>
      <c r="B225" s="7" t="s">
        <v>15</v>
      </c>
      <c r="C225" s="8">
        <v>249.0</v>
      </c>
      <c r="D225" s="8">
        <v>499.0</v>
      </c>
      <c r="E225" s="19">
        <v>0.5</v>
      </c>
      <c r="F225" s="10">
        <v>4.1</v>
      </c>
      <c r="G225" s="11">
        <v>1508.0</v>
      </c>
      <c r="K225" s="17" t="str">
        <f>IFERROR(__xludf.DUMMYFUNCTION("""COMPUTED_VALUE"""),"OnePlus Nord 2T 5G (Gray Shadow, 8GB RAM, 128GB Storage)")</f>
        <v>OnePlus Nord 2T 5G (Gray Shadow, 8GB RAM, 128GB Storage)</v>
      </c>
      <c r="L225" s="17" t="str">
        <f>IFERROR(__xludf.DUMMYFUNCTION("""COMPUTED_VALUE"""),"Electronics|Mobiles&amp;Accessories|Smartphones&amp;BasicMobiles|Smartphones")</f>
        <v>Electronics|Mobiles&amp;Accessories|Smartphones&amp;BasicMobiles|Smartphones</v>
      </c>
      <c r="M225" s="23">
        <f>IFERROR(__xludf.DUMMYFUNCTION("""COMPUTED_VALUE"""),28999.0)</f>
        <v>28999</v>
      </c>
      <c r="N225" s="23">
        <f>IFERROR(__xludf.DUMMYFUNCTION("""COMPUTED_VALUE"""),28999.0)</f>
        <v>28999</v>
      </c>
      <c r="O225" s="24">
        <f>IFERROR(__xludf.DUMMYFUNCTION("""COMPUTED_VALUE"""),0.0)</f>
        <v>0</v>
      </c>
      <c r="P225" s="17">
        <f>IFERROR(__xludf.DUMMYFUNCTION("""COMPUTED_VALUE"""),4.3)</f>
        <v>4.3</v>
      </c>
      <c r="Q225" s="25">
        <f>IFERROR(__xludf.DUMMYFUNCTION("""COMPUTED_VALUE"""),17415.0)</f>
        <v>17415</v>
      </c>
    </row>
    <row r="226">
      <c r="A226" s="7" t="s">
        <v>256</v>
      </c>
      <c r="B226" s="7" t="s">
        <v>257</v>
      </c>
      <c r="C226" s="8">
        <v>1249.0</v>
      </c>
      <c r="D226" s="8">
        <v>2299.0</v>
      </c>
      <c r="E226" s="19">
        <v>0.46</v>
      </c>
      <c r="F226" s="10">
        <v>4.3</v>
      </c>
      <c r="G226" s="11">
        <v>7636.0</v>
      </c>
      <c r="K226" s="17" t="str">
        <f>IFERROR(__xludf.DUMMYFUNCTION("""COMPUTED_VALUE"""),"SanDisk Ultra® microSDXC™ UHS-I Card, 64GB, 140MB/s R, 10 Y Warranty, for Smartphones")</f>
        <v>SanDisk Ultra® microSDXC™ UHS-I Card, 64GB, 140MB/s R, 10 Y Warranty, for Smartphones</v>
      </c>
      <c r="L226" s="17" t="str">
        <f>IFERROR(__xludf.DUMMYFUNCTION("""COMPUTED_VALUE"""),"Electronics|Accessories|MemoryCards|MicroSD")</f>
        <v>Electronics|Accessories|MemoryCards|MicroSD</v>
      </c>
      <c r="M226" s="23">
        <f>IFERROR(__xludf.DUMMYFUNCTION("""COMPUTED_VALUE"""),569.0)</f>
        <v>569</v>
      </c>
      <c r="N226" s="23">
        <f>IFERROR(__xludf.DUMMYFUNCTION("""COMPUTED_VALUE"""),1000.0)</f>
        <v>1000</v>
      </c>
      <c r="O226" s="24">
        <f>IFERROR(__xludf.DUMMYFUNCTION("""COMPUTED_VALUE"""),0.43)</f>
        <v>0.43</v>
      </c>
      <c r="P226" s="17">
        <f>IFERROR(__xludf.DUMMYFUNCTION("""COMPUTED_VALUE"""),4.4)</f>
        <v>4.4</v>
      </c>
      <c r="Q226" s="25">
        <f>IFERROR(__xludf.DUMMYFUNCTION("""COMPUTED_VALUE"""),67259.0)</f>
        <v>67259</v>
      </c>
    </row>
    <row r="227">
      <c r="A227" s="7" t="s">
        <v>258</v>
      </c>
      <c r="B227" s="7" t="s">
        <v>71</v>
      </c>
      <c r="C227" s="8">
        <v>213.0</v>
      </c>
      <c r="D227" s="8">
        <v>499.0</v>
      </c>
      <c r="E227" s="19">
        <v>0.57</v>
      </c>
      <c r="F227" s="10">
        <v>3.7</v>
      </c>
      <c r="G227" s="10">
        <v>246.0</v>
      </c>
      <c r="K227" s="17" t="str">
        <f>IFERROR(__xludf.DUMMYFUNCTION("""COMPUTED_VALUE"""),"Noise Pulse Go Buzz Smart Watch Bluetooth Calling with 1.69"" Display, 550 NITS, 150+ Cloud Watch Face, SPo2, Heart Rate Tracking, 100 Sports Mode with Auto Detection, Longer Battery (Jet Black)")</f>
        <v>Noise Pulse Go Buzz Smart Watch Bluetooth Calling with 1.69" Display, 550 NITS, 150+ Cloud Watch Face, SPo2, Heart Rate Tracking, 100 Sports Mode with Auto Detection, Longer Battery (Jet Black)</v>
      </c>
      <c r="L227" s="17" t="str">
        <f>IFERROR(__xludf.DUMMYFUNCTION("""COMPUTED_VALUE"""),"Electronics|WearableTechnology|SmartWatches")</f>
        <v>Electronics|WearableTechnology|SmartWatches</v>
      </c>
      <c r="M227" s="23">
        <f>IFERROR(__xludf.DUMMYFUNCTION("""COMPUTED_VALUE"""),1898.0)</f>
        <v>1898</v>
      </c>
      <c r="N227" s="23">
        <f>IFERROR(__xludf.DUMMYFUNCTION("""COMPUTED_VALUE"""),4999.0)</f>
        <v>4999</v>
      </c>
      <c r="O227" s="24">
        <f>IFERROR(__xludf.DUMMYFUNCTION("""COMPUTED_VALUE"""),0.62)</f>
        <v>0.62</v>
      </c>
      <c r="P227" s="17">
        <f>IFERROR(__xludf.DUMMYFUNCTION("""COMPUTED_VALUE"""),4.1)</f>
        <v>4.1</v>
      </c>
      <c r="Q227" s="25">
        <f>IFERROR(__xludf.DUMMYFUNCTION("""COMPUTED_VALUE"""),10689.0)</f>
        <v>10689</v>
      </c>
    </row>
    <row r="228">
      <c r="A228" s="7" t="s">
        <v>259</v>
      </c>
      <c r="B228" s="7" t="s">
        <v>71</v>
      </c>
      <c r="C228" s="8">
        <v>209.0</v>
      </c>
      <c r="D228" s="8">
        <v>499.0</v>
      </c>
      <c r="E228" s="19">
        <v>0.58</v>
      </c>
      <c r="F228" s="10">
        <v>4.0</v>
      </c>
      <c r="G228" s="10">
        <v>479.0</v>
      </c>
      <c r="K228" s="17" t="str">
        <f>IFERROR(__xludf.DUMMYFUNCTION("""COMPUTED_VALUE"""),"JBL C100SI Wired In Ear Headphones with Mic, JBL Pure Bass Sound, One Button Multi-function Remote, Angled Buds for Comfort fit (Black)")</f>
        <v>JBL C100SI Wired In Ear Headphones with Mic, JBL Pure Bass Sound, One Button Multi-function Remote, Angled Buds for Comfort fit (Black)</v>
      </c>
      <c r="L228" s="17" t="str">
        <f>IFERROR(__xludf.DUMMYFUNCTION("""COMPUTED_VALUE"""),"Electronics|Headphones,Earbuds&amp;Accessories|Headphones|In-Ear")</f>
        <v>Electronics|Headphones,Earbuds&amp;Accessories|Headphones|In-Ear</v>
      </c>
      <c r="M228" s="23">
        <f>IFERROR(__xludf.DUMMYFUNCTION("""COMPUTED_VALUE"""),599.0)</f>
        <v>599</v>
      </c>
      <c r="N228" s="23">
        <f>IFERROR(__xludf.DUMMYFUNCTION("""COMPUTED_VALUE"""),999.0)</f>
        <v>999</v>
      </c>
      <c r="O228" s="24">
        <f>IFERROR(__xludf.DUMMYFUNCTION("""COMPUTED_VALUE"""),0.4)</f>
        <v>0.4</v>
      </c>
      <c r="P228" s="17">
        <f>IFERROR(__xludf.DUMMYFUNCTION("""COMPUTED_VALUE"""),4.1)</f>
        <v>4.1</v>
      </c>
      <c r="Q228" s="17" t="str">
        <f>IFERROR(__xludf.DUMMYFUNCTION("""COMPUTED_VALUE"""),"1,92,590")</f>
        <v>1,92,590</v>
      </c>
    </row>
    <row r="229">
      <c r="A229" s="7" t="s">
        <v>260</v>
      </c>
      <c r="B229" s="7" t="s">
        <v>31</v>
      </c>
      <c r="C229" s="8">
        <v>598.0</v>
      </c>
      <c r="D229" s="8">
        <v>4999.0</v>
      </c>
      <c r="E229" s="19">
        <v>0.88</v>
      </c>
      <c r="F229" s="10">
        <v>4.2</v>
      </c>
      <c r="G229" s="10">
        <v>910.0</v>
      </c>
      <c r="K229" s="17" t="str">
        <f>IFERROR(__xludf.DUMMYFUNCTION("""COMPUTED_VALUE"""),"Samsung Galaxy M04 Dark Blue, 4GB RAM, 64GB Storage | Upto 8GB RAM with RAM Plus | MediaTek Helio P35 | 5000 mAh Battery")</f>
        <v>Samsung Galaxy M04 Dark Blue, 4GB RAM, 64GB Storage | Upto 8GB RAM with RAM Plus | MediaTek Helio P35 | 5000 mAh Battery</v>
      </c>
      <c r="L229" s="17" t="str">
        <f>IFERROR(__xludf.DUMMYFUNCTION("""COMPUTED_VALUE"""),"Electronics|Mobiles&amp;Accessories|Smartphones&amp;BasicMobiles|Smartphones")</f>
        <v>Electronics|Mobiles&amp;Accessories|Smartphones&amp;BasicMobiles|Smartphones</v>
      </c>
      <c r="M229" s="23">
        <f>IFERROR(__xludf.DUMMYFUNCTION("""COMPUTED_VALUE"""),9499.0)</f>
        <v>9499</v>
      </c>
      <c r="N229" s="23">
        <f>IFERROR(__xludf.DUMMYFUNCTION("""COMPUTED_VALUE"""),11999.0)</f>
        <v>11999</v>
      </c>
      <c r="O229" s="24">
        <f>IFERROR(__xludf.DUMMYFUNCTION("""COMPUTED_VALUE"""),0.21)</f>
        <v>0.21</v>
      </c>
      <c r="P229" s="17">
        <f>IFERROR(__xludf.DUMMYFUNCTION("""COMPUTED_VALUE"""),4.2)</f>
        <v>4.2</v>
      </c>
      <c r="Q229" s="17">
        <f>IFERROR(__xludf.DUMMYFUNCTION("""COMPUTED_VALUE"""),284.0)</f>
        <v>284</v>
      </c>
    </row>
    <row r="230">
      <c r="A230" s="7" t="s">
        <v>261</v>
      </c>
      <c r="B230" s="7" t="s">
        <v>15</v>
      </c>
      <c r="C230" s="8">
        <v>799.0</v>
      </c>
      <c r="D230" s="8">
        <v>1749.0</v>
      </c>
      <c r="E230" s="19">
        <v>0.54</v>
      </c>
      <c r="F230" s="10">
        <v>4.1</v>
      </c>
      <c r="G230" s="11">
        <v>5626.0</v>
      </c>
      <c r="K230" s="17" t="str">
        <f>IFERROR(__xludf.DUMMYFUNCTION("""COMPUTED_VALUE"""),"boAt Bassheads 100 in Ear Wired Earphones with Mic(Taffy Pink)")</f>
        <v>boAt Bassheads 100 in Ear Wired Earphones with Mic(Taffy Pink)</v>
      </c>
      <c r="L230" s="17" t="str">
        <f>IFERROR(__xludf.DUMMYFUNCTION("""COMPUTED_VALUE"""),"Electronics|Headphones,Earbuds&amp;Accessories|Headphones|In-Ear")</f>
        <v>Electronics|Headphones,Earbuds&amp;Accessories|Headphones|In-Ear</v>
      </c>
      <c r="M230" s="23">
        <f>IFERROR(__xludf.DUMMYFUNCTION("""COMPUTED_VALUE"""),349.0)</f>
        <v>349</v>
      </c>
      <c r="N230" s="23">
        <f>IFERROR(__xludf.DUMMYFUNCTION("""COMPUTED_VALUE"""),999.0)</f>
        <v>999</v>
      </c>
      <c r="O230" s="24">
        <f>IFERROR(__xludf.DUMMYFUNCTION("""COMPUTED_VALUE"""),0.65)</f>
        <v>0.65</v>
      </c>
      <c r="P230" s="17">
        <f>IFERROR(__xludf.DUMMYFUNCTION("""COMPUTED_VALUE"""),4.1)</f>
        <v>4.1</v>
      </c>
      <c r="Q230" s="17" t="str">
        <f>IFERROR(__xludf.DUMMYFUNCTION("""COMPUTED_VALUE"""),"3,63,713")</f>
        <v>3,63,713</v>
      </c>
    </row>
    <row r="231">
      <c r="A231" s="7" t="s">
        <v>262</v>
      </c>
      <c r="B231" s="7" t="s">
        <v>15</v>
      </c>
      <c r="C231" s="8">
        <v>159.0</v>
      </c>
      <c r="D231" s="8">
        <v>595.0</v>
      </c>
      <c r="E231" s="19">
        <v>0.73</v>
      </c>
      <c r="F231" s="10">
        <v>4.3</v>
      </c>
      <c r="G231" s="11">
        <v>14184.0</v>
      </c>
      <c r="K231" s="17" t="str">
        <f>IFERROR(__xludf.DUMMYFUNCTION("""COMPUTED_VALUE"""),"SanDisk Ultra® microSDXC™ UHS-I Card, 128GB, 140MB/s R, 10 Y Warranty, for Smartphones")</f>
        <v>SanDisk Ultra® microSDXC™ UHS-I Card, 128GB, 140MB/s R, 10 Y Warranty, for Smartphones</v>
      </c>
      <c r="L231" s="17" t="str">
        <f>IFERROR(__xludf.DUMMYFUNCTION("""COMPUTED_VALUE"""),"Electronics|Accessories|MemoryCards|MicroSD")</f>
        <v>Electronics|Accessories|MemoryCards|MicroSD</v>
      </c>
      <c r="M231" s="23">
        <f>IFERROR(__xludf.DUMMYFUNCTION("""COMPUTED_VALUE"""),959.0)</f>
        <v>959</v>
      </c>
      <c r="N231" s="23">
        <f>IFERROR(__xludf.DUMMYFUNCTION("""COMPUTED_VALUE"""),1800.0)</f>
        <v>1800</v>
      </c>
      <c r="O231" s="24">
        <f>IFERROR(__xludf.DUMMYFUNCTION("""COMPUTED_VALUE"""),0.47)</f>
        <v>0.47</v>
      </c>
      <c r="P231" s="17">
        <f>IFERROR(__xludf.DUMMYFUNCTION("""COMPUTED_VALUE"""),4.4)</f>
        <v>4.4</v>
      </c>
      <c r="Q231" s="25">
        <f>IFERROR(__xludf.DUMMYFUNCTION("""COMPUTED_VALUE"""),67259.0)</f>
        <v>67259</v>
      </c>
    </row>
    <row r="232">
      <c r="A232" s="7" t="s">
        <v>263</v>
      </c>
      <c r="B232" s="7" t="s">
        <v>264</v>
      </c>
      <c r="C232" s="8">
        <v>499.0</v>
      </c>
      <c r="D232" s="8">
        <v>1100.0</v>
      </c>
      <c r="E232" s="19">
        <v>0.55</v>
      </c>
      <c r="F232" s="10">
        <v>4.4</v>
      </c>
      <c r="G232" s="11">
        <v>25177.0</v>
      </c>
      <c r="K232" s="17" t="str">
        <f>IFERROR(__xludf.DUMMYFUNCTION("""COMPUTED_VALUE"""),"Samsung Galaxy M04 Light Green, 4GB RAM, 64GB Storage | Upto 8GB RAM with RAM Plus | MediaTek Helio P35 | 5000 mAh Battery")</f>
        <v>Samsung Galaxy M04 Light Green, 4GB RAM, 64GB Storage | Upto 8GB RAM with RAM Plus | MediaTek Helio P35 | 5000 mAh Battery</v>
      </c>
      <c r="L232" s="17" t="str">
        <f>IFERROR(__xludf.DUMMYFUNCTION("""COMPUTED_VALUE"""),"Electronics|Mobiles&amp;Accessories|Smartphones&amp;BasicMobiles|Smartphones")</f>
        <v>Electronics|Mobiles&amp;Accessories|Smartphones&amp;BasicMobiles|Smartphones</v>
      </c>
      <c r="M232" s="23">
        <f>IFERROR(__xludf.DUMMYFUNCTION("""COMPUTED_VALUE"""),9499.0)</f>
        <v>9499</v>
      </c>
      <c r="N232" s="23">
        <f>IFERROR(__xludf.DUMMYFUNCTION("""COMPUTED_VALUE"""),11999.0)</f>
        <v>11999</v>
      </c>
      <c r="O232" s="24">
        <f>IFERROR(__xludf.DUMMYFUNCTION("""COMPUTED_VALUE"""),0.21)</f>
        <v>0.21</v>
      </c>
      <c r="P232" s="17">
        <f>IFERROR(__xludf.DUMMYFUNCTION("""COMPUTED_VALUE"""),4.2)</f>
        <v>4.2</v>
      </c>
      <c r="Q232" s="17">
        <f>IFERROR(__xludf.DUMMYFUNCTION("""COMPUTED_VALUE"""),284.0)</f>
        <v>284</v>
      </c>
    </row>
    <row r="233">
      <c r="A233" s="7" t="s">
        <v>265</v>
      </c>
      <c r="B233" s="7" t="s">
        <v>37</v>
      </c>
      <c r="C233" s="8">
        <v>31999.0</v>
      </c>
      <c r="D233" s="8">
        <v>49999.0</v>
      </c>
      <c r="E233" s="19">
        <v>0.36</v>
      </c>
      <c r="F233" s="10">
        <v>4.3</v>
      </c>
      <c r="G233" s="11">
        <v>21252.0</v>
      </c>
      <c r="K233" s="17" t="str">
        <f>IFERROR(__xludf.DUMMYFUNCTION("""COMPUTED_VALUE"""),"MI 10000mAh Lithium Ion, Lithium Polymer Power Bank Pocket Pro with 22.5 Watt Fast Charging, Dual Input Ports(Micro-USB and Type C), Triple Output Ports, (Black)")</f>
        <v>MI 10000mAh Lithium Ion, Lithium Polymer Power Bank Pocket Pro with 22.5 Watt Fast Charging, Dual Input Ports(Micro-USB and Type C), Triple Output Ports, (Black)</v>
      </c>
      <c r="L233" s="17" t="str">
        <f>IFERROR(__xludf.DUMMYFUNCTION("""COMPUTED_VALUE"""),"Electronics|Mobiles&amp;Accessories|MobileAccessories|Chargers|PowerBanks")</f>
        <v>Electronics|Mobiles&amp;Accessories|MobileAccessories|Chargers|PowerBanks</v>
      </c>
      <c r="M233" s="23">
        <f>IFERROR(__xludf.DUMMYFUNCTION("""COMPUTED_VALUE"""),1499.0)</f>
        <v>1499</v>
      </c>
      <c r="N233" s="23">
        <f>IFERROR(__xludf.DUMMYFUNCTION("""COMPUTED_VALUE"""),2499.0)</f>
        <v>2499</v>
      </c>
      <c r="O233" s="24">
        <f>IFERROR(__xludf.DUMMYFUNCTION("""COMPUTED_VALUE"""),0.4)</f>
        <v>0.4</v>
      </c>
      <c r="P233" s="17">
        <f>IFERROR(__xludf.DUMMYFUNCTION("""COMPUTED_VALUE"""),4.3)</f>
        <v>4.3</v>
      </c>
      <c r="Q233" s="25">
        <f>IFERROR(__xludf.DUMMYFUNCTION("""COMPUTED_VALUE"""),15970.0)</f>
        <v>15970</v>
      </c>
    </row>
    <row r="234">
      <c r="A234" s="7" t="s">
        <v>266</v>
      </c>
      <c r="B234" s="7" t="s">
        <v>37</v>
      </c>
      <c r="C234" s="8">
        <v>32990.0</v>
      </c>
      <c r="D234" s="8">
        <v>56790.0</v>
      </c>
      <c r="E234" s="19">
        <v>0.42</v>
      </c>
      <c r="F234" s="10">
        <v>4.3</v>
      </c>
      <c r="G234" s="10">
        <v>567.0</v>
      </c>
      <c r="K234" s="17" t="str">
        <f>IFERROR(__xludf.DUMMYFUNCTION("""COMPUTED_VALUE"""),"Mi 10000mAH Li-Polymer, Micro-USB and Type C Input Port, Power Bank 3i with 18W Fast Charging (Midnight Black)")</f>
        <v>Mi 10000mAH Li-Polymer, Micro-USB and Type C Input Port, Power Bank 3i with 18W Fast Charging (Midnight Black)</v>
      </c>
      <c r="L234" s="17" t="str">
        <f>IFERROR(__xludf.DUMMYFUNCTION("""COMPUTED_VALUE"""),"Electronics|Mobiles&amp;Accessories|MobileAccessories|Chargers|PowerBanks")</f>
        <v>Electronics|Mobiles&amp;Accessories|MobileAccessories|Chargers|PowerBanks</v>
      </c>
      <c r="M234" s="23">
        <f>IFERROR(__xludf.DUMMYFUNCTION("""COMPUTED_VALUE"""),1149.0)</f>
        <v>1149</v>
      </c>
      <c r="N234" s="23">
        <f>IFERROR(__xludf.DUMMYFUNCTION("""COMPUTED_VALUE"""),2199.0)</f>
        <v>2199</v>
      </c>
      <c r="O234" s="24">
        <f>IFERROR(__xludf.DUMMYFUNCTION("""COMPUTED_VALUE"""),0.48)</f>
        <v>0.48</v>
      </c>
      <c r="P234" s="17">
        <f>IFERROR(__xludf.DUMMYFUNCTION("""COMPUTED_VALUE"""),4.3)</f>
        <v>4.3</v>
      </c>
      <c r="Q234" s="17" t="str">
        <f>IFERROR(__xludf.DUMMYFUNCTION("""COMPUTED_VALUE"""),"1,78,912")</f>
        <v>1,78,912</v>
      </c>
    </row>
    <row r="235">
      <c r="A235" s="7" t="s">
        <v>267</v>
      </c>
      <c r="B235" s="7" t="s">
        <v>71</v>
      </c>
      <c r="C235" s="8">
        <v>299.0</v>
      </c>
      <c r="D235" s="8">
        <v>1199.0</v>
      </c>
      <c r="E235" s="19">
        <v>0.75</v>
      </c>
      <c r="F235" s="10">
        <v>3.5</v>
      </c>
      <c r="G235" s="10">
        <v>466.0</v>
      </c>
      <c r="K235" s="17" t="str">
        <f>IFERROR(__xludf.DUMMYFUNCTION("""COMPUTED_VALUE"""),"Samsung 25W USB Travel Adapter for Cellular Phones - White")</f>
        <v>Samsung 25W USB Travel Adapter for Cellular Phones - White</v>
      </c>
      <c r="L235" s="17" t="str">
        <f>IFERROR(__xludf.DUMMYFUNCTION("""COMPUTED_VALUE"""),"Electronics|Mobiles&amp;Accessories|MobileAccessories|Chargers|WallChargers")</f>
        <v>Electronics|Mobiles&amp;Accessories|MobileAccessories|Chargers|WallChargers</v>
      </c>
      <c r="M235" s="23">
        <f>IFERROR(__xludf.DUMMYFUNCTION("""COMPUTED_VALUE"""),1219.0)</f>
        <v>1219</v>
      </c>
      <c r="N235" s="23">
        <f>IFERROR(__xludf.DUMMYFUNCTION("""COMPUTED_VALUE"""),1699.0)</f>
        <v>1699</v>
      </c>
      <c r="O235" s="24">
        <f>IFERROR(__xludf.DUMMYFUNCTION("""COMPUTED_VALUE"""),0.28)</f>
        <v>0.28</v>
      </c>
      <c r="P235" s="17">
        <f>IFERROR(__xludf.DUMMYFUNCTION("""COMPUTED_VALUE"""),4.4)</f>
        <v>4.4</v>
      </c>
      <c r="Q235" s="25">
        <f>IFERROR(__xludf.DUMMYFUNCTION("""COMPUTED_VALUE"""),8891.0)</f>
        <v>8891</v>
      </c>
    </row>
    <row r="236">
      <c r="A236" s="7" t="s">
        <v>268</v>
      </c>
      <c r="B236" s="7" t="s">
        <v>15</v>
      </c>
      <c r="C236" s="8">
        <v>128.31</v>
      </c>
      <c r="D236" s="8">
        <v>549.0</v>
      </c>
      <c r="E236" s="19">
        <v>0.77</v>
      </c>
      <c r="F236" s="10">
        <v>3.9</v>
      </c>
      <c r="G236" s="10">
        <v>61.0</v>
      </c>
      <c r="K236" s="17" t="str">
        <f>IFERROR(__xludf.DUMMYFUNCTION("""COMPUTED_VALUE"""),"Fire-Boltt Ninja 3 Smartwatch Full Touch 1.69 &amp; 60 Sports Modes with IP68, Sp02 Tracking, Over 100 Cloud based watch faces - Black")</f>
        <v>Fire-Boltt Ninja 3 Smartwatch Full Touch 1.69 &amp; 60 Sports Modes with IP68, Sp02 Tracking, Over 100 Cloud based watch faces - Black</v>
      </c>
      <c r="L236" s="17" t="str">
        <f>IFERROR(__xludf.DUMMYFUNCTION("""COMPUTED_VALUE"""),"Electronics|WearableTechnology|SmartWatches")</f>
        <v>Electronics|WearableTechnology|SmartWatches</v>
      </c>
      <c r="M236" s="23">
        <f>IFERROR(__xludf.DUMMYFUNCTION("""COMPUTED_VALUE"""),1499.0)</f>
        <v>1499</v>
      </c>
      <c r="N236" s="23">
        <f>IFERROR(__xludf.DUMMYFUNCTION("""COMPUTED_VALUE"""),7999.0)</f>
        <v>7999</v>
      </c>
      <c r="O236" s="24">
        <f>IFERROR(__xludf.DUMMYFUNCTION("""COMPUTED_VALUE"""),0.81)</f>
        <v>0.81</v>
      </c>
      <c r="P236" s="17">
        <f>IFERROR(__xludf.DUMMYFUNCTION("""COMPUTED_VALUE"""),4.2)</f>
        <v>4.2</v>
      </c>
      <c r="Q236" s="25">
        <f>IFERROR(__xludf.DUMMYFUNCTION("""COMPUTED_VALUE"""),22636.0)</f>
        <v>22636</v>
      </c>
    </row>
    <row r="237">
      <c r="A237" s="7" t="s">
        <v>269</v>
      </c>
      <c r="B237" s="7" t="s">
        <v>15</v>
      </c>
      <c r="C237" s="8">
        <v>599.0</v>
      </c>
      <c r="D237" s="8">
        <v>849.0</v>
      </c>
      <c r="E237" s="19">
        <v>0.29</v>
      </c>
      <c r="F237" s="10">
        <v>4.5</v>
      </c>
      <c r="G237" s="10">
        <v>474.0</v>
      </c>
      <c r="K237" s="17" t="str">
        <f>IFERROR(__xludf.DUMMYFUNCTION("""COMPUTED_VALUE"""),"Samsung Galaxy M33 5G (Mystique Green, 8GB, 128GB Storage) | 6000mAh Battery | Upto 16GB RAM with RAM Plus | Travel Adapter to be Purchased Separately")</f>
        <v>Samsung Galaxy M33 5G (Mystique Green, 8GB, 128GB Storage) | 6000mAh Battery | Upto 16GB RAM with RAM Plus | Travel Adapter to be Purchased Separately</v>
      </c>
      <c r="L237" s="17" t="str">
        <f>IFERROR(__xludf.DUMMYFUNCTION("""COMPUTED_VALUE"""),"Electronics|Mobiles&amp;Accessories|Smartphones&amp;BasicMobiles|Smartphones")</f>
        <v>Electronics|Mobiles&amp;Accessories|Smartphones&amp;BasicMobiles|Smartphones</v>
      </c>
      <c r="M237" s="23">
        <f>IFERROR(__xludf.DUMMYFUNCTION("""COMPUTED_VALUE"""),18499.0)</f>
        <v>18499</v>
      </c>
      <c r="N237" s="23">
        <f>IFERROR(__xludf.DUMMYFUNCTION("""COMPUTED_VALUE"""),25999.0)</f>
        <v>25999</v>
      </c>
      <c r="O237" s="24">
        <f>IFERROR(__xludf.DUMMYFUNCTION("""COMPUTED_VALUE"""),0.29)</f>
        <v>0.29</v>
      </c>
      <c r="P237" s="17">
        <f>IFERROR(__xludf.DUMMYFUNCTION("""COMPUTED_VALUE"""),4.1)</f>
        <v>4.1</v>
      </c>
      <c r="Q237" s="25">
        <f>IFERROR(__xludf.DUMMYFUNCTION("""COMPUTED_VALUE"""),22318.0)</f>
        <v>22318</v>
      </c>
    </row>
    <row r="238">
      <c r="A238" s="7" t="s">
        <v>270</v>
      </c>
      <c r="B238" s="7" t="s">
        <v>71</v>
      </c>
      <c r="C238" s="8">
        <v>399.0</v>
      </c>
      <c r="D238" s="8">
        <v>899.0</v>
      </c>
      <c r="E238" s="19">
        <v>0.56</v>
      </c>
      <c r="F238" s="10">
        <v>3.4</v>
      </c>
      <c r="G238" s="10">
        <v>431.0</v>
      </c>
      <c r="K238" s="17" t="str">
        <f>IFERROR(__xludf.DUMMYFUNCTION("""COMPUTED_VALUE"""),"SanDisk Ultra microSD UHS-I Card 32GB, 120MB/s R")</f>
        <v>SanDisk Ultra microSD UHS-I Card 32GB, 120MB/s R</v>
      </c>
      <c r="L238" s="17" t="str">
        <f>IFERROR(__xludf.DUMMYFUNCTION("""COMPUTED_VALUE"""),"Electronics|Accessories|MemoryCards|MicroSD")</f>
        <v>Electronics|Accessories|MemoryCards|MicroSD</v>
      </c>
      <c r="M238" s="23">
        <f>IFERROR(__xludf.DUMMYFUNCTION("""COMPUTED_VALUE"""),369.0)</f>
        <v>369</v>
      </c>
      <c r="N238" s="23">
        <f>IFERROR(__xludf.DUMMYFUNCTION("""COMPUTED_VALUE"""),700.0)</f>
        <v>700</v>
      </c>
      <c r="O238" s="24">
        <f>IFERROR(__xludf.DUMMYFUNCTION("""COMPUTED_VALUE"""),0.47)</f>
        <v>0.47</v>
      </c>
      <c r="P238" s="17">
        <f>IFERROR(__xludf.DUMMYFUNCTION("""COMPUTED_VALUE"""),4.4)</f>
        <v>4.4</v>
      </c>
      <c r="Q238" s="25">
        <f>IFERROR(__xludf.DUMMYFUNCTION("""COMPUTED_VALUE"""),67259.0)</f>
        <v>67259</v>
      </c>
    </row>
    <row r="239">
      <c r="A239" s="7" t="s">
        <v>271</v>
      </c>
      <c r="B239" s="7" t="s">
        <v>15</v>
      </c>
      <c r="C239" s="8">
        <v>449.0</v>
      </c>
      <c r="D239" s="8">
        <v>1099.0</v>
      </c>
      <c r="E239" s="19">
        <v>0.59</v>
      </c>
      <c r="F239" s="10">
        <v>4.0</v>
      </c>
      <c r="G239" s="10">
        <v>242.0</v>
      </c>
      <c r="K239" s="17" t="str">
        <f>IFERROR(__xludf.DUMMYFUNCTION("""COMPUTED_VALUE"""),"Samsung Galaxy M13 (Aqua Green, 6GB, 128GB Storage) | 6000mAh Battery | Upto 12GB RAM with RAM Plus")</f>
        <v>Samsung Galaxy M13 (Aqua Green, 6GB, 128GB Storage) | 6000mAh Battery | Upto 12GB RAM with RAM Plus</v>
      </c>
      <c r="L239" s="17" t="str">
        <f>IFERROR(__xludf.DUMMYFUNCTION("""COMPUTED_VALUE"""),"Electronics|Mobiles&amp;Accessories|Smartphones&amp;BasicMobiles|Smartphones")</f>
        <v>Electronics|Mobiles&amp;Accessories|Smartphones&amp;BasicMobiles|Smartphones</v>
      </c>
      <c r="M239" s="23">
        <f>IFERROR(__xludf.DUMMYFUNCTION("""COMPUTED_VALUE"""),12999.0)</f>
        <v>12999</v>
      </c>
      <c r="N239" s="23">
        <f>IFERROR(__xludf.DUMMYFUNCTION("""COMPUTED_VALUE"""),17999.0)</f>
        <v>17999</v>
      </c>
      <c r="O239" s="24">
        <f>IFERROR(__xludf.DUMMYFUNCTION("""COMPUTED_VALUE"""),0.28)</f>
        <v>0.28</v>
      </c>
      <c r="P239" s="17">
        <f>IFERROR(__xludf.DUMMYFUNCTION("""COMPUTED_VALUE"""),4.1)</f>
        <v>4.1</v>
      </c>
      <c r="Q239" s="25">
        <f>IFERROR(__xludf.DUMMYFUNCTION("""COMPUTED_VALUE"""),18998.0)</f>
        <v>18998</v>
      </c>
    </row>
    <row r="240">
      <c r="A240" s="7" t="s">
        <v>272</v>
      </c>
      <c r="B240" s="7" t="s">
        <v>15</v>
      </c>
      <c r="C240" s="8">
        <v>254.0</v>
      </c>
      <c r="D240" s="8">
        <v>799.0</v>
      </c>
      <c r="E240" s="19">
        <v>0.68</v>
      </c>
      <c r="F240" s="10">
        <v>4.0</v>
      </c>
      <c r="G240" s="11">
        <v>2905.0</v>
      </c>
      <c r="K240" s="17" t="str">
        <f>IFERROR(__xludf.DUMMYFUNCTION("""COMPUTED_VALUE"""),"Fire-Boltt Ninja Call Pro Plus 1.83"" Smart Watch with Bluetooth Calling, AI Voice Assistance, 100 Sports Modes IP67 Rating, 240*280 Pixel High Resolution")</f>
        <v>Fire-Boltt Ninja Call Pro Plus 1.83" Smart Watch with Bluetooth Calling, AI Voice Assistance, 100 Sports Modes IP67 Rating, 240*280 Pixel High Resolution</v>
      </c>
      <c r="L240" s="17" t="str">
        <f>IFERROR(__xludf.DUMMYFUNCTION("""COMPUTED_VALUE"""),"Electronics|WearableTechnology|SmartWatches")</f>
        <v>Electronics|WearableTechnology|SmartWatches</v>
      </c>
      <c r="M240" s="23">
        <f>IFERROR(__xludf.DUMMYFUNCTION("""COMPUTED_VALUE"""),1799.0)</f>
        <v>1799</v>
      </c>
      <c r="N240" s="23">
        <f>IFERROR(__xludf.DUMMYFUNCTION("""COMPUTED_VALUE"""),19999.0)</f>
        <v>19999</v>
      </c>
      <c r="O240" s="24">
        <f>IFERROR(__xludf.DUMMYFUNCTION("""COMPUTED_VALUE"""),0.91)</f>
        <v>0.91</v>
      </c>
      <c r="P240" s="17">
        <f>IFERROR(__xludf.DUMMYFUNCTION("""COMPUTED_VALUE"""),4.2)</f>
        <v>4.2</v>
      </c>
      <c r="Q240" s="25">
        <f>IFERROR(__xludf.DUMMYFUNCTION("""COMPUTED_VALUE"""),13937.0)</f>
        <v>13937</v>
      </c>
    </row>
    <row r="241">
      <c r="A241" s="7" t="s">
        <v>273</v>
      </c>
      <c r="B241" s="7" t="s">
        <v>274</v>
      </c>
      <c r="C241" s="8">
        <v>399.0</v>
      </c>
      <c r="D241" s="8">
        <v>795.0</v>
      </c>
      <c r="E241" s="19">
        <v>0.5</v>
      </c>
      <c r="F241" s="10">
        <v>4.4</v>
      </c>
      <c r="G241" s="11">
        <v>12091.0</v>
      </c>
      <c r="K241" s="17" t="str">
        <f>IFERROR(__xludf.DUMMYFUNCTION("""COMPUTED_VALUE"""),"Fire-Boltt India's No 1 Smartwatch Brand Talk 2 Bluetooth Calling Smartwatch with Dual Button, Hands On Voice Assistance, 60 Sports Modes, in Built Mic &amp; Speaker with IP68 Rating")</f>
        <v>Fire-Boltt India's No 1 Smartwatch Brand Talk 2 Bluetooth Calling Smartwatch with Dual Button, Hands On Voice Assistance, 60 Sports Modes, in Built Mic &amp; Speaker with IP68 Rating</v>
      </c>
      <c r="L241" s="17" t="str">
        <f>IFERROR(__xludf.DUMMYFUNCTION("""COMPUTED_VALUE"""),"Electronics|WearableTechnology|SmartWatches")</f>
        <v>Electronics|WearableTechnology|SmartWatches</v>
      </c>
      <c r="M241" s="23">
        <f>IFERROR(__xludf.DUMMYFUNCTION("""COMPUTED_VALUE"""),2199.0)</f>
        <v>2199</v>
      </c>
      <c r="N241" s="23">
        <f>IFERROR(__xludf.DUMMYFUNCTION("""COMPUTED_VALUE"""),9999.0)</f>
        <v>9999</v>
      </c>
      <c r="O241" s="24">
        <f>IFERROR(__xludf.DUMMYFUNCTION("""COMPUTED_VALUE"""),0.78)</f>
        <v>0.78</v>
      </c>
      <c r="P241" s="17">
        <f>IFERROR(__xludf.DUMMYFUNCTION("""COMPUTED_VALUE"""),4.2)</f>
        <v>4.2</v>
      </c>
      <c r="Q241" s="25">
        <f>IFERROR(__xludf.DUMMYFUNCTION("""COMPUTED_VALUE"""),29471.0)</f>
        <v>29471</v>
      </c>
    </row>
    <row r="242">
      <c r="A242" s="7" t="s">
        <v>275</v>
      </c>
      <c r="B242" s="7" t="s">
        <v>15</v>
      </c>
      <c r="C242" s="8">
        <v>179.0</v>
      </c>
      <c r="D242" s="8">
        <v>399.0</v>
      </c>
      <c r="E242" s="19">
        <v>0.55</v>
      </c>
      <c r="F242" s="10">
        <v>4.0</v>
      </c>
      <c r="G242" s="11">
        <v>1423.0</v>
      </c>
      <c r="K242" s="17" t="str">
        <f>IFERROR(__xludf.DUMMYFUNCTION("""COMPUTED_VALUE"""),"Samsung Galaxy M33 5G (Emerald Brown, 6GB, 128GB Storage) | 6000mAh Battery | Upto 12GB RAM with RAM Plus | Travel Adapter to be Purchased Separately")</f>
        <v>Samsung Galaxy M33 5G (Emerald Brown, 6GB, 128GB Storage) | 6000mAh Battery | Upto 12GB RAM with RAM Plus | Travel Adapter to be Purchased Separately</v>
      </c>
      <c r="L242" s="17" t="str">
        <f>IFERROR(__xludf.DUMMYFUNCTION("""COMPUTED_VALUE"""),"Electronics|Mobiles&amp;Accessories|Smartphones&amp;BasicMobiles|Smartphones")</f>
        <v>Electronics|Mobiles&amp;Accessories|Smartphones&amp;BasicMobiles|Smartphones</v>
      </c>
      <c r="M242" s="23">
        <f>IFERROR(__xludf.DUMMYFUNCTION("""COMPUTED_VALUE"""),16999.0)</f>
        <v>16999</v>
      </c>
      <c r="N242" s="23">
        <f>IFERROR(__xludf.DUMMYFUNCTION("""COMPUTED_VALUE"""),24999.0)</f>
        <v>24999</v>
      </c>
      <c r="O242" s="24">
        <f>IFERROR(__xludf.DUMMYFUNCTION("""COMPUTED_VALUE"""),0.32)</f>
        <v>0.32</v>
      </c>
      <c r="P242" s="17">
        <f>IFERROR(__xludf.DUMMYFUNCTION("""COMPUTED_VALUE"""),4.1)</f>
        <v>4.1</v>
      </c>
      <c r="Q242" s="25">
        <f>IFERROR(__xludf.DUMMYFUNCTION("""COMPUTED_VALUE"""),22318.0)</f>
        <v>22318</v>
      </c>
    </row>
    <row r="243">
      <c r="A243" s="7" t="s">
        <v>276</v>
      </c>
      <c r="B243" s="7" t="s">
        <v>15</v>
      </c>
      <c r="C243" s="8">
        <v>339.0</v>
      </c>
      <c r="D243" s="8">
        <v>999.0</v>
      </c>
      <c r="E243" s="19">
        <v>0.66</v>
      </c>
      <c r="F243" s="10">
        <v>4.3</v>
      </c>
      <c r="G243" s="11">
        <v>6255.0</v>
      </c>
      <c r="K243" s="17" t="str">
        <f>IFERROR(__xludf.DUMMYFUNCTION("""COMPUTED_VALUE"""),"Fire-Boltt Ninja Call Pro Plus 1.83"" Smart Watch with Bluetooth Calling, AI Voice Assistance, 100 Sports Modes IP67 Rating, 240*280 Pixel High Resolution")</f>
        <v>Fire-Boltt Ninja Call Pro Plus 1.83" Smart Watch with Bluetooth Calling, AI Voice Assistance, 100 Sports Modes IP67 Rating, 240*280 Pixel High Resolution</v>
      </c>
      <c r="L243" s="17" t="str">
        <f>IFERROR(__xludf.DUMMYFUNCTION("""COMPUTED_VALUE"""),"Electronics|WearableTechnology|SmartWatches")</f>
        <v>Electronics|WearableTechnology|SmartWatches</v>
      </c>
      <c r="M243" s="23">
        <f>IFERROR(__xludf.DUMMYFUNCTION("""COMPUTED_VALUE"""),1799.0)</f>
        <v>1799</v>
      </c>
      <c r="N243" s="23">
        <f>IFERROR(__xludf.DUMMYFUNCTION("""COMPUTED_VALUE"""),19999.0)</f>
        <v>19999</v>
      </c>
      <c r="O243" s="24">
        <f>IFERROR(__xludf.DUMMYFUNCTION("""COMPUTED_VALUE"""),0.91)</f>
        <v>0.91</v>
      </c>
      <c r="P243" s="17">
        <f>IFERROR(__xludf.DUMMYFUNCTION("""COMPUTED_VALUE"""),4.2)</f>
        <v>4.2</v>
      </c>
      <c r="Q243" s="25">
        <f>IFERROR(__xludf.DUMMYFUNCTION("""COMPUTED_VALUE"""),13937.0)</f>
        <v>13937</v>
      </c>
    </row>
    <row r="244">
      <c r="A244" s="7" t="s">
        <v>277</v>
      </c>
      <c r="B244" s="7" t="s">
        <v>93</v>
      </c>
      <c r="C244" s="8">
        <v>399.0</v>
      </c>
      <c r="D244" s="8">
        <v>999.0</v>
      </c>
      <c r="E244" s="19">
        <v>0.6</v>
      </c>
      <c r="F244" s="10">
        <v>4.0</v>
      </c>
      <c r="G244" s="11">
        <v>1236.0</v>
      </c>
      <c r="K244" s="17" t="str">
        <f>IFERROR(__xludf.DUMMYFUNCTION("""COMPUTED_VALUE"""),"Wayona Nylon Braided USB to Lightning Fast Charging and Data Sync Cable Compatible for iPhone 13, 12,11, X, 8, 7, 6, 5, iPad Air, Pro, Mini (3 FT Pack of 1, Grey)")</f>
        <v>Wayona Nylon Braided USB to Lightning Fast Charging and Data Sync Cable Compatible for iPhone 13, 12,11, X, 8, 7, 6, 5, iPad Air, Pro, Mini (3 FT Pack of 1, Grey)</v>
      </c>
      <c r="L244" s="17" t="str">
        <f>IFERROR(__xludf.DUMMYFUNCTION("""COMPUTED_VALUE"""),"Computers&amp;Accessories|Accessories&amp;Peripherals|Cables&amp;Accessories|Cables|USBCables")</f>
        <v>Computers&amp;Accessories|Accessories&amp;Peripherals|Cables&amp;Accessories|Cables|USBCables</v>
      </c>
      <c r="M244" s="23">
        <f>IFERROR(__xludf.DUMMYFUNCTION("""COMPUTED_VALUE"""),399.0)</f>
        <v>399</v>
      </c>
      <c r="N244" s="23">
        <f>IFERROR(__xludf.DUMMYFUNCTION("""COMPUTED_VALUE"""),1099.0)</f>
        <v>1099</v>
      </c>
      <c r="O244" s="24">
        <f>IFERROR(__xludf.DUMMYFUNCTION("""COMPUTED_VALUE"""),0.64)</f>
        <v>0.64</v>
      </c>
      <c r="P244" s="17">
        <f>IFERROR(__xludf.DUMMYFUNCTION("""COMPUTED_VALUE"""),4.2)</f>
        <v>4.2</v>
      </c>
      <c r="Q244" s="25">
        <f>IFERROR(__xludf.DUMMYFUNCTION("""COMPUTED_VALUE"""),24270.0)</f>
        <v>24270</v>
      </c>
    </row>
    <row r="245">
      <c r="A245" s="7" t="s">
        <v>278</v>
      </c>
      <c r="B245" s="7" t="s">
        <v>71</v>
      </c>
      <c r="C245" s="8">
        <v>199.0</v>
      </c>
      <c r="D245" s="8">
        <v>399.0</v>
      </c>
      <c r="E245" s="19">
        <v>0.5</v>
      </c>
      <c r="F245" s="10">
        <v>4.2</v>
      </c>
      <c r="G245" s="11">
        <v>1335.0</v>
      </c>
      <c r="K245" s="17" t="str">
        <f>IFERROR(__xludf.DUMMYFUNCTION("""COMPUTED_VALUE"""),"Redmi 9 Activ (Carbon Black, 4GB RAM, 64GB Storage) | Octa-core Helio G35 | 5000 mAh Battery")</f>
        <v>Redmi 9 Activ (Carbon Black, 4GB RAM, 64GB Storage) | Octa-core Helio G35 | 5000 mAh Battery</v>
      </c>
      <c r="L245" s="17" t="str">
        <f>IFERROR(__xludf.DUMMYFUNCTION("""COMPUTED_VALUE"""),"Electronics|Mobiles&amp;Accessories|Smartphones&amp;BasicMobiles|Smartphones")</f>
        <v>Electronics|Mobiles&amp;Accessories|Smartphones&amp;BasicMobiles|Smartphones</v>
      </c>
      <c r="M245" s="23">
        <f>IFERROR(__xludf.DUMMYFUNCTION("""COMPUTED_VALUE"""),8499.0)</f>
        <v>8499</v>
      </c>
      <c r="N245" s="23">
        <f>IFERROR(__xludf.DUMMYFUNCTION("""COMPUTED_VALUE"""),10999.0)</f>
        <v>10999</v>
      </c>
      <c r="O245" s="24">
        <f>IFERROR(__xludf.DUMMYFUNCTION("""COMPUTED_VALUE"""),0.23)</f>
        <v>0.23</v>
      </c>
      <c r="P245" s="17">
        <f>IFERROR(__xludf.DUMMYFUNCTION("""COMPUTED_VALUE"""),4.1)</f>
        <v>4.1</v>
      </c>
      <c r="Q245" s="17" t="str">
        <f>IFERROR(__xludf.DUMMYFUNCTION("""COMPUTED_VALUE"""),"3,13,836")</f>
        <v>3,13,836</v>
      </c>
    </row>
    <row r="246">
      <c r="A246" s="7" t="s">
        <v>279</v>
      </c>
      <c r="B246" s="7" t="s">
        <v>71</v>
      </c>
      <c r="C246" s="8">
        <v>349.0</v>
      </c>
      <c r="D246" s="8">
        <v>1999.0</v>
      </c>
      <c r="E246" s="19">
        <v>0.83</v>
      </c>
      <c r="F246" s="10">
        <v>3.8</v>
      </c>
      <c r="G246" s="10">
        <v>197.0</v>
      </c>
      <c r="K246" s="17" t="str">
        <f>IFERROR(__xludf.DUMMYFUNCTION("""COMPUTED_VALUE"""),"Redmi 9A Sport (Coral Green, 2GB RAM, 32GB Storage) | 2GHz Octa-core Helio G25 Processor | 5000 mAh Battery")</f>
        <v>Redmi 9A Sport (Coral Green, 2GB RAM, 32GB Storage) | 2GHz Octa-core Helio G25 Processor | 5000 mAh Battery</v>
      </c>
      <c r="L246" s="17" t="str">
        <f>IFERROR(__xludf.DUMMYFUNCTION("""COMPUTED_VALUE"""),"Electronics|Mobiles&amp;Accessories|Smartphones&amp;BasicMobiles|Smartphones")</f>
        <v>Electronics|Mobiles&amp;Accessories|Smartphones&amp;BasicMobiles|Smartphones</v>
      </c>
      <c r="M246" s="23">
        <f>IFERROR(__xludf.DUMMYFUNCTION("""COMPUTED_VALUE"""),6499.0)</f>
        <v>6499</v>
      </c>
      <c r="N246" s="23">
        <f>IFERROR(__xludf.DUMMYFUNCTION("""COMPUTED_VALUE"""),8499.0)</f>
        <v>8499</v>
      </c>
      <c r="O246" s="24">
        <f>IFERROR(__xludf.DUMMYFUNCTION("""COMPUTED_VALUE"""),0.24)</f>
        <v>0.24</v>
      </c>
      <c r="P246" s="17">
        <f>IFERROR(__xludf.DUMMYFUNCTION("""COMPUTED_VALUE"""),4.1)</f>
        <v>4.1</v>
      </c>
      <c r="Q246" s="17" t="str">
        <f>IFERROR(__xludf.DUMMYFUNCTION("""COMPUTED_VALUE"""),"3,13,836")</f>
        <v>3,13,836</v>
      </c>
    </row>
    <row r="247">
      <c r="A247" s="7" t="s">
        <v>280</v>
      </c>
      <c r="B247" s="7" t="s">
        <v>15</v>
      </c>
      <c r="C247" s="8">
        <v>299.0</v>
      </c>
      <c r="D247" s="8">
        <v>798.0</v>
      </c>
      <c r="E247" s="19">
        <v>0.63</v>
      </c>
      <c r="F247" s="10">
        <v>4.4</v>
      </c>
      <c r="G247" s="11">
        <v>28791.0</v>
      </c>
      <c r="K247" s="17" t="str">
        <f>IFERROR(__xludf.DUMMYFUNCTION("""COMPUTED_VALUE"""),"Fire-Boltt Ninja Call Pro Plus 1.83"" Smart Watch with Bluetooth Calling, AI Voice Assistance, 100 Sports Modes IP67 Rating, 240*280 Pixel High Resolution")</f>
        <v>Fire-Boltt Ninja Call Pro Plus 1.83" Smart Watch with Bluetooth Calling, AI Voice Assistance, 100 Sports Modes IP67 Rating, 240*280 Pixel High Resolution</v>
      </c>
      <c r="L247" s="17" t="str">
        <f>IFERROR(__xludf.DUMMYFUNCTION("""COMPUTED_VALUE"""),"Electronics|WearableTechnology|SmartWatches")</f>
        <v>Electronics|WearableTechnology|SmartWatches</v>
      </c>
      <c r="M247" s="23">
        <f>IFERROR(__xludf.DUMMYFUNCTION("""COMPUTED_VALUE"""),1799.0)</f>
        <v>1799</v>
      </c>
      <c r="N247" s="23">
        <f>IFERROR(__xludf.DUMMYFUNCTION("""COMPUTED_VALUE"""),19999.0)</f>
        <v>19999</v>
      </c>
      <c r="O247" s="24">
        <f>IFERROR(__xludf.DUMMYFUNCTION("""COMPUTED_VALUE"""),0.91)</f>
        <v>0.91</v>
      </c>
      <c r="P247" s="17">
        <f>IFERROR(__xludf.DUMMYFUNCTION("""COMPUTED_VALUE"""),4.2)</f>
        <v>4.2</v>
      </c>
      <c r="Q247" s="25">
        <f>IFERROR(__xludf.DUMMYFUNCTION("""COMPUTED_VALUE"""),13937.0)</f>
        <v>13937</v>
      </c>
    </row>
    <row r="248">
      <c r="A248" s="7" t="s">
        <v>281</v>
      </c>
      <c r="B248" s="7" t="s">
        <v>15</v>
      </c>
      <c r="C248" s="8">
        <v>89.0</v>
      </c>
      <c r="D248" s="8">
        <v>800.0</v>
      </c>
      <c r="E248" s="19">
        <v>0.89</v>
      </c>
      <c r="F248" s="10">
        <v>3.9</v>
      </c>
      <c r="G248" s="11">
        <v>1075.0</v>
      </c>
      <c r="K248" s="17" t="str">
        <f>IFERROR(__xludf.DUMMYFUNCTION("""COMPUTED_VALUE"""),"AGARO Blaze USB 3.0 to USB Type C OTG Adapter")</f>
        <v>AGARO Blaze USB 3.0 to USB Type C OTG Adapter</v>
      </c>
      <c r="L248" s="17" t="str">
        <f>IFERROR(__xludf.DUMMYFUNCTION("""COMPUTED_VALUE"""),"Electronics|Mobiles&amp;Accessories|MobileAccessories|Cables&amp;Adapters|OTGAdapters")</f>
        <v>Electronics|Mobiles&amp;Accessories|MobileAccessories|Cables&amp;Adapters|OTGAdapters</v>
      </c>
      <c r="M248" s="23">
        <f>IFERROR(__xludf.DUMMYFUNCTION("""COMPUTED_VALUE"""),139.0)</f>
        <v>139</v>
      </c>
      <c r="N248" s="23">
        <f>IFERROR(__xludf.DUMMYFUNCTION("""COMPUTED_VALUE"""),495.0)</f>
        <v>495</v>
      </c>
      <c r="O248" s="24">
        <f>IFERROR(__xludf.DUMMYFUNCTION("""COMPUTED_VALUE"""),0.72)</f>
        <v>0.72</v>
      </c>
      <c r="P248" s="17">
        <f>IFERROR(__xludf.DUMMYFUNCTION("""COMPUTED_VALUE"""),4.3)</f>
        <v>4.3</v>
      </c>
      <c r="Q248" s="25">
        <f>IFERROR(__xludf.DUMMYFUNCTION("""COMPUTED_VALUE"""),14185.0)</f>
        <v>14185</v>
      </c>
    </row>
    <row r="249">
      <c r="A249" s="7" t="s">
        <v>282</v>
      </c>
      <c r="B249" s="7" t="s">
        <v>15</v>
      </c>
      <c r="C249" s="8">
        <v>549.0</v>
      </c>
      <c r="D249" s="8">
        <v>995.0</v>
      </c>
      <c r="E249" s="19">
        <v>0.45</v>
      </c>
      <c r="F249" s="10">
        <v>4.2</v>
      </c>
      <c r="G249" s="11">
        <v>29746.0</v>
      </c>
      <c r="K249" s="17" t="str">
        <f>IFERROR(__xludf.DUMMYFUNCTION("""COMPUTED_VALUE"""),"Fire-Boltt Visionary 1.78"" AMOLED Bluetooth Calling Smartwatch with 368*448 Pixel Resolution 100+ Sports Mode, TWS Connection, Voice Assistance, SPO2 &amp; Heart Rate Monitoring")</f>
        <v>Fire-Boltt Visionary 1.78" AMOLED Bluetooth Calling Smartwatch with 368*448 Pixel Resolution 100+ Sports Mode, TWS Connection, Voice Assistance, SPO2 &amp; Heart Rate Monitoring</v>
      </c>
      <c r="L249" s="17" t="str">
        <f>IFERROR(__xludf.DUMMYFUNCTION("""COMPUTED_VALUE"""),"Electronics|WearableTechnology|SmartWatches")</f>
        <v>Electronics|WearableTechnology|SmartWatches</v>
      </c>
      <c r="M249" s="23">
        <f>IFERROR(__xludf.DUMMYFUNCTION("""COMPUTED_VALUE"""),3999.0)</f>
        <v>3999</v>
      </c>
      <c r="N249" s="23">
        <f>IFERROR(__xludf.DUMMYFUNCTION("""COMPUTED_VALUE"""),16999.0)</f>
        <v>16999</v>
      </c>
      <c r="O249" s="24">
        <f>IFERROR(__xludf.DUMMYFUNCTION("""COMPUTED_VALUE"""),0.76)</f>
        <v>0.76</v>
      </c>
      <c r="P249" s="17">
        <f>IFERROR(__xludf.DUMMYFUNCTION("""COMPUTED_VALUE"""),4.3)</f>
        <v>4.3</v>
      </c>
      <c r="Q249" s="25">
        <f>IFERROR(__xludf.DUMMYFUNCTION("""COMPUTED_VALUE"""),17159.0)</f>
        <v>17159</v>
      </c>
    </row>
    <row r="250">
      <c r="A250" s="7" t="s">
        <v>283</v>
      </c>
      <c r="B250" s="7" t="s">
        <v>15</v>
      </c>
      <c r="C250" s="8">
        <v>129.0</v>
      </c>
      <c r="D250" s="8">
        <v>1000.0</v>
      </c>
      <c r="E250" s="19">
        <v>0.87</v>
      </c>
      <c r="F250" s="10">
        <v>3.9</v>
      </c>
      <c r="G250" s="10">
        <v>295.0</v>
      </c>
      <c r="K250" s="17" t="str">
        <f>IFERROR(__xludf.DUMMYFUNCTION("""COMPUTED_VALUE"""),"Noise ColorFit Pro 4 Advanced Bluetooth Calling Smart Watch with 1.72"" TruView Display, Fully-Functional Digital Crown, 311 PPI, 60Hz Refresh Rate, 500 NITS Brightness (Charcoal Black)")</f>
        <v>Noise ColorFit Pro 4 Advanced Bluetooth Calling Smart Watch with 1.72" TruView Display, Fully-Functional Digital Crown, 311 PPI, 60Hz Refresh Rate, 500 NITS Brightness (Charcoal Black)</v>
      </c>
      <c r="L250" s="17" t="str">
        <f>IFERROR(__xludf.DUMMYFUNCTION("""COMPUTED_VALUE"""),"Electronics|WearableTechnology|SmartWatches")</f>
        <v>Electronics|WearableTechnology|SmartWatches</v>
      </c>
      <c r="M250" s="23">
        <f>IFERROR(__xludf.DUMMYFUNCTION("""COMPUTED_VALUE"""),2998.0)</f>
        <v>2998</v>
      </c>
      <c r="N250" s="23">
        <f>IFERROR(__xludf.DUMMYFUNCTION("""COMPUTED_VALUE"""),5999.0)</f>
        <v>5999</v>
      </c>
      <c r="O250" s="24">
        <f>IFERROR(__xludf.DUMMYFUNCTION("""COMPUTED_VALUE"""),0.5)</f>
        <v>0.5</v>
      </c>
      <c r="P250" s="17">
        <f>IFERROR(__xludf.DUMMYFUNCTION("""COMPUTED_VALUE"""),4.1)</f>
        <v>4.1</v>
      </c>
      <c r="Q250" s="25">
        <f>IFERROR(__xludf.DUMMYFUNCTION("""COMPUTED_VALUE"""),5179.0)</f>
        <v>5179</v>
      </c>
    </row>
    <row r="251">
      <c r="A251" s="7" t="s">
        <v>284</v>
      </c>
      <c r="B251" s="7" t="s">
        <v>37</v>
      </c>
      <c r="C251" s="8">
        <v>77990.0</v>
      </c>
      <c r="D251" s="8" t="s">
        <v>285</v>
      </c>
      <c r="E251" s="19">
        <v>0.44</v>
      </c>
      <c r="F251" s="10">
        <v>4.7</v>
      </c>
      <c r="G251" s="11">
        <v>5935.0</v>
      </c>
      <c r="K251" s="17" t="str">
        <f>IFERROR(__xludf.DUMMYFUNCTION("""COMPUTED_VALUE"""),"iQOO Z6 Lite 5G by vivo (Stellar Green, 6GB RAM, 128GB Storage) | World's First Snapdragon 4 Gen 1 | 120Hz Refresh Rate | 5000mAh Battery | Travel Adapter to be Purchased Separately")</f>
        <v>iQOO Z6 Lite 5G by vivo (Stellar Green, 6GB RAM, 128GB Storage) | World's First Snapdragon 4 Gen 1 | 120Hz Refresh Rate | 5000mAh Battery | Travel Adapter to be Purchased Separately</v>
      </c>
      <c r="L251" s="17" t="str">
        <f>IFERROR(__xludf.DUMMYFUNCTION("""COMPUTED_VALUE"""),"Electronics|Mobiles&amp;Accessories|Smartphones&amp;BasicMobiles|Smartphones")</f>
        <v>Electronics|Mobiles&amp;Accessories|Smartphones&amp;BasicMobiles|Smartphones</v>
      </c>
      <c r="M251" s="23">
        <f>IFERROR(__xludf.DUMMYFUNCTION("""COMPUTED_VALUE"""),15499.0)</f>
        <v>15499</v>
      </c>
      <c r="N251" s="23">
        <f>IFERROR(__xludf.DUMMYFUNCTION("""COMPUTED_VALUE"""),18999.0)</f>
        <v>18999</v>
      </c>
      <c r="O251" s="24">
        <f>IFERROR(__xludf.DUMMYFUNCTION("""COMPUTED_VALUE"""),0.18)</f>
        <v>0.18</v>
      </c>
      <c r="P251" s="17">
        <f>IFERROR(__xludf.DUMMYFUNCTION("""COMPUTED_VALUE"""),4.1)</f>
        <v>4.1</v>
      </c>
      <c r="Q251" s="25">
        <f>IFERROR(__xludf.DUMMYFUNCTION("""COMPUTED_VALUE"""),19252.0)</f>
        <v>19252</v>
      </c>
    </row>
    <row r="252">
      <c r="A252" s="7" t="s">
        <v>286</v>
      </c>
      <c r="B252" s="7" t="s">
        <v>71</v>
      </c>
      <c r="C252" s="8">
        <v>349.0</v>
      </c>
      <c r="D252" s="8">
        <v>799.0</v>
      </c>
      <c r="E252" s="19">
        <v>0.56</v>
      </c>
      <c r="F252" s="10">
        <v>3.6</v>
      </c>
      <c r="G252" s="10">
        <v>323.0</v>
      </c>
      <c r="K252" s="17" t="str">
        <f>IFERROR(__xludf.DUMMYFUNCTION("""COMPUTED_VALUE"""),"Fire-Boltt Ninja Call Pro Plus 1.83"" Smart Watch with Bluetooth Calling, AI Voice Assistance, 100 Sports Modes IP67 Rating, 240*280 Pixel High Resolution")</f>
        <v>Fire-Boltt Ninja Call Pro Plus 1.83" Smart Watch with Bluetooth Calling, AI Voice Assistance, 100 Sports Modes IP67 Rating, 240*280 Pixel High Resolution</v>
      </c>
      <c r="L252" s="17" t="str">
        <f>IFERROR(__xludf.DUMMYFUNCTION("""COMPUTED_VALUE"""),"Electronics|WearableTechnology|SmartWatches")</f>
        <v>Electronics|WearableTechnology|SmartWatches</v>
      </c>
      <c r="M252" s="23">
        <f>IFERROR(__xludf.DUMMYFUNCTION("""COMPUTED_VALUE"""),1799.0)</f>
        <v>1799</v>
      </c>
      <c r="N252" s="23">
        <f>IFERROR(__xludf.DUMMYFUNCTION("""COMPUTED_VALUE"""),19999.0)</f>
        <v>19999</v>
      </c>
      <c r="O252" s="24">
        <f>IFERROR(__xludf.DUMMYFUNCTION("""COMPUTED_VALUE"""),0.91)</f>
        <v>0.91</v>
      </c>
      <c r="P252" s="17">
        <f>IFERROR(__xludf.DUMMYFUNCTION("""COMPUTED_VALUE"""),4.2)</f>
        <v>4.2</v>
      </c>
      <c r="Q252" s="25">
        <f>IFERROR(__xludf.DUMMYFUNCTION("""COMPUTED_VALUE"""),13937.0)</f>
        <v>13937</v>
      </c>
    </row>
    <row r="253">
      <c r="A253" s="7" t="s">
        <v>287</v>
      </c>
      <c r="B253" s="7" t="s">
        <v>71</v>
      </c>
      <c r="C253" s="8">
        <v>499.0</v>
      </c>
      <c r="D253" s="8">
        <v>899.0</v>
      </c>
      <c r="E253" s="19">
        <v>0.44</v>
      </c>
      <c r="F253" s="10">
        <v>3.7</v>
      </c>
      <c r="G253" s="10">
        <v>185.0</v>
      </c>
      <c r="K253" s="17" t="str">
        <f>IFERROR(__xludf.DUMMYFUNCTION("""COMPUTED_VALUE"""),"Duracell 38W Fast Car Charger Adapter with Dual Output. Quick Charge, Type C PD 20W &amp; Qualcomm Certified 3.0 Compatible for iPhone, All Smartphones, Tablets &amp; More (Copper &amp; Black)")</f>
        <v>Duracell 38W Fast Car Charger Adapter with Dual Output. Quick Charge, Type C PD 20W &amp; Qualcomm Certified 3.0 Compatible for iPhone, All Smartphones, Tablets &amp; More (Copper &amp; Black)</v>
      </c>
      <c r="L253" s="17" t="str">
        <f>IFERROR(__xludf.DUMMYFUNCTION("""COMPUTED_VALUE"""),"Electronics|Mobiles&amp;Accessories|MobileAccessories|Chargers|AutomobileChargers")</f>
        <v>Electronics|Mobiles&amp;Accessories|MobileAccessories|Chargers|AutomobileChargers</v>
      </c>
      <c r="M253" s="23">
        <f>IFERROR(__xludf.DUMMYFUNCTION("""COMPUTED_VALUE"""),873.0)</f>
        <v>873</v>
      </c>
      <c r="N253" s="23">
        <f>IFERROR(__xludf.DUMMYFUNCTION("""COMPUTED_VALUE"""),1699.0)</f>
        <v>1699</v>
      </c>
      <c r="O253" s="24">
        <f>IFERROR(__xludf.DUMMYFUNCTION("""COMPUTED_VALUE"""),0.49)</f>
        <v>0.49</v>
      </c>
      <c r="P253" s="17">
        <f>IFERROR(__xludf.DUMMYFUNCTION("""COMPUTED_VALUE"""),4.4)</f>
        <v>4.4</v>
      </c>
      <c r="Q253" s="25">
        <f>IFERROR(__xludf.DUMMYFUNCTION("""COMPUTED_VALUE"""),1680.0)</f>
        <v>1680</v>
      </c>
    </row>
    <row r="254">
      <c r="A254" s="7" t="s">
        <v>288</v>
      </c>
      <c r="B254" s="7" t="s">
        <v>15</v>
      </c>
      <c r="C254" s="8">
        <v>299.0</v>
      </c>
      <c r="D254" s="8">
        <v>799.0</v>
      </c>
      <c r="E254" s="19">
        <v>0.63</v>
      </c>
      <c r="F254" s="10">
        <v>4.2</v>
      </c>
      <c r="G254" s="11">
        <v>2117.0</v>
      </c>
      <c r="K254" s="17" t="str">
        <f>IFERROR(__xludf.DUMMYFUNCTION("""COMPUTED_VALUE"""),"realme narzo 50 (Speed Blue, 4GB RAM+64GB Storage) Helio G96 Processor | 50MP AI Triple Camera | 120Hz Ultra Smooth Display")</f>
        <v>realme narzo 50 (Speed Blue, 4GB RAM+64GB Storage) Helio G96 Processor | 50MP AI Triple Camera | 120Hz Ultra Smooth Display</v>
      </c>
      <c r="L254" s="17" t="str">
        <f>IFERROR(__xludf.DUMMYFUNCTION("""COMPUTED_VALUE"""),"Electronics|Mobiles&amp;Accessories|Smartphones&amp;BasicMobiles|Smartphones")</f>
        <v>Electronics|Mobiles&amp;Accessories|Smartphones&amp;BasicMobiles|Smartphones</v>
      </c>
      <c r="M254" s="23">
        <f>IFERROR(__xludf.DUMMYFUNCTION("""COMPUTED_VALUE"""),12999.0)</f>
        <v>12999</v>
      </c>
      <c r="N254" s="23">
        <f>IFERROR(__xludf.DUMMYFUNCTION("""COMPUTED_VALUE"""),15999.0)</f>
        <v>15999</v>
      </c>
      <c r="O254" s="24">
        <f>IFERROR(__xludf.DUMMYFUNCTION("""COMPUTED_VALUE"""),0.19)</f>
        <v>0.19</v>
      </c>
      <c r="P254" s="17">
        <f>IFERROR(__xludf.DUMMYFUNCTION("""COMPUTED_VALUE"""),4.2)</f>
        <v>4.2</v>
      </c>
      <c r="Q254" s="25">
        <f>IFERROR(__xludf.DUMMYFUNCTION("""COMPUTED_VALUE"""),13246.0)</f>
        <v>13246</v>
      </c>
    </row>
    <row r="255">
      <c r="A255" s="7" t="s">
        <v>289</v>
      </c>
      <c r="B255" s="7" t="s">
        <v>15</v>
      </c>
      <c r="C255" s="8">
        <v>182.0</v>
      </c>
      <c r="D255" s="8">
        <v>599.0</v>
      </c>
      <c r="E255" s="19">
        <v>0.7</v>
      </c>
      <c r="F255" s="10">
        <v>4.0</v>
      </c>
      <c r="G255" s="11">
        <v>9378.0</v>
      </c>
      <c r="K255" s="17" t="str">
        <f>IFERROR(__xludf.DUMMYFUNCTION("""COMPUTED_VALUE"""),"Fire-Boltt Phoenix Smart Watch with Bluetooth Calling 1.3"",120+ Sports Modes, 240*240 PX High Res with SpO2, Heart Rate Monitoring &amp; IP67 Rating")</f>
        <v>Fire-Boltt Phoenix Smart Watch with Bluetooth Calling 1.3",120+ Sports Modes, 240*240 PX High Res with SpO2, Heart Rate Monitoring &amp; IP67 Rating</v>
      </c>
      <c r="L255" s="17" t="str">
        <f>IFERROR(__xludf.DUMMYFUNCTION("""COMPUTED_VALUE"""),"Electronics|WearableTechnology|SmartWatches")</f>
        <v>Electronics|WearableTechnology|SmartWatches</v>
      </c>
      <c r="M255" s="23">
        <f>IFERROR(__xludf.DUMMYFUNCTION("""COMPUTED_VALUE"""),1999.0)</f>
        <v>1999</v>
      </c>
      <c r="N255" s="23">
        <f>IFERROR(__xludf.DUMMYFUNCTION("""COMPUTED_VALUE"""),9999.0)</f>
        <v>9999</v>
      </c>
      <c r="O255" s="24">
        <f>IFERROR(__xludf.DUMMYFUNCTION("""COMPUTED_VALUE"""),0.8)</f>
        <v>0.8</v>
      </c>
      <c r="P255" s="17">
        <f>IFERROR(__xludf.DUMMYFUNCTION("""COMPUTED_VALUE"""),4.3)</f>
        <v>4.3</v>
      </c>
      <c r="Q255" s="25">
        <f>IFERROR(__xludf.DUMMYFUNCTION("""COMPUTED_VALUE"""),27696.0)</f>
        <v>27696</v>
      </c>
    </row>
    <row r="256">
      <c r="A256" s="7" t="s">
        <v>290</v>
      </c>
      <c r="B256" s="7" t="s">
        <v>93</v>
      </c>
      <c r="C256" s="8">
        <v>96.0</v>
      </c>
      <c r="D256" s="8">
        <v>399.0</v>
      </c>
      <c r="E256" s="19">
        <v>0.76</v>
      </c>
      <c r="F256" s="10">
        <v>3.6</v>
      </c>
      <c r="G256" s="11">
        <v>1796.0</v>
      </c>
      <c r="K256" s="17" t="str">
        <f>IFERROR(__xludf.DUMMYFUNCTION("""COMPUTED_VALUE"""),"OPPO A74 5G (Fantastic Purple,6GB RAM,128GB Storage) with No Cost EMI/Additional Exchange Offers")</f>
        <v>OPPO A74 5G (Fantastic Purple,6GB RAM,128GB Storage) with No Cost EMI/Additional Exchange Offers</v>
      </c>
      <c r="L256" s="17" t="str">
        <f>IFERROR(__xludf.DUMMYFUNCTION("""COMPUTED_VALUE"""),"Electronics|Mobiles&amp;Accessories|Smartphones&amp;BasicMobiles|Smartphones")</f>
        <v>Electronics|Mobiles&amp;Accessories|Smartphones&amp;BasicMobiles|Smartphones</v>
      </c>
      <c r="M256" s="23">
        <f>IFERROR(__xludf.DUMMYFUNCTION("""COMPUTED_VALUE"""),15490.0)</f>
        <v>15490</v>
      </c>
      <c r="N256" s="23">
        <f>IFERROR(__xludf.DUMMYFUNCTION("""COMPUTED_VALUE"""),20990.0)</f>
        <v>20990</v>
      </c>
      <c r="O256" s="24">
        <f>IFERROR(__xludf.DUMMYFUNCTION("""COMPUTED_VALUE"""),0.26)</f>
        <v>0.26</v>
      </c>
      <c r="P256" s="17">
        <f>IFERROR(__xludf.DUMMYFUNCTION("""COMPUTED_VALUE"""),4.2)</f>
        <v>4.2</v>
      </c>
      <c r="Q256" s="25">
        <f>IFERROR(__xludf.DUMMYFUNCTION("""COMPUTED_VALUE"""),32916.0)</f>
        <v>32916</v>
      </c>
    </row>
    <row r="257">
      <c r="A257" s="7" t="s">
        <v>291</v>
      </c>
      <c r="B257" s="7" t="s">
        <v>37</v>
      </c>
      <c r="C257" s="8">
        <v>54990.0</v>
      </c>
      <c r="D257" s="8">
        <v>85000.0</v>
      </c>
      <c r="E257" s="19">
        <v>0.35</v>
      </c>
      <c r="F257" s="10">
        <v>4.3</v>
      </c>
      <c r="G257" s="11">
        <v>3587.0</v>
      </c>
      <c r="K257" s="17" t="str">
        <f>IFERROR(__xludf.DUMMYFUNCTION("""COMPUTED_VALUE"""),"Samsung Original 25W USB Travel Lightning Adapter for Cellular Phones, Black")</f>
        <v>Samsung Original 25W USB Travel Lightning Adapter for Cellular Phones, Black</v>
      </c>
      <c r="L257" s="17" t="str">
        <f>IFERROR(__xludf.DUMMYFUNCTION("""COMPUTED_VALUE"""),"Electronics|Mobiles&amp;Accessories|MobileAccessories|Chargers|WallChargers")</f>
        <v>Electronics|Mobiles&amp;Accessories|MobileAccessories|Chargers|WallChargers</v>
      </c>
      <c r="M257" s="23">
        <f>IFERROR(__xludf.DUMMYFUNCTION("""COMPUTED_VALUE"""),1075.0)</f>
        <v>1075</v>
      </c>
      <c r="N257" s="23">
        <f>IFERROR(__xludf.DUMMYFUNCTION("""COMPUTED_VALUE"""),1699.0)</f>
        <v>1699</v>
      </c>
      <c r="O257" s="24">
        <f>IFERROR(__xludf.DUMMYFUNCTION("""COMPUTED_VALUE"""),0.37)</f>
        <v>0.37</v>
      </c>
      <c r="P257" s="17">
        <f>IFERROR(__xludf.DUMMYFUNCTION("""COMPUTED_VALUE"""),4.4)</f>
        <v>4.4</v>
      </c>
      <c r="Q257" s="25">
        <f>IFERROR(__xludf.DUMMYFUNCTION("""COMPUTED_VALUE"""),7462.0)</f>
        <v>7462</v>
      </c>
    </row>
    <row r="258">
      <c r="A258" s="7" t="s">
        <v>292</v>
      </c>
      <c r="B258" s="7" t="s">
        <v>155</v>
      </c>
      <c r="C258" s="8">
        <v>439.0</v>
      </c>
      <c r="D258" s="8">
        <v>758.0</v>
      </c>
      <c r="E258" s="19">
        <v>0.42</v>
      </c>
      <c r="F258" s="10">
        <v>4.2</v>
      </c>
      <c r="G258" s="11">
        <v>4296.0</v>
      </c>
      <c r="K258" s="17" t="str">
        <f>IFERROR(__xludf.DUMMYFUNCTION("""COMPUTED_VALUE"""),"boAt Deuce USB 300 2 in 1 Type-C &amp; Micro USB Stress Resistant, Tangle-Free, Sturdy Cable with 3A Fast Charging &amp; 480mbps Data Transmission, 10000+ Bends Lifespan and Extended 1.5m Length(Martian Red)")</f>
        <v>boAt Deuce USB 300 2 in 1 Type-C &amp; Micro USB Stress Resistant, Tangle-Free, Sturdy Cable with 3A Fast Charging &amp; 480mbps Data Transmission, 10000+ Bends Lifespan and Extended 1.5m Length(Martian Red)</v>
      </c>
      <c r="L258" s="17" t="str">
        <f>IFERROR(__xludf.DUMMYFUNCTION("""COMPUTED_VALUE"""),"Computers&amp;Accessories|Accessories&amp;Peripherals|Cables&amp;Accessories|Cables|USBCables")</f>
        <v>Computers&amp;Accessories|Accessories&amp;Peripherals|Cables&amp;Accessories|Cables|USBCables</v>
      </c>
      <c r="M258" s="23">
        <f>IFERROR(__xludf.DUMMYFUNCTION("""COMPUTED_VALUE"""),329.0)</f>
        <v>329</v>
      </c>
      <c r="N258" s="23">
        <f>IFERROR(__xludf.DUMMYFUNCTION("""COMPUTED_VALUE"""),699.0)</f>
        <v>699</v>
      </c>
      <c r="O258" s="24">
        <f>IFERROR(__xludf.DUMMYFUNCTION("""COMPUTED_VALUE"""),0.53)</f>
        <v>0.53</v>
      </c>
      <c r="P258" s="17">
        <f>IFERROR(__xludf.DUMMYFUNCTION("""COMPUTED_VALUE"""),4.2)</f>
        <v>4.2</v>
      </c>
      <c r="Q258" s="25">
        <f>IFERROR(__xludf.DUMMYFUNCTION("""COMPUTED_VALUE"""),94364.0)</f>
        <v>94364</v>
      </c>
    </row>
    <row r="259">
      <c r="A259" s="7" t="s">
        <v>293</v>
      </c>
      <c r="B259" s="7" t="s">
        <v>15</v>
      </c>
      <c r="C259" s="8">
        <v>299.0</v>
      </c>
      <c r="D259" s="8">
        <v>999.0</v>
      </c>
      <c r="E259" s="19">
        <v>0.7</v>
      </c>
      <c r="F259" s="10">
        <v>4.3</v>
      </c>
      <c r="G259" s="11">
        <v>2651.0</v>
      </c>
      <c r="K259" s="17" t="str">
        <f>IFERROR(__xludf.DUMMYFUNCTION("""COMPUTED_VALUE"""),"Portronics Konnect L 1.2M Fast Charging 3A 8 Pin USB Cable with Charge &amp; Sync Function for iPhone, iPad (Grey)")</f>
        <v>Portronics Konnect L 1.2M Fast Charging 3A 8 Pin USB Cable with Charge &amp; Sync Function for iPhone, iPad (Grey)</v>
      </c>
      <c r="L259" s="17" t="str">
        <f>IFERROR(__xludf.DUMMYFUNCTION("""COMPUTED_VALUE"""),"Computers&amp;Accessories|Accessories&amp;Peripherals|Cables&amp;Accessories|Cables|USBCables")</f>
        <v>Computers&amp;Accessories|Accessories&amp;Peripherals|Cables&amp;Accessories|Cables|USBCables</v>
      </c>
      <c r="M259" s="23">
        <f>IFERROR(__xludf.DUMMYFUNCTION("""COMPUTED_VALUE"""),154.0)</f>
        <v>154</v>
      </c>
      <c r="N259" s="23">
        <f>IFERROR(__xludf.DUMMYFUNCTION("""COMPUTED_VALUE"""),399.0)</f>
        <v>399</v>
      </c>
      <c r="O259" s="24">
        <f>IFERROR(__xludf.DUMMYFUNCTION("""COMPUTED_VALUE"""),0.61)</f>
        <v>0.61</v>
      </c>
      <c r="P259" s="17">
        <f>IFERROR(__xludf.DUMMYFUNCTION("""COMPUTED_VALUE"""),4.2)</f>
        <v>4.2</v>
      </c>
      <c r="Q259" s="25">
        <f>IFERROR(__xludf.DUMMYFUNCTION("""COMPUTED_VALUE"""),16905.0)</f>
        <v>16905</v>
      </c>
    </row>
    <row r="260">
      <c r="A260" s="7" t="s">
        <v>294</v>
      </c>
      <c r="B260" s="7" t="s">
        <v>15</v>
      </c>
      <c r="C260" s="8">
        <v>299.0</v>
      </c>
      <c r="D260" s="8">
        <v>799.0</v>
      </c>
      <c r="E260" s="19">
        <v>0.63</v>
      </c>
      <c r="F260" s="10">
        <v>4.2</v>
      </c>
      <c r="G260" s="11">
        <v>94363.0</v>
      </c>
      <c r="K260" s="17" t="str">
        <f>IFERROR(__xludf.DUMMYFUNCTION("""COMPUTED_VALUE"""),"iQOO Neo 6 5G (Dark Nova, 8GB RAM, 128GB Storage) | Snapdragon® 870 5G | 80W FlashCharge")</f>
        <v>iQOO Neo 6 5G (Dark Nova, 8GB RAM, 128GB Storage) | Snapdragon® 870 5G | 80W FlashCharge</v>
      </c>
      <c r="L260" s="17" t="str">
        <f>IFERROR(__xludf.DUMMYFUNCTION("""COMPUTED_VALUE"""),"Electronics|Mobiles&amp;Accessories|Smartphones&amp;BasicMobiles|Smartphones")</f>
        <v>Electronics|Mobiles&amp;Accessories|Smartphones&amp;BasicMobiles|Smartphones</v>
      </c>
      <c r="M260" s="23">
        <f>IFERROR(__xludf.DUMMYFUNCTION("""COMPUTED_VALUE"""),28999.0)</f>
        <v>28999</v>
      </c>
      <c r="N260" s="23">
        <f>IFERROR(__xludf.DUMMYFUNCTION("""COMPUTED_VALUE"""),34999.0)</f>
        <v>34999</v>
      </c>
      <c r="O260" s="24">
        <f>IFERROR(__xludf.DUMMYFUNCTION("""COMPUTED_VALUE"""),0.17)</f>
        <v>0.17</v>
      </c>
      <c r="P260" s="17">
        <f>IFERROR(__xludf.DUMMYFUNCTION("""COMPUTED_VALUE"""),4.4)</f>
        <v>4.4</v>
      </c>
      <c r="Q260" s="25">
        <f>IFERROR(__xludf.DUMMYFUNCTION("""COMPUTED_VALUE"""),20311.0)</f>
        <v>20311</v>
      </c>
    </row>
    <row r="261">
      <c r="A261" s="7" t="s">
        <v>295</v>
      </c>
      <c r="B261" s="7" t="s">
        <v>15</v>
      </c>
      <c r="C261" s="8">
        <v>789.0</v>
      </c>
      <c r="D261" s="8">
        <v>1999.0</v>
      </c>
      <c r="E261" s="19">
        <v>0.61</v>
      </c>
      <c r="F261" s="10">
        <v>4.2</v>
      </c>
      <c r="G261" s="11">
        <v>34540.0</v>
      </c>
      <c r="K261" s="17" t="str">
        <f>IFERROR(__xludf.DUMMYFUNCTION("""COMPUTED_VALUE"""),"boAt Xtend Smartwatch with Alexa Built-in, 1.69” HD Display, Multiple Watch Faces, Stress Monitor, Heart &amp; SpO2 Monitoring, 14 Sports Modes, Sleep Monitor, 5 ATM &amp; 7 Days Battery(Charcoal Black)")</f>
        <v>boAt Xtend Smartwatch with Alexa Built-in, 1.69” HD Display, Multiple Watch Faces, Stress Monitor, Heart &amp; SpO2 Monitoring, 14 Sports Modes, Sleep Monitor, 5 ATM &amp; 7 Days Battery(Charcoal Black)</v>
      </c>
      <c r="L261" s="17" t="str">
        <f>IFERROR(__xludf.DUMMYFUNCTION("""COMPUTED_VALUE"""),"Electronics|WearableTechnology|SmartWatches")</f>
        <v>Electronics|WearableTechnology|SmartWatches</v>
      </c>
      <c r="M261" s="23">
        <f>IFERROR(__xludf.DUMMYFUNCTION("""COMPUTED_VALUE"""),2299.0)</f>
        <v>2299</v>
      </c>
      <c r="N261" s="23">
        <f>IFERROR(__xludf.DUMMYFUNCTION("""COMPUTED_VALUE"""),7990.0)</f>
        <v>7990</v>
      </c>
      <c r="O261" s="24">
        <f>IFERROR(__xludf.DUMMYFUNCTION("""COMPUTED_VALUE"""),0.71)</f>
        <v>0.71</v>
      </c>
      <c r="P261" s="17">
        <f>IFERROR(__xludf.DUMMYFUNCTION("""COMPUTED_VALUE"""),4.2)</f>
        <v>4.2</v>
      </c>
      <c r="Q261" s="25">
        <f>IFERROR(__xludf.DUMMYFUNCTION("""COMPUTED_VALUE"""),69622.0)</f>
        <v>69622</v>
      </c>
    </row>
    <row r="262">
      <c r="A262" s="7" t="s">
        <v>296</v>
      </c>
      <c r="B262" s="7" t="s">
        <v>31</v>
      </c>
      <c r="C262" s="8">
        <v>299.0</v>
      </c>
      <c r="D262" s="8">
        <v>700.0</v>
      </c>
      <c r="E262" s="19">
        <v>0.57</v>
      </c>
      <c r="F262" s="10">
        <v>4.4</v>
      </c>
      <c r="G262" s="11">
        <v>8714.0</v>
      </c>
      <c r="K262" s="17" t="str">
        <f>IFERROR(__xludf.DUMMYFUNCTION("""COMPUTED_VALUE"""),"Samsung EVO Plus 128GB microSDXC UHS-I U3 130MB/s Full HD &amp; 4K UHD Memory Card with Adapter (MB-MC128KA), Blue")</f>
        <v>Samsung EVO Plus 128GB microSDXC UHS-I U3 130MB/s Full HD &amp; 4K UHD Memory Card with Adapter (MB-MC128KA), Blue</v>
      </c>
      <c r="L262" s="17" t="str">
        <f>IFERROR(__xludf.DUMMYFUNCTION("""COMPUTED_VALUE"""),"Electronics|Accessories|MemoryCards|MicroSD")</f>
        <v>Electronics|Accessories|MemoryCards|MicroSD</v>
      </c>
      <c r="M262" s="23">
        <f>IFERROR(__xludf.DUMMYFUNCTION("""COMPUTED_VALUE"""),1149.0)</f>
        <v>1149</v>
      </c>
      <c r="N262" s="23">
        <f>IFERROR(__xludf.DUMMYFUNCTION("""COMPUTED_VALUE"""),3999.0)</f>
        <v>3999</v>
      </c>
      <c r="O262" s="24">
        <f>IFERROR(__xludf.DUMMYFUNCTION("""COMPUTED_VALUE"""),0.71)</f>
        <v>0.71</v>
      </c>
      <c r="P262" s="17">
        <f>IFERROR(__xludf.DUMMYFUNCTION("""COMPUTED_VALUE"""),4.3)</f>
        <v>4.3</v>
      </c>
      <c r="Q262" s="17" t="str">
        <f>IFERROR(__xludf.DUMMYFUNCTION("""COMPUTED_VALUE"""),"1,40,036")</f>
        <v>1,40,036</v>
      </c>
    </row>
    <row r="263">
      <c r="A263" s="7" t="s">
        <v>297</v>
      </c>
      <c r="B263" s="7" t="s">
        <v>15</v>
      </c>
      <c r="C263" s="8">
        <v>325.0</v>
      </c>
      <c r="D263" s="8">
        <v>1099.0</v>
      </c>
      <c r="E263" s="19">
        <v>0.7</v>
      </c>
      <c r="F263" s="10">
        <v>4.2</v>
      </c>
      <c r="G263" s="11">
        <v>10576.0</v>
      </c>
      <c r="K263" s="17" t="str">
        <f>IFERROR(__xludf.DUMMYFUNCTION("""COMPUTED_VALUE"""),"Portronics Adapto 20 Type C 20W Fast PD/Type C Adapter Charger with Fast Charging for iPhone 12/12 Pro/12 Mini/12 Pro Max/11/XS/XR/X/8/Plus, iPad Pro/Air/Mini, Galaxy 10/9/8 (Adapter Only) White")</f>
        <v>Portronics Adapto 20 Type C 20W Fast PD/Type C Adapter Charger with Fast Charging for iPhone 12/12 Pro/12 Mini/12 Pro Max/11/XS/XR/X/8/Plus, iPad Pro/Air/Mini, Galaxy 10/9/8 (Adapter Only) White</v>
      </c>
      <c r="L263" s="17" t="str">
        <f>IFERROR(__xludf.DUMMYFUNCTION("""COMPUTED_VALUE"""),"Electronics|Mobiles&amp;Accessories|MobileAccessories|Chargers|WallChargers")</f>
        <v>Electronics|Mobiles&amp;Accessories|MobileAccessories|Chargers|WallChargers</v>
      </c>
      <c r="M263" s="23">
        <f>IFERROR(__xludf.DUMMYFUNCTION("""COMPUTED_VALUE"""),529.0)</f>
        <v>529</v>
      </c>
      <c r="N263" s="23">
        <f>IFERROR(__xludf.DUMMYFUNCTION("""COMPUTED_VALUE"""),1499.0)</f>
        <v>1499</v>
      </c>
      <c r="O263" s="24">
        <f>IFERROR(__xludf.DUMMYFUNCTION("""COMPUTED_VALUE"""),0.65)</f>
        <v>0.65</v>
      </c>
      <c r="P263" s="17">
        <f>IFERROR(__xludf.DUMMYFUNCTION("""COMPUTED_VALUE"""),4.1)</f>
        <v>4.1</v>
      </c>
      <c r="Q263" s="25">
        <f>IFERROR(__xludf.DUMMYFUNCTION("""COMPUTED_VALUE"""),8599.0)</f>
        <v>8599</v>
      </c>
    </row>
    <row r="264">
      <c r="A264" s="7" t="s">
        <v>298</v>
      </c>
      <c r="B264" s="7" t="s">
        <v>15</v>
      </c>
      <c r="C264" s="8">
        <v>1299.0</v>
      </c>
      <c r="D264" s="8">
        <v>1999.0</v>
      </c>
      <c r="E264" s="19">
        <v>0.35</v>
      </c>
      <c r="F264" s="10">
        <v>4.4</v>
      </c>
      <c r="G264" s="11">
        <v>7318.0</v>
      </c>
      <c r="K264" s="17" t="str">
        <f>IFERROR(__xludf.DUMMYFUNCTION("""COMPUTED_VALUE"""),"Samsung Galaxy M13 5G (Aqua Green, 6GB, 128GB Storage) | 5000mAh Battery | Upto 12GB RAM with RAM Plus")</f>
        <v>Samsung Galaxy M13 5G (Aqua Green, 6GB, 128GB Storage) | 5000mAh Battery | Upto 12GB RAM with RAM Plus</v>
      </c>
      <c r="L264" s="17" t="str">
        <f>IFERROR(__xludf.DUMMYFUNCTION("""COMPUTED_VALUE"""),"Electronics|Mobiles&amp;Accessories|Smartphones&amp;BasicMobiles|Smartphones")</f>
        <v>Electronics|Mobiles&amp;Accessories|Smartphones&amp;BasicMobiles|Smartphones</v>
      </c>
      <c r="M264" s="23">
        <f>IFERROR(__xludf.DUMMYFUNCTION("""COMPUTED_VALUE"""),13999.0)</f>
        <v>13999</v>
      </c>
      <c r="N264" s="23">
        <f>IFERROR(__xludf.DUMMYFUNCTION("""COMPUTED_VALUE"""),19499.0)</f>
        <v>19499</v>
      </c>
      <c r="O264" s="24">
        <f>IFERROR(__xludf.DUMMYFUNCTION("""COMPUTED_VALUE"""),0.28)</f>
        <v>0.28</v>
      </c>
      <c r="P264" s="17">
        <f>IFERROR(__xludf.DUMMYFUNCTION("""COMPUTED_VALUE"""),4.1)</f>
        <v>4.1</v>
      </c>
      <c r="Q264" s="25">
        <f>IFERROR(__xludf.DUMMYFUNCTION("""COMPUTED_VALUE"""),18998.0)</f>
        <v>18998</v>
      </c>
    </row>
    <row r="265">
      <c r="A265" s="7" t="s">
        <v>299</v>
      </c>
      <c r="B265" s="7" t="s">
        <v>71</v>
      </c>
      <c r="C265" s="8">
        <v>790.0</v>
      </c>
      <c r="D265" s="8">
        <v>1999.0</v>
      </c>
      <c r="E265" s="19">
        <v>0.6</v>
      </c>
      <c r="F265" s="10">
        <v>3.0</v>
      </c>
      <c r="G265" s="10">
        <v>103.0</v>
      </c>
      <c r="K265" s="17" t="str">
        <f>IFERROR(__xludf.DUMMYFUNCTION("""COMPUTED_VALUE"""),"boAt Bassheads 100 in Ear Wired Earphones with Mic(Furious Red)")</f>
        <v>boAt Bassheads 100 in Ear Wired Earphones with Mic(Furious Red)</v>
      </c>
      <c r="L265" s="17" t="str">
        <f>IFERROR(__xludf.DUMMYFUNCTION("""COMPUTED_VALUE"""),"Electronics|Headphones,Earbuds&amp;Accessories|Headphones|In-Ear")</f>
        <v>Electronics|Headphones,Earbuds&amp;Accessories|Headphones|In-Ear</v>
      </c>
      <c r="M265" s="23">
        <f>IFERROR(__xludf.DUMMYFUNCTION("""COMPUTED_VALUE"""),379.0)</f>
        <v>379</v>
      </c>
      <c r="N265" s="23">
        <f>IFERROR(__xludf.DUMMYFUNCTION("""COMPUTED_VALUE"""),999.0)</f>
        <v>999</v>
      </c>
      <c r="O265" s="24">
        <f>IFERROR(__xludf.DUMMYFUNCTION("""COMPUTED_VALUE"""),0.62)</f>
        <v>0.62</v>
      </c>
      <c r="P265" s="17">
        <f>IFERROR(__xludf.DUMMYFUNCTION("""COMPUTED_VALUE"""),4.1)</f>
        <v>4.1</v>
      </c>
      <c r="Q265" s="17" t="str">
        <f>IFERROR(__xludf.DUMMYFUNCTION("""COMPUTED_VALUE"""),"3,63,713")</f>
        <v>3,63,713</v>
      </c>
    </row>
    <row r="266">
      <c r="A266" s="7" t="s">
        <v>300</v>
      </c>
      <c r="B266" s="7" t="s">
        <v>301</v>
      </c>
      <c r="C266" s="8">
        <v>4699.0</v>
      </c>
      <c r="D266" s="8">
        <v>4699.0</v>
      </c>
      <c r="E266" s="19">
        <v>0.0</v>
      </c>
      <c r="F266" s="10">
        <v>4.5</v>
      </c>
      <c r="G266" s="10">
        <v>224.0</v>
      </c>
      <c r="K266" s="17" t="str">
        <f>IFERROR(__xludf.DUMMYFUNCTION("""COMPUTED_VALUE"""),"iQOO Z6 44W by vivo (Lumina Blue, 4GB RAM, 128GB Storage) | 6.44"" FHD+ AMOLED Display | 50% Charge in just 27 mins | in-Display Fingerprint Scanning")</f>
        <v>iQOO Z6 44W by vivo (Lumina Blue, 4GB RAM, 128GB Storage) | 6.44" FHD+ AMOLED Display | 50% Charge in just 27 mins | in-Display Fingerprint Scanning</v>
      </c>
      <c r="L266" s="17" t="str">
        <f>IFERROR(__xludf.DUMMYFUNCTION("""COMPUTED_VALUE"""),"Electronics|Mobiles&amp;Accessories|Smartphones&amp;BasicMobiles|Smartphones")</f>
        <v>Electronics|Mobiles&amp;Accessories|Smartphones&amp;BasicMobiles|Smartphones</v>
      </c>
      <c r="M266" s="23">
        <f>IFERROR(__xludf.DUMMYFUNCTION("""COMPUTED_VALUE"""),13999.0)</f>
        <v>13999</v>
      </c>
      <c r="N266" s="23">
        <f>IFERROR(__xludf.DUMMYFUNCTION("""COMPUTED_VALUE"""),19999.0)</f>
        <v>19999</v>
      </c>
      <c r="O266" s="24">
        <f>IFERROR(__xludf.DUMMYFUNCTION("""COMPUTED_VALUE"""),0.3)</f>
        <v>0.3</v>
      </c>
      <c r="P266" s="17">
        <f>IFERROR(__xludf.DUMMYFUNCTION("""COMPUTED_VALUE"""),4.1)</f>
        <v>4.1</v>
      </c>
      <c r="Q266" s="25">
        <f>IFERROR(__xludf.DUMMYFUNCTION("""COMPUTED_VALUE"""),19252.0)</f>
        <v>19252</v>
      </c>
    </row>
    <row r="267">
      <c r="A267" s="7" t="s">
        <v>302</v>
      </c>
      <c r="B267" s="7" t="s">
        <v>37</v>
      </c>
      <c r="C267" s="8">
        <v>18999.0</v>
      </c>
      <c r="D267" s="8">
        <v>24990.0</v>
      </c>
      <c r="E267" s="19">
        <v>0.24</v>
      </c>
      <c r="F267" s="10">
        <v>4.3</v>
      </c>
      <c r="G267" s="11">
        <v>4702.0</v>
      </c>
      <c r="K267" s="17" t="str">
        <f>IFERROR(__xludf.DUMMYFUNCTION("""COMPUTED_VALUE"""),"Fire-Boltt Gladiator 1.96"" Biggest Display Smart Watch with Bluetooth Calling, Voice Assistant &amp;123 Sports Modes, 8 Unique UI Interactions, SpO2, 24/7 Heart Rate Tracking")</f>
        <v>Fire-Boltt Gladiator 1.96" Biggest Display Smart Watch with Bluetooth Calling, Voice Assistant &amp;123 Sports Modes, 8 Unique UI Interactions, SpO2, 24/7 Heart Rate Tracking</v>
      </c>
      <c r="L267" s="17" t="str">
        <f>IFERROR(__xludf.DUMMYFUNCTION("""COMPUTED_VALUE"""),"Electronics|WearableTechnology|SmartWatches")</f>
        <v>Electronics|WearableTechnology|SmartWatches</v>
      </c>
      <c r="M267" s="23">
        <f>IFERROR(__xludf.DUMMYFUNCTION("""COMPUTED_VALUE"""),3999.0)</f>
        <v>3999</v>
      </c>
      <c r="N267" s="23">
        <f>IFERROR(__xludf.DUMMYFUNCTION("""COMPUTED_VALUE"""),9999.0)</f>
        <v>9999</v>
      </c>
      <c r="O267" s="24">
        <f>IFERROR(__xludf.DUMMYFUNCTION("""COMPUTED_VALUE"""),0.6)</f>
        <v>0.6</v>
      </c>
      <c r="P267" s="17">
        <f>IFERROR(__xludf.DUMMYFUNCTION("""COMPUTED_VALUE"""),4.4)</f>
        <v>4.4</v>
      </c>
      <c r="Q267" s="17">
        <f>IFERROR(__xludf.DUMMYFUNCTION("""COMPUTED_VALUE"""),73.0)</f>
        <v>73</v>
      </c>
    </row>
    <row r="268">
      <c r="A268" s="7" t="s">
        <v>303</v>
      </c>
      <c r="B268" s="7" t="s">
        <v>15</v>
      </c>
      <c r="C268" s="8">
        <v>199.0</v>
      </c>
      <c r="D268" s="8">
        <v>999.0</v>
      </c>
      <c r="E268" s="19">
        <v>0.8</v>
      </c>
      <c r="F268" s="10">
        <v>4.2</v>
      </c>
      <c r="G268" s="10">
        <v>85.0</v>
      </c>
      <c r="K268" s="17" t="str">
        <f>IFERROR(__xludf.DUMMYFUNCTION("""COMPUTED_VALUE"""),"STRIFF PS2_01 Multi Angle Mobile/Tablet Tabletop Stand. Phone Holder for iPhone, Android, Samsung, OnePlus, Xiaomi. Portable, Foldable Cell Phone Stand. Perfect for Bed, Office, Home &amp; Desktop (Black)")</f>
        <v>STRIFF PS2_01 Multi Angle Mobile/Tablet Tabletop Stand. Phone Holder for iPhone, Android, Samsung, OnePlus, Xiaomi. Portable, Foldable Cell Phone Stand. Perfect for Bed, Office, Home &amp; Desktop (Black)</v>
      </c>
      <c r="L268" s="17" t="str">
        <f>IFERROR(__xludf.DUMMYFUNCTION("""COMPUTED_VALUE"""),"Electronics|Mobiles&amp;Accessories|MobileAccessories|Stands")</f>
        <v>Electronics|Mobiles&amp;Accessories|MobileAccessories|Stands</v>
      </c>
      <c r="M268" s="23">
        <f>IFERROR(__xludf.DUMMYFUNCTION("""COMPUTED_VALUE"""),99.0)</f>
        <v>99</v>
      </c>
      <c r="N268" s="23">
        <f>IFERROR(__xludf.DUMMYFUNCTION("""COMPUTED_VALUE"""),499.0)</f>
        <v>499</v>
      </c>
      <c r="O268" s="24">
        <f>IFERROR(__xludf.DUMMYFUNCTION("""COMPUTED_VALUE"""),0.8)</f>
        <v>0.8</v>
      </c>
      <c r="P268" s="17">
        <f>IFERROR(__xludf.DUMMYFUNCTION("""COMPUTED_VALUE"""),4.3)</f>
        <v>4.3</v>
      </c>
      <c r="Q268" s="25">
        <f>IFERROR(__xludf.DUMMYFUNCTION("""COMPUTED_VALUE"""),42641.0)</f>
        <v>42641</v>
      </c>
    </row>
    <row r="269">
      <c r="A269" s="7" t="s">
        <v>304</v>
      </c>
      <c r="B269" s="7" t="s">
        <v>31</v>
      </c>
      <c r="C269" s="8">
        <v>269.0</v>
      </c>
      <c r="D269" s="8">
        <v>650.0</v>
      </c>
      <c r="E269" s="19">
        <v>0.59</v>
      </c>
      <c r="F269" s="10">
        <v>4.4</v>
      </c>
      <c r="G269" s="11">
        <v>35877.0</v>
      </c>
      <c r="K269" s="17" t="str">
        <f>IFERROR(__xludf.DUMMYFUNCTION("""COMPUTED_VALUE"""),"OnePlus Nord 2T 5G (Jade Fog, 12GB RAM, 256GB Storage)")</f>
        <v>OnePlus Nord 2T 5G (Jade Fog, 12GB RAM, 256GB Storage)</v>
      </c>
      <c r="L269" s="17" t="str">
        <f>IFERROR(__xludf.DUMMYFUNCTION("""COMPUTED_VALUE"""),"Electronics|Mobiles&amp;Accessories|Smartphones&amp;BasicMobiles|Smartphones")</f>
        <v>Electronics|Mobiles&amp;Accessories|Smartphones&amp;BasicMobiles|Smartphones</v>
      </c>
      <c r="M269" s="23">
        <f>IFERROR(__xludf.DUMMYFUNCTION("""COMPUTED_VALUE"""),33999.0)</f>
        <v>33999</v>
      </c>
      <c r="N269" s="23">
        <f>IFERROR(__xludf.DUMMYFUNCTION("""COMPUTED_VALUE"""),33999.0)</f>
        <v>33999</v>
      </c>
      <c r="O269" s="24">
        <f>IFERROR(__xludf.DUMMYFUNCTION("""COMPUTED_VALUE"""),0.0)</f>
        <v>0</v>
      </c>
      <c r="P269" s="17">
        <f>IFERROR(__xludf.DUMMYFUNCTION("""COMPUTED_VALUE"""),4.3)</f>
        <v>4.3</v>
      </c>
      <c r="Q269" s="25">
        <f>IFERROR(__xludf.DUMMYFUNCTION("""COMPUTED_VALUE"""),17415.0)</f>
        <v>17415</v>
      </c>
    </row>
    <row r="270">
      <c r="A270" s="7" t="s">
        <v>305</v>
      </c>
      <c r="B270" s="7" t="s">
        <v>306</v>
      </c>
      <c r="C270" s="8">
        <v>1990.0</v>
      </c>
      <c r="D270" s="8">
        <v>3100.0</v>
      </c>
      <c r="E270" s="19">
        <v>0.36</v>
      </c>
      <c r="F270" s="10">
        <v>4.0</v>
      </c>
      <c r="G270" s="10">
        <v>897.0</v>
      </c>
      <c r="K270" s="17" t="str">
        <f>IFERROR(__xludf.DUMMYFUNCTION("""COMPUTED_VALUE"""),"Samsung Galaxy M13 (Aqua Green, 4GB, 64GB Storage) | 6000mAh Battery | Upto 8GB RAM with RAM Plus")</f>
        <v>Samsung Galaxy M13 (Aqua Green, 4GB, 64GB Storage) | 6000mAh Battery | Upto 8GB RAM with RAM Plus</v>
      </c>
      <c r="L270" s="17" t="str">
        <f>IFERROR(__xludf.DUMMYFUNCTION("""COMPUTED_VALUE"""),"Electronics|Mobiles&amp;Accessories|Smartphones&amp;BasicMobiles|Smartphones")</f>
        <v>Electronics|Mobiles&amp;Accessories|Smartphones&amp;BasicMobiles|Smartphones</v>
      </c>
      <c r="M270" s="23">
        <f>IFERROR(__xludf.DUMMYFUNCTION("""COMPUTED_VALUE"""),10999.0)</f>
        <v>10999</v>
      </c>
      <c r="N270" s="23">
        <f>IFERROR(__xludf.DUMMYFUNCTION("""COMPUTED_VALUE"""),14999.0)</f>
        <v>14999</v>
      </c>
      <c r="O270" s="24">
        <f>IFERROR(__xludf.DUMMYFUNCTION("""COMPUTED_VALUE"""),0.27)</f>
        <v>0.27</v>
      </c>
      <c r="P270" s="17">
        <f>IFERROR(__xludf.DUMMYFUNCTION("""COMPUTED_VALUE"""),4.1)</f>
        <v>4.1</v>
      </c>
      <c r="Q270" s="25">
        <f>IFERROR(__xludf.DUMMYFUNCTION("""COMPUTED_VALUE"""),18998.0)</f>
        <v>18998</v>
      </c>
    </row>
    <row r="271">
      <c r="A271" s="7" t="s">
        <v>307</v>
      </c>
      <c r="B271" s="7" t="s">
        <v>308</v>
      </c>
      <c r="C271" s="8">
        <v>2299.0</v>
      </c>
      <c r="D271" s="8">
        <v>3999.0</v>
      </c>
      <c r="E271" s="19">
        <v>0.43</v>
      </c>
      <c r="F271" s="10">
        <v>3.8</v>
      </c>
      <c r="G271" s="10">
        <v>282.0</v>
      </c>
      <c r="K271" s="17" t="str">
        <f>IFERROR(__xludf.DUMMYFUNCTION("""COMPUTED_VALUE"""),"OnePlus 10R 5G (Forest Green, 8GB RAM, 128GB Storage, 80W SuperVOOC)")</f>
        <v>OnePlus 10R 5G (Forest Green, 8GB RAM, 128GB Storage, 80W SuperVOOC)</v>
      </c>
      <c r="L271" s="17" t="str">
        <f>IFERROR(__xludf.DUMMYFUNCTION("""COMPUTED_VALUE"""),"Electronics|Mobiles&amp;Accessories|Smartphones&amp;BasicMobiles|Smartphones")</f>
        <v>Electronics|Mobiles&amp;Accessories|Smartphones&amp;BasicMobiles|Smartphones</v>
      </c>
      <c r="M271" s="23">
        <f>IFERROR(__xludf.DUMMYFUNCTION("""COMPUTED_VALUE"""),34999.0)</f>
        <v>34999</v>
      </c>
      <c r="N271" s="23">
        <f>IFERROR(__xludf.DUMMYFUNCTION("""COMPUTED_VALUE"""),38999.0)</f>
        <v>38999</v>
      </c>
      <c r="O271" s="24">
        <f>IFERROR(__xludf.DUMMYFUNCTION("""COMPUTED_VALUE"""),0.1)</f>
        <v>0.1</v>
      </c>
      <c r="P271" s="17">
        <f>IFERROR(__xludf.DUMMYFUNCTION("""COMPUTED_VALUE"""),4.2)</f>
        <v>4.2</v>
      </c>
      <c r="Q271" s="25">
        <f>IFERROR(__xludf.DUMMYFUNCTION("""COMPUTED_VALUE"""),11029.0)</f>
        <v>11029</v>
      </c>
    </row>
    <row r="272">
      <c r="A272" s="7" t="s">
        <v>309</v>
      </c>
      <c r="B272" s="7" t="s">
        <v>37</v>
      </c>
      <c r="C272" s="8">
        <v>35999.0</v>
      </c>
      <c r="D272" s="8">
        <v>49990.0</v>
      </c>
      <c r="E272" s="19">
        <v>0.28</v>
      </c>
      <c r="F272" s="10">
        <v>4.3</v>
      </c>
      <c r="G272" s="11">
        <v>1611.0</v>
      </c>
      <c r="K272" s="17" t="str">
        <f>IFERROR(__xludf.DUMMYFUNCTION("""COMPUTED_VALUE"""),"Samsung Galaxy M33 5G (Emerald Brown, 6GB, 128GB Storage) | 6000mAh Battery | Upto 12GB RAM with RAM Plus | Travel Adapter to be Purchased Separately")</f>
        <v>Samsung Galaxy M33 5G (Emerald Brown, 6GB, 128GB Storage) | 6000mAh Battery | Upto 12GB RAM with RAM Plus | Travel Adapter to be Purchased Separately</v>
      </c>
      <c r="L272" s="17" t="str">
        <f>IFERROR(__xludf.DUMMYFUNCTION("""COMPUTED_VALUE"""),"Electronics|Mobiles&amp;Accessories|Smartphones&amp;BasicMobiles|Smartphones")</f>
        <v>Electronics|Mobiles&amp;Accessories|Smartphones&amp;BasicMobiles|Smartphones</v>
      </c>
      <c r="M272" s="23">
        <f>IFERROR(__xludf.DUMMYFUNCTION("""COMPUTED_VALUE"""),16999.0)</f>
        <v>16999</v>
      </c>
      <c r="N272" s="23">
        <f>IFERROR(__xludf.DUMMYFUNCTION("""COMPUTED_VALUE"""),24999.0)</f>
        <v>24999</v>
      </c>
      <c r="O272" s="24">
        <f>IFERROR(__xludf.DUMMYFUNCTION("""COMPUTED_VALUE"""),0.32)</f>
        <v>0.32</v>
      </c>
      <c r="P272" s="17">
        <f>IFERROR(__xludf.DUMMYFUNCTION("""COMPUTED_VALUE"""),4.1)</f>
        <v>4.1</v>
      </c>
      <c r="Q272" s="25">
        <f>IFERROR(__xludf.DUMMYFUNCTION("""COMPUTED_VALUE"""),22318.0)</f>
        <v>22318</v>
      </c>
    </row>
    <row r="273">
      <c r="A273" s="7" t="s">
        <v>310</v>
      </c>
      <c r="B273" s="7" t="s">
        <v>71</v>
      </c>
      <c r="C273" s="8">
        <v>349.0</v>
      </c>
      <c r="D273" s="8">
        <v>999.0</v>
      </c>
      <c r="E273" s="19">
        <v>0.65</v>
      </c>
      <c r="F273" s="10">
        <v>4.2</v>
      </c>
      <c r="G273" s="10">
        <v>513.0</v>
      </c>
      <c r="K273" s="17" t="str">
        <f>IFERROR(__xludf.DUMMYFUNCTION("""COMPUTED_VALUE"""),"Ambrane Mobile Holding Stand, 180° Perfect View, Height Adjustment, Wide Compatibility, Multipurpose, Anti-Skid Design (Twistand, Black)")</f>
        <v>Ambrane Mobile Holding Stand, 180° Perfect View, Height Adjustment, Wide Compatibility, Multipurpose, Anti-Skid Design (Twistand, Black)</v>
      </c>
      <c r="L273" s="17" t="str">
        <f>IFERROR(__xludf.DUMMYFUNCTION("""COMPUTED_VALUE"""),"Electronics|Mobiles&amp;Accessories|MobileAccessories|Stands")</f>
        <v>Electronics|Mobiles&amp;Accessories|MobileAccessories|Stands</v>
      </c>
      <c r="M273" s="23">
        <f>IFERROR(__xludf.DUMMYFUNCTION("""COMPUTED_VALUE"""),199.0)</f>
        <v>199</v>
      </c>
      <c r="N273" s="23">
        <f>IFERROR(__xludf.DUMMYFUNCTION("""COMPUTED_VALUE"""),499.0)</f>
        <v>499</v>
      </c>
      <c r="O273" s="24">
        <f>IFERROR(__xludf.DUMMYFUNCTION("""COMPUTED_VALUE"""),0.6)</f>
        <v>0.6</v>
      </c>
      <c r="P273" s="17">
        <f>IFERROR(__xludf.DUMMYFUNCTION("""COMPUTED_VALUE"""),4.1)</f>
        <v>4.1</v>
      </c>
      <c r="Q273" s="25">
        <f>IFERROR(__xludf.DUMMYFUNCTION("""COMPUTED_VALUE"""),1786.0)</f>
        <v>1786</v>
      </c>
    </row>
    <row r="274">
      <c r="A274" s="7" t="s">
        <v>311</v>
      </c>
      <c r="B274" s="7" t="s">
        <v>15</v>
      </c>
      <c r="C274" s="8">
        <v>719.0</v>
      </c>
      <c r="D274" s="8">
        <v>1499.0</v>
      </c>
      <c r="E274" s="19">
        <v>0.52</v>
      </c>
      <c r="F274" s="10">
        <v>4.1</v>
      </c>
      <c r="G274" s="11">
        <v>1045.0</v>
      </c>
      <c r="K274" s="17" t="str">
        <f>IFERROR(__xludf.DUMMYFUNCTION("""COMPUTED_VALUE"""),"Samsung EVO Plus 64GB microSDXC UHS-I U1 130MB/s Full HD &amp; 4K UHD Memory Card with Adapter (MB-MC64KA), Blue")</f>
        <v>Samsung EVO Plus 64GB microSDXC UHS-I U1 130MB/s Full HD &amp; 4K UHD Memory Card with Adapter (MB-MC64KA), Blue</v>
      </c>
      <c r="L274" s="17" t="str">
        <f>IFERROR(__xludf.DUMMYFUNCTION("""COMPUTED_VALUE"""),"Electronics|Accessories|MemoryCards|MicroSD")</f>
        <v>Electronics|Accessories|MemoryCards|MicroSD</v>
      </c>
      <c r="M274" s="23">
        <f>IFERROR(__xludf.DUMMYFUNCTION("""COMPUTED_VALUE"""),599.0)</f>
        <v>599</v>
      </c>
      <c r="N274" s="23">
        <f>IFERROR(__xludf.DUMMYFUNCTION("""COMPUTED_VALUE"""),1899.0)</f>
        <v>1899</v>
      </c>
      <c r="O274" s="24">
        <f>IFERROR(__xludf.DUMMYFUNCTION("""COMPUTED_VALUE"""),0.68)</f>
        <v>0.68</v>
      </c>
      <c r="P274" s="17">
        <f>IFERROR(__xludf.DUMMYFUNCTION("""COMPUTED_VALUE"""),4.3)</f>
        <v>4.3</v>
      </c>
      <c r="Q274" s="17" t="str">
        <f>IFERROR(__xludf.DUMMYFUNCTION("""COMPUTED_VALUE"""),"1,40,036")</f>
        <v>1,40,036</v>
      </c>
    </row>
    <row r="275">
      <c r="A275" s="7" t="s">
        <v>312</v>
      </c>
      <c r="B275" s="7" t="s">
        <v>37</v>
      </c>
      <c r="C275" s="8">
        <v>8999.0</v>
      </c>
      <c r="D275" s="8">
        <v>18999.0</v>
      </c>
      <c r="E275" s="19">
        <v>0.53</v>
      </c>
      <c r="F275" s="10">
        <v>4.0</v>
      </c>
      <c r="G275" s="11">
        <v>6347.0</v>
      </c>
      <c r="K275" s="17" t="str">
        <f>IFERROR(__xludf.DUMMYFUNCTION("""COMPUTED_VALUE"""),"Ambrane 20000mAh Power Bank with 20W Fast Charging, Triple Output, Power Delivery, Type C Input, Made in India, Multi-Layer Protection, Li-Polymer + Type C Cable (Stylo-20k, Black)")</f>
        <v>Ambrane 20000mAh Power Bank with 20W Fast Charging, Triple Output, Power Delivery, Type C Input, Made in India, Multi-Layer Protection, Li-Polymer + Type C Cable (Stylo-20k, Black)</v>
      </c>
      <c r="L275" s="17" t="str">
        <f>IFERROR(__xludf.DUMMYFUNCTION("""COMPUTED_VALUE"""),"Electronics|Mobiles&amp;Accessories|MobileAccessories|Chargers|PowerBanks")</f>
        <v>Electronics|Mobiles&amp;Accessories|MobileAccessories|Chargers|PowerBanks</v>
      </c>
      <c r="M275" s="23">
        <f>IFERROR(__xludf.DUMMYFUNCTION("""COMPUTED_VALUE"""),1799.0)</f>
        <v>1799</v>
      </c>
      <c r="N275" s="23">
        <f>IFERROR(__xludf.DUMMYFUNCTION("""COMPUTED_VALUE"""),2499.0)</f>
        <v>2499</v>
      </c>
      <c r="O275" s="24">
        <f>IFERROR(__xludf.DUMMYFUNCTION("""COMPUTED_VALUE"""),0.28)</f>
        <v>0.28</v>
      </c>
      <c r="P275" s="17">
        <f>IFERROR(__xludf.DUMMYFUNCTION("""COMPUTED_VALUE"""),4.1)</f>
        <v>4.1</v>
      </c>
      <c r="Q275" s="25">
        <f>IFERROR(__xludf.DUMMYFUNCTION("""COMPUTED_VALUE"""),18678.0)</f>
        <v>18678</v>
      </c>
    </row>
    <row r="276">
      <c r="A276" s="7" t="s">
        <v>313</v>
      </c>
      <c r="B276" s="7" t="s">
        <v>257</v>
      </c>
      <c r="C276" s="8">
        <v>917.0</v>
      </c>
      <c r="D276" s="8">
        <v>2299.0</v>
      </c>
      <c r="E276" s="19">
        <v>0.6</v>
      </c>
      <c r="F276" s="10">
        <v>4.2</v>
      </c>
      <c r="G276" s="11">
        <v>3300.0</v>
      </c>
      <c r="K276" s="17" t="str">
        <f>IFERROR(__xludf.DUMMYFUNCTION("""COMPUTED_VALUE"""),"boAt Micro USB 55 Tangle-free, Sturdy Micro USB Cable with 3A Fast Charging &amp; 480mbps Data Transmission (Black)")</f>
        <v>boAt Micro USB 55 Tangle-free, Sturdy Micro USB Cable with 3A Fast Charging &amp; 480mbps Data Transmission (Black)</v>
      </c>
      <c r="L276" s="17" t="str">
        <f>IFERROR(__xludf.DUMMYFUNCTION("""COMPUTED_VALUE"""),"Computers&amp;Accessories|Accessories&amp;Peripherals|Cables&amp;Accessories|Cables|USBCables")</f>
        <v>Computers&amp;Accessories|Accessories&amp;Peripherals|Cables&amp;Accessories|Cables|USBCables</v>
      </c>
      <c r="M276" s="23">
        <f>IFERROR(__xludf.DUMMYFUNCTION("""COMPUTED_VALUE"""),176.63)</f>
        <v>176.63</v>
      </c>
      <c r="N276" s="23">
        <f>IFERROR(__xludf.DUMMYFUNCTION("""COMPUTED_VALUE"""),499.0)</f>
        <v>499</v>
      </c>
      <c r="O276" s="24">
        <f>IFERROR(__xludf.DUMMYFUNCTION("""COMPUTED_VALUE"""),0.65)</f>
        <v>0.65</v>
      </c>
      <c r="P276" s="17">
        <f>IFERROR(__xludf.DUMMYFUNCTION("""COMPUTED_VALUE"""),4.1)</f>
        <v>4.1</v>
      </c>
      <c r="Q276" s="25">
        <f>IFERROR(__xludf.DUMMYFUNCTION("""COMPUTED_VALUE"""),15189.0)</f>
        <v>15189</v>
      </c>
    </row>
    <row r="277">
      <c r="A277" s="7" t="s">
        <v>314</v>
      </c>
      <c r="B277" s="7" t="s">
        <v>71</v>
      </c>
      <c r="C277" s="8">
        <v>399.0</v>
      </c>
      <c r="D277" s="8">
        <v>999.0</v>
      </c>
      <c r="E277" s="19">
        <v>0.6</v>
      </c>
      <c r="F277" s="10">
        <v>3.3</v>
      </c>
      <c r="G277" s="10">
        <v>23.0</v>
      </c>
      <c r="K277" s="17" t="str">
        <f>IFERROR(__xludf.DUMMYFUNCTION("""COMPUTED_VALUE"""),"Samsung Galaxy M13 (Midnight Blue, 4GB, 64GB Storage) | 6000mAh Battery | Upto 8GB RAM with RAM Plus")</f>
        <v>Samsung Galaxy M13 (Midnight Blue, 4GB, 64GB Storage) | 6000mAh Battery | Upto 8GB RAM with RAM Plus</v>
      </c>
      <c r="L277" s="17" t="str">
        <f>IFERROR(__xludf.DUMMYFUNCTION("""COMPUTED_VALUE"""),"Electronics|Mobiles&amp;Accessories|Smartphones&amp;BasicMobiles|Smartphones")</f>
        <v>Electronics|Mobiles&amp;Accessories|Smartphones&amp;BasicMobiles|Smartphones</v>
      </c>
      <c r="M277" s="23">
        <f>IFERROR(__xludf.DUMMYFUNCTION("""COMPUTED_VALUE"""),10999.0)</f>
        <v>10999</v>
      </c>
      <c r="N277" s="23">
        <f>IFERROR(__xludf.DUMMYFUNCTION("""COMPUTED_VALUE"""),14999.0)</f>
        <v>14999</v>
      </c>
      <c r="O277" s="24">
        <f>IFERROR(__xludf.DUMMYFUNCTION("""COMPUTED_VALUE"""),0.27)</f>
        <v>0.27</v>
      </c>
      <c r="P277" s="17">
        <f>IFERROR(__xludf.DUMMYFUNCTION("""COMPUTED_VALUE"""),4.1)</f>
        <v>4.1</v>
      </c>
      <c r="Q277" s="25">
        <f>IFERROR(__xludf.DUMMYFUNCTION("""COMPUTED_VALUE"""),18998.0)</f>
        <v>18998</v>
      </c>
    </row>
    <row r="278">
      <c r="A278" s="7" t="s">
        <v>315</v>
      </c>
      <c r="B278" s="7" t="s">
        <v>37</v>
      </c>
      <c r="C278" s="8">
        <v>45999.0</v>
      </c>
      <c r="D278" s="8">
        <v>69900.0</v>
      </c>
      <c r="E278" s="19">
        <v>0.34</v>
      </c>
      <c r="F278" s="10">
        <v>4.3</v>
      </c>
      <c r="G278" s="11">
        <v>7109.0</v>
      </c>
      <c r="K278" s="17" t="str">
        <f>IFERROR(__xludf.DUMMYFUNCTION("""COMPUTED_VALUE"""),"boAt Xtend Smartwatch with Alexa Built-in, 1.69” HD Display, Multiple Watch Faces, Stress Monitor, Heart &amp; SpO2 Monitoring, 14 Sports Modes, Sleep Monitor, 5 ATM &amp; 7 Days Battery(Pitch Black)")</f>
        <v>boAt Xtend Smartwatch with Alexa Built-in, 1.69” HD Display, Multiple Watch Faces, Stress Monitor, Heart &amp; SpO2 Monitoring, 14 Sports Modes, Sleep Monitor, 5 ATM &amp; 7 Days Battery(Pitch Black)</v>
      </c>
      <c r="L278" s="17" t="str">
        <f>IFERROR(__xludf.DUMMYFUNCTION("""COMPUTED_VALUE"""),"Electronics|WearableTechnology|SmartWatches")</f>
        <v>Electronics|WearableTechnology|SmartWatches</v>
      </c>
      <c r="M278" s="23">
        <f>IFERROR(__xludf.DUMMYFUNCTION("""COMPUTED_VALUE"""),2999.0)</f>
        <v>2999</v>
      </c>
      <c r="N278" s="23">
        <f>IFERROR(__xludf.DUMMYFUNCTION("""COMPUTED_VALUE"""),7990.0)</f>
        <v>7990</v>
      </c>
      <c r="O278" s="24">
        <f>IFERROR(__xludf.DUMMYFUNCTION("""COMPUTED_VALUE"""),0.62)</f>
        <v>0.62</v>
      </c>
      <c r="P278" s="17">
        <f>IFERROR(__xludf.DUMMYFUNCTION("""COMPUTED_VALUE"""),4.1)</f>
        <v>4.1</v>
      </c>
      <c r="Q278" s="25">
        <f>IFERROR(__xludf.DUMMYFUNCTION("""COMPUTED_VALUE"""),48449.0)</f>
        <v>48449</v>
      </c>
    </row>
    <row r="279">
      <c r="A279" s="7" t="s">
        <v>316</v>
      </c>
      <c r="B279" s="7" t="s">
        <v>15</v>
      </c>
      <c r="C279" s="8">
        <v>119.0</v>
      </c>
      <c r="D279" s="8">
        <v>299.0</v>
      </c>
      <c r="E279" s="19">
        <v>0.6</v>
      </c>
      <c r="F279" s="10">
        <v>3.8</v>
      </c>
      <c r="G279" s="10">
        <v>51.0</v>
      </c>
      <c r="K279" s="17" t="str">
        <f>IFERROR(__xludf.DUMMYFUNCTION("""COMPUTED_VALUE"""),"MI Usb Type-C Cable Smartphone (Black)")</f>
        <v>MI Usb Type-C Cable Smartphone (Black)</v>
      </c>
      <c r="L279" s="17" t="str">
        <f>IFERROR(__xludf.DUMMYFUNCTION("""COMPUTED_VALUE"""),"Computers&amp;Accessories|Accessories&amp;Peripherals|Cables&amp;Accessories|Cables|USBCables")</f>
        <v>Computers&amp;Accessories|Accessories&amp;Peripherals|Cables&amp;Accessories|Cables|USBCables</v>
      </c>
      <c r="M279" s="23">
        <f>IFERROR(__xludf.DUMMYFUNCTION("""COMPUTED_VALUE"""),229.0)</f>
        <v>229</v>
      </c>
      <c r="N279" s="23">
        <f>IFERROR(__xludf.DUMMYFUNCTION("""COMPUTED_VALUE"""),299.0)</f>
        <v>299</v>
      </c>
      <c r="O279" s="24">
        <f>IFERROR(__xludf.DUMMYFUNCTION("""COMPUTED_VALUE"""),0.23)</f>
        <v>0.23</v>
      </c>
      <c r="P279" s="17">
        <f>IFERROR(__xludf.DUMMYFUNCTION("""COMPUTED_VALUE"""),4.3)</f>
        <v>4.3</v>
      </c>
      <c r="Q279" s="25">
        <f>IFERROR(__xludf.DUMMYFUNCTION("""COMPUTED_VALUE"""),30411.0)</f>
        <v>30411</v>
      </c>
    </row>
    <row r="280">
      <c r="A280" s="7" t="s">
        <v>317</v>
      </c>
      <c r="B280" s="7" t="s">
        <v>37</v>
      </c>
      <c r="C280" s="8">
        <v>21999.0</v>
      </c>
      <c r="D280" s="8">
        <v>29999.0</v>
      </c>
      <c r="E280" s="19">
        <v>0.27</v>
      </c>
      <c r="F280" s="10">
        <v>4.2</v>
      </c>
      <c r="G280" s="11">
        <v>32840.0</v>
      </c>
      <c r="K280" s="17" t="str">
        <f>IFERROR(__xludf.DUMMYFUNCTION("""COMPUTED_VALUE"""),"MI Xiaomi 22.5W Fast USB Type C Charger Combo for Tablets - White")</f>
        <v>MI Xiaomi 22.5W Fast USB Type C Charger Combo for Tablets - White</v>
      </c>
      <c r="L280" s="17" t="str">
        <f>IFERROR(__xludf.DUMMYFUNCTION("""COMPUTED_VALUE"""),"Electronics|Mobiles&amp;Accessories|MobileAccessories|Chargers|WallChargers")</f>
        <v>Electronics|Mobiles&amp;Accessories|MobileAccessories|Chargers|WallChargers</v>
      </c>
      <c r="M280" s="23">
        <f>IFERROR(__xludf.DUMMYFUNCTION("""COMPUTED_VALUE"""),649.0)</f>
        <v>649</v>
      </c>
      <c r="N280" s="23">
        <f>IFERROR(__xludf.DUMMYFUNCTION("""COMPUTED_VALUE"""),999.0)</f>
        <v>999</v>
      </c>
      <c r="O280" s="24">
        <f>IFERROR(__xludf.DUMMYFUNCTION("""COMPUTED_VALUE"""),0.35)</f>
        <v>0.35</v>
      </c>
      <c r="P280" s="17">
        <f>IFERROR(__xludf.DUMMYFUNCTION("""COMPUTED_VALUE"""),4.2)</f>
        <v>4.2</v>
      </c>
      <c r="Q280" s="25">
        <f>IFERROR(__xludf.DUMMYFUNCTION("""COMPUTED_VALUE"""),1315.0)</f>
        <v>1315</v>
      </c>
    </row>
    <row r="281">
      <c r="A281" s="7" t="s">
        <v>318</v>
      </c>
      <c r="B281" s="7" t="s">
        <v>71</v>
      </c>
      <c r="C281" s="8">
        <v>299.0</v>
      </c>
      <c r="D281" s="8">
        <v>599.0</v>
      </c>
      <c r="E281" s="19">
        <v>0.5</v>
      </c>
      <c r="F281" s="10">
        <v>3.7</v>
      </c>
      <c r="G281" s="10">
        <v>708.0</v>
      </c>
      <c r="K281" s="17" t="str">
        <f>IFERROR(__xludf.DUMMYFUNCTION("""COMPUTED_VALUE"""),"Samsung Galaxy M13 5G (Aqua Green, 6GB, 128GB Storage) | 5000mAh Battery | Upto 12GB RAM with RAM Plus")</f>
        <v>Samsung Galaxy M13 5G (Aqua Green, 6GB, 128GB Storage) | 5000mAh Battery | Upto 12GB RAM with RAM Plus</v>
      </c>
      <c r="L281" s="17" t="str">
        <f>IFERROR(__xludf.DUMMYFUNCTION("""COMPUTED_VALUE"""),"Electronics|Mobiles&amp;Accessories|Smartphones&amp;BasicMobiles|Smartphones")</f>
        <v>Electronics|Mobiles&amp;Accessories|Smartphones&amp;BasicMobiles|Smartphones</v>
      </c>
      <c r="M281" s="23">
        <f>IFERROR(__xludf.DUMMYFUNCTION("""COMPUTED_VALUE"""),13999.0)</f>
        <v>13999</v>
      </c>
      <c r="N281" s="23">
        <f>IFERROR(__xludf.DUMMYFUNCTION("""COMPUTED_VALUE"""),19499.0)</f>
        <v>19499</v>
      </c>
      <c r="O281" s="24">
        <f>IFERROR(__xludf.DUMMYFUNCTION("""COMPUTED_VALUE"""),0.28)</f>
        <v>0.28</v>
      </c>
      <c r="P281" s="17">
        <f>IFERROR(__xludf.DUMMYFUNCTION("""COMPUTED_VALUE"""),4.1)</f>
        <v>4.1</v>
      </c>
      <c r="Q281" s="25">
        <f>IFERROR(__xludf.DUMMYFUNCTION("""COMPUTED_VALUE"""),18998.0)</f>
        <v>18998</v>
      </c>
    </row>
    <row r="282">
      <c r="A282" s="7" t="s">
        <v>319</v>
      </c>
      <c r="B282" s="7" t="s">
        <v>37</v>
      </c>
      <c r="C282" s="8">
        <v>21990.0</v>
      </c>
      <c r="D282" s="8">
        <v>34990.0</v>
      </c>
      <c r="E282" s="19">
        <v>0.37</v>
      </c>
      <c r="F282" s="10">
        <v>4.3</v>
      </c>
      <c r="G282" s="11">
        <v>1657.0</v>
      </c>
      <c r="K282" s="17" t="str">
        <f>IFERROR(__xludf.DUMMYFUNCTION("""COMPUTED_VALUE"""),"Gizga Essentials Spiral Cable Protector Cord Saver for Mac Charger, iPhone Charger, Wire Protector, Lightweight Durable Flexible Wire Winder for Charging Cables, Data Cables, Earphones, Pack of 10")</f>
        <v>Gizga Essentials Spiral Cable Protector Cord Saver for Mac Charger, iPhone Charger, Wire Protector, Lightweight Durable Flexible Wire Winder for Charging Cables, Data Cables, Earphones, Pack of 10</v>
      </c>
      <c r="L282" s="17" t="str">
        <f>IFERROR(__xludf.DUMMYFUNCTION("""COMPUTED_VALUE"""),"Electronics|Mobiles&amp;Accessories|MobileAccessories|Décor")</f>
        <v>Electronics|Mobiles&amp;Accessories|MobileAccessories|Décor</v>
      </c>
      <c r="M282" s="23">
        <f>IFERROR(__xludf.DUMMYFUNCTION("""COMPUTED_VALUE"""),119.0)</f>
        <v>119</v>
      </c>
      <c r="N282" s="23">
        <f>IFERROR(__xludf.DUMMYFUNCTION("""COMPUTED_VALUE"""),299.0)</f>
        <v>299</v>
      </c>
      <c r="O282" s="24">
        <f>IFERROR(__xludf.DUMMYFUNCTION("""COMPUTED_VALUE"""),0.6)</f>
        <v>0.6</v>
      </c>
      <c r="P282" s="17">
        <f>IFERROR(__xludf.DUMMYFUNCTION("""COMPUTED_VALUE"""),4.1)</f>
        <v>4.1</v>
      </c>
      <c r="Q282" s="25">
        <f>IFERROR(__xludf.DUMMYFUNCTION("""COMPUTED_VALUE"""),5999.0)</f>
        <v>5999</v>
      </c>
    </row>
    <row r="283">
      <c r="A283" s="7" t="s">
        <v>320</v>
      </c>
      <c r="B283" s="7" t="s">
        <v>15</v>
      </c>
      <c r="C283" s="8">
        <v>417.44</v>
      </c>
      <c r="D283" s="8">
        <v>670.0</v>
      </c>
      <c r="E283" s="19">
        <v>0.38</v>
      </c>
      <c r="F283" s="10">
        <v>3.9</v>
      </c>
      <c r="G283" s="10">
        <v>523.0</v>
      </c>
      <c r="K283" s="17" t="str">
        <f>IFERROR(__xludf.DUMMYFUNCTION("""COMPUTED_VALUE"""),"Redmi Note 11 (Space Black, 4GB RAM, 64GB Storage)|90Hz FHD+ AMOLED Display | Qualcomm® Snapdragon™ 680-6nm | 33W Charger Included")</f>
        <v>Redmi Note 11 (Space Black, 4GB RAM, 64GB Storage)|90Hz FHD+ AMOLED Display | Qualcomm® Snapdragon™ 680-6nm | 33W Charger Included</v>
      </c>
      <c r="L283" s="17" t="str">
        <f>IFERROR(__xludf.DUMMYFUNCTION("""COMPUTED_VALUE"""),"Electronics|Mobiles&amp;Accessories|Smartphones&amp;BasicMobiles|Smartphones")</f>
        <v>Electronics|Mobiles&amp;Accessories|Smartphones&amp;BasicMobiles|Smartphones</v>
      </c>
      <c r="M283" s="23">
        <f>IFERROR(__xludf.DUMMYFUNCTION("""COMPUTED_VALUE"""),12999.0)</f>
        <v>12999</v>
      </c>
      <c r="N283" s="23">
        <f>IFERROR(__xludf.DUMMYFUNCTION("""COMPUTED_VALUE"""),17999.0)</f>
        <v>17999</v>
      </c>
      <c r="O283" s="24">
        <f>IFERROR(__xludf.DUMMYFUNCTION("""COMPUTED_VALUE"""),0.28)</f>
        <v>0.28</v>
      </c>
      <c r="P283" s="17">
        <f>IFERROR(__xludf.DUMMYFUNCTION("""COMPUTED_VALUE"""),4.1)</f>
        <v>4.1</v>
      </c>
      <c r="Q283" s="25">
        <f>IFERROR(__xludf.DUMMYFUNCTION("""COMPUTED_VALUE"""),50772.0)</f>
        <v>50772</v>
      </c>
    </row>
    <row r="284">
      <c r="A284" s="7" t="s">
        <v>321</v>
      </c>
      <c r="B284" s="7" t="s">
        <v>15</v>
      </c>
      <c r="C284" s="8">
        <v>199.0</v>
      </c>
      <c r="D284" s="8">
        <v>999.0</v>
      </c>
      <c r="E284" s="19">
        <v>0.8</v>
      </c>
      <c r="F284" s="10">
        <v>3.0</v>
      </c>
      <c r="G284" s="7"/>
      <c r="K284" s="17" t="str">
        <f>IFERROR(__xludf.DUMMYFUNCTION("""COMPUTED_VALUE"""),"Portronics Konnect L POR-1081 Fast Charging 3A Type-C Cable 1.2Meter with Charge &amp; Sync Function for All Type-C Devices (Grey)")</f>
        <v>Portronics Konnect L POR-1081 Fast Charging 3A Type-C Cable 1.2Meter with Charge &amp; Sync Function for All Type-C Devices (Grey)</v>
      </c>
      <c r="L284" s="17" t="str">
        <f>IFERROR(__xludf.DUMMYFUNCTION("""COMPUTED_VALUE"""),"Computers&amp;Accessories|Accessories&amp;Peripherals|Cables&amp;Accessories|Cables|USBCables")</f>
        <v>Computers&amp;Accessories|Accessories&amp;Peripherals|Cables&amp;Accessories|Cables|USBCables</v>
      </c>
      <c r="M284" s="23">
        <f>IFERROR(__xludf.DUMMYFUNCTION("""COMPUTED_VALUE"""),154.0)</f>
        <v>154</v>
      </c>
      <c r="N284" s="23">
        <f>IFERROR(__xludf.DUMMYFUNCTION("""COMPUTED_VALUE"""),339.0)</f>
        <v>339</v>
      </c>
      <c r="O284" s="24">
        <f>IFERROR(__xludf.DUMMYFUNCTION("""COMPUTED_VALUE"""),0.55)</f>
        <v>0.55</v>
      </c>
      <c r="P284" s="17">
        <f>IFERROR(__xludf.DUMMYFUNCTION("""COMPUTED_VALUE"""),4.3)</f>
        <v>4.3</v>
      </c>
      <c r="Q284" s="25">
        <f>IFERROR(__xludf.DUMMYFUNCTION("""COMPUTED_VALUE"""),13391.0)</f>
        <v>13391</v>
      </c>
    </row>
    <row r="285">
      <c r="A285" s="7" t="s">
        <v>322</v>
      </c>
      <c r="B285" s="7" t="s">
        <v>37</v>
      </c>
      <c r="C285" s="8">
        <v>47990.0</v>
      </c>
      <c r="D285" s="8">
        <v>79990.0</v>
      </c>
      <c r="E285" s="19">
        <v>0.4</v>
      </c>
      <c r="F285" s="10">
        <v>4.3</v>
      </c>
      <c r="G285" s="11">
        <v>1376.0</v>
      </c>
      <c r="K285" s="17" t="str">
        <f>IFERROR(__xludf.DUMMYFUNCTION("""COMPUTED_VALUE"""),"Goldmedal Curve Plus 202042 Plastic Spice 3-Pin 240V Universal Travel Adaptor (White)")</f>
        <v>Goldmedal Curve Plus 202042 Plastic Spice 3-Pin 240V Universal Travel Adaptor (White)</v>
      </c>
      <c r="L285" s="17" t="str">
        <f>IFERROR(__xludf.DUMMYFUNCTION("""COMPUTED_VALUE"""),"Electronics|Mobiles&amp;Accessories|MobileAccessories|Chargers|WallChargers")</f>
        <v>Electronics|Mobiles&amp;Accessories|MobileAccessories|Chargers|WallChargers</v>
      </c>
      <c r="M285" s="23">
        <f>IFERROR(__xludf.DUMMYFUNCTION("""COMPUTED_VALUE"""),99.0)</f>
        <v>99</v>
      </c>
      <c r="N285" s="23">
        <f>IFERROR(__xludf.DUMMYFUNCTION("""COMPUTED_VALUE"""),171.0)</f>
        <v>171</v>
      </c>
      <c r="O285" s="24">
        <f>IFERROR(__xludf.DUMMYFUNCTION("""COMPUTED_VALUE"""),0.42)</f>
        <v>0.42</v>
      </c>
      <c r="P285" s="17">
        <f>IFERROR(__xludf.DUMMYFUNCTION("""COMPUTED_VALUE"""),4.5)</f>
        <v>4.5</v>
      </c>
      <c r="Q285" s="25">
        <f>IFERROR(__xludf.DUMMYFUNCTION("""COMPUTED_VALUE"""),11339.0)</f>
        <v>11339</v>
      </c>
    </row>
    <row r="286">
      <c r="A286" s="7" t="s">
        <v>323</v>
      </c>
      <c r="B286" s="7" t="s">
        <v>71</v>
      </c>
      <c r="C286" s="8">
        <v>215.0</v>
      </c>
      <c r="D286" s="8">
        <v>499.0</v>
      </c>
      <c r="E286" s="19">
        <v>0.57</v>
      </c>
      <c r="F286" s="10">
        <v>3.5</v>
      </c>
      <c r="G286" s="10">
        <v>121.0</v>
      </c>
      <c r="K286" s="17" t="str">
        <f>IFERROR(__xludf.DUMMYFUNCTION("""COMPUTED_VALUE"""),"iQOO Z6 44W by vivo (Lumina Blue, 6GB RAM, 128GB Storage) | 6.44"" FHD+ AMOLED Display | 50% Charge in just 27 mins | in-Display Fingerprint Scanning")</f>
        <v>iQOO Z6 44W by vivo (Lumina Blue, 6GB RAM, 128GB Storage) | 6.44" FHD+ AMOLED Display | 50% Charge in just 27 mins | in-Display Fingerprint Scanning</v>
      </c>
      <c r="L286" s="17" t="str">
        <f>IFERROR(__xludf.DUMMYFUNCTION("""COMPUTED_VALUE"""),"Electronics|Mobiles&amp;Accessories|Smartphones&amp;BasicMobiles|Smartphones")</f>
        <v>Electronics|Mobiles&amp;Accessories|Smartphones&amp;BasicMobiles|Smartphones</v>
      </c>
      <c r="M286" s="23">
        <f>IFERROR(__xludf.DUMMYFUNCTION("""COMPUTED_VALUE"""),15499.0)</f>
        <v>15499</v>
      </c>
      <c r="N286" s="23">
        <f>IFERROR(__xludf.DUMMYFUNCTION("""COMPUTED_VALUE"""),20999.0)</f>
        <v>20999</v>
      </c>
      <c r="O286" s="24">
        <f>IFERROR(__xludf.DUMMYFUNCTION("""COMPUTED_VALUE"""),0.26)</f>
        <v>0.26</v>
      </c>
      <c r="P286" s="17">
        <f>IFERROR(__xludf.DUMMYFUNCTION("""COMPUTED_VALUE"""),4.1)</f>
        <v>4.1</v>
      </c>
      <c r="Q286" s="25">
        <f>IFERROR(__xludf.DUMMYFUNCTION("""COMPUTED_VALUE"""),19252.0)</f>
        <v>19252</v>
      </c>
    </row>
    <row r="287">
      <c r="A287" s="7" t="s">
        <v>324</v>
      </c>
      <c r="B287" s="7" t="s">
        <v>15</v>
      </c>
      <c r="C287" s="8">
        <v>99.0</v>
      </c>
      <c r="D287" s="8">
        <v>800.0</v>
      </c>
      <c r="E287" s="19">
        <v>0.88</v>
      </c>
      <c r="F287" s="10">
        <v>3.9</v>
      </c>
      <c r="G287" s="11">
        <v>1075.0</v>
      </c>
      <c r="K287" s="17" t="str">
        <f>IFERROR(__xludf.DUMMYFUNCTION("""COMPUTED_VALUE"""),"iQOO Z6 Lite 5G by vivo (Mystic Night, 6GB RAM, 128GB Storage) | World's First Snapdragon 4 Gen 1 | 120Hz Refresh Rate | 5000mAh Battery | Travel Adapter to be Purchased Separately")</f>
        <v>iQOO Z6 Lite 5G by vivo (Mystic Night, 6GB RAM, 128GB Storage) | World's First Snapdragon 4 Gen 1 | 120Hz Refresh Rate | 5000mAh Battery | Travel Adapter to be Purchased Separately</v>
      </c>
      <c r="L287" s="17" t="str">
        <f>IFERROR(__xludf.DUMMYFUNCTION("""COMPUTED_VALUE"""),"Electronics|Mobiles&amp;Accessories|Smartphones&amp;BasicMobiles|Smartphones")</f>
        <v>Electronics|Mobiles&amp;Accessories|Smartphones&amp;BasicMobiles|Smartphones</v>
      </c>
      <c r="M287" s="23">
        <f>IFERROR(__xludf.DUMMYFUNCTION("""COMPUTED_VALUE"""),15499.0)</f>
        <v>15499</v>
      </c>
      <c r="N287" s="23">
        <f>IFERROR(__xludf.DUMMYFUNCTION("""COMPUTED_VALUE"""),18999.0)</f>
        <v>18999</v>
      </c>
      <c r="O287" s="24">
        <f>IFERROR(__xludf.DUMMYFUNCTION("""COMPUTED_VALUE"""),0.18)</f>
        <v>0.18</v>
      </c>
      <c r="P287" s="17">
        <f>IFERROR(__xludf.DUMMYFUNCTION("""COMPUTED_VALUE"""),4.1)</f>
        <v>4.1</v>
      </c>
      <c r="Q287" s="25">
        <f>IFERROR(__xludf.DUMMYFUNCTION("""COMPUTED_VALUE"""),19252.0)</f>
        <v>19252</v>
      </c>
    </row>
    <row r="288">
      <c r="A288" s="7" t="s">
        <v>325</v>
      </c>
      <c r="B288" s="7" t="s">
        <v>37</v>
      </c>
      <c r="C288" s="8">
        <v>18999.0</v>
      </c>
      <c r="D288" s="8">
        <v>35000.0</v>
      </c>
      <c r="E288" s="19">
        <v>0.46</v>
      </c>
      <c r="F288" s="10">
        <v>4.0</v>
      </c>
      <c r="G288" s="11">
        <v>1001.0</v>
      </c>
      <c r="K288" s="17" t="str">
        <f>IFERROR(__xludf.DUMMYFUNCTION("""COMPUTED_VALUE"""),"boAt Bassheads 242 in Ear Wired Earphones with Mic(Active Black)")</f>
        <v>boAt Bassheads 242 in Ear Wired Earphones with Mic(Active Black)</v>
      </c>
      <c r="L288" s="17" t="str">
        <f>IFERROR(__xludf.DUMMYFUNCTION("""COMPUTED_VALUE"""),"Electronics|Headphones,Earbuds&amp;Accessories|Headphones|In-Ear")</f>
        <v>Electronics|Headphones,Earbuds&amp;Accessories|Headphones|In-Ear</v>
      </c>
      <c r="M288" s="23">
        <f>IFERROR(__xludf.DUMMYFUNCTION("""COMPUTED_VALUE"""),599.0)</f>
        <v>599</v>
      </c>
      <c r="N288" s="23">
        <f>IFERROR(__xludf.DUMMYFUNCTION("""COMPUTED_VALUE"""),1490.0)</f>
        <v>1490</v>
      </c>
      <c r="O288" s="24">
        <f>IFERROR(__xludf.DUMMYFUNCTION("""COMPUTED_VALUE"""),0.6)</f>
        <v>0.6</v>
      </c>
      <c r="P288" s="17">
        <f>IFERROR(__xludf.DUMMYFUNCTION("""COMPUTED_VALUE"""),4.1)</f>
        <v>4.1</v>
      </c>
      <c r="Q288" s="17" t="str">
        <f>IFERROR(__xludf.DUMMYFUNCTION("""COMPUTED_VALUE"""),"1,61,679")</f>
        <v>1,61,679</v>
      </c>
    </row>
    <row r="289">
      <c r="A289" s="7" t="s">
        <v>326</v>
      </c>
      <c r="B289" s="7" t="s">
        <v>15</v>
      </c>
      <c r="C289" s="8">
        <v>249.0</v>
      </c>
      <c r="D289" s="8">
        <v>999.0</v>
      </c>
      <c r="E289" s="19">
        <v>0.75</v>
      </c>
      <c r="F289" s="10">
        <v>4.3</v>
      </c>
      <c r="G289" s="10">
        <v>112.0</v>
      </c>
      <c r="K289" s="17" t="str">
        <f>IFERROR(__xludf.DUMMYFUNCTION("""COMPUTED_VALUE"""),"Portronics MODESK POR-122 Universal Mobile Tabletop Holder (Black)")</f>
        <v>Portronics MODESK POR-122 Universal Mobile Tabletop Holder (Black)</v>
      </c>
      <c r="L289" s="17" t="str">
        <f>IFERROR(__xludf.DUMMYFUNCTION("""COMPUTED_VALUE"""),"Electronics|Mobiles&amp;Accessories|MobileAccessories|Stands")</f>
        <v>Electronics|Mobiles&amp;Accessories|MobileAccessories|Stands</v>
      </c>
      <c r="M289" s="23">
        <f>IFERROR(__xludf.DUMMYFUNCTION("""COMPUTED_VALUE"""),134.0)</f>
        <v>134</v>
      </c>
      <c r="N289" s="23">
        <f>IFERROR(__xludf.DUMMYFUNCTION("""COMPUTED_VALUE"""),699.0)</f>
        <v>699</v>
      </c>
      <c r="O289" s="24">
        <f>IFERROR(__xludf.DUMMYFUNCTION("""COMPUTED_VALUE"""),0.81)</f>
        <v>0.81</v>
      </c>
      <c r="P289" s="17">
        <f>IFERROR(__xludf.DUMMYFUNCTION("""COMPUTED_VALUE"""),4.1)</f>
        <v>4.1</v>
      </c>
      <c r="Q289" s="25">
        <f>IFERROR(__xludf.DUMMYFUNCTION("""COMPUTED_VALUE"""),16685.0)</f>
        <v>16685</v>
      </c>
    </row>
    <row r="290">
      <c r="A290" s="7" t="s">
        <v>327</v>
      </c>
      <c r="B290" s="7" t="s">
        <v>77</v>
      </c>
      <c r="C290" s="8">
        <v>7999.0</v>
      </c>
      <c r="D290" s="8">
        <v>15999.0</v>
      </c>
      <c r="E290" s="19">
        <v>0.5</v>
      </c>
      <c r="F290" s="10">
        <v>3.8</v>
      </c>
      <c r="G290" s="11">
        <v>3022.0</v>
      </c>
      <c r="K290" s="17" t="str">
        <f>IFERROR(__xludf.DUMMYFUNCTION("""COMPUTED_VALUE"""),"MI 10000mAh 3i Lithium Polymer Power Bank Dual Input(Micro-USB and Type C) and Output Ports 18W Fast Charging (Metallic Blue)")</f>
        <v>MI 10000mAh 3i Lithium Polymer Power Bank Dual Input(Micro-USB and Type C) and Output Ports 18W Fast Charging (Metallic Blue)</v>
      </c>
      <c r="L290" s="17" t="str">
        <f>IFERROR(__xludf.DUMMYFUNCTION("""COMPUTED_VALUE"""),"Electronics|Mobiles&amp;Accessories|MobileAccessories|Chargers|PowerBanks")</f>
        <v>Electronics|Mobiles&amp;Accessories|MobileAccessories|Chargers|PowerBanks</v>
      </c>
      <c r="M290" s="23">
        <f>IFERROR(__xludf.DUMMYFUNCTION("""COMPUTED_VALUE"""),1149.0)</f>
        <v>1149</v>
      </c>
      <c r="N290" s="23">
        <f>IFERROR(__xludf.DUMMYFUNCTION("""COMPUTED_VALUE"""),2199.0)</f>
        <v>2199</v>
      </c>
      <c r="O290" s="24">
        <f>IFERROR(__xludf.DUMMYFUNCTION("""COMPUTED_VALUE"""),0.48)</f>
        <v>0.48</v>
      </c>
      <c r="P290" s="17">
        <f>IFERROR(__xludf.DUMMYFUNCTION("""COMPUTED_VALUE"""),4.3)</f>
        <v>4.3</v>
      </c>
      <c r="Q290" s="17" t="str">
        <f>IFERROR(__xludf.DUMMYFUNCTION("""COMPUTED_VALUE"""),"1,78,912")</f>
        <v>1,78,912</v>
      </c>
    </row>
    <row r="291">
      <c r="A291" s="7" t="s">
        <v>328</v>
      </c>
      <c r="B291" s="7" t="s">
        <v>15</v>
      </c>
      <c r="C291" s="8">
        <v>649.0</v>
      </c>
      <c r="D291" s="8">
        <v>1600.0</v>
      </c>
      <c r="E291" s="19">
        <v>0.59</v>
      </c>
      <c r="F291" s="10">
        <v>4.3</v>
      </c>
      <c r="G291" s="11">
        <v>5451.0</v>
      </c>
      <c r="K291" s="17" t="str">
        <f>IFERROR(__xludf.DUMMYFUNCTION("""COMPUTED_VALUE"""),"iQOO Z6 44W by vivo (Raven Black, 4GB RAM, 128GB Storage) | 6.44"" FHD+ AMOLED Display | 50% Charge in just 27 mins | in-Display Fingerprint Scanning")</f>
        <v>iQOO Z6 44W by vivo (Raven Black, 4GB RAM, 128GB Storage) | 6.44" FHD+ AMOLED Display | 50% Charge in just 27 mins | in-Display Fingerprint Scanning</v>
      </c>
      <c r="L291" s="17" t="str">
        <f>IFERROR(__xludf.DUMMYFUNCTION("""COMPUTED_VALUE"""),"Electronics|Mobiles&amp;Accessories|Smartphones&amp;BasicMobiles|Smartphones")</f>
        <v>Electronics|Mobiles&amp;Accessories|Smartphones&amp;BasicMobiles|Smartphones</v>
      </c>
      <c r="M291" s="23">
        <f>IFERROR(__xludf.DUMMYFUNCTION("""COMPUTED_VALUE"""),13999.0)</f>
        <v>13999</v>
      </c>
      <c r="N291" s="23">
        <f>IFERROR(__xludf.DUMMYFUNCTION("""COMPUTED_VALUE"""),19999.0)</f>
        <v>19999</v>
      </c>
      <c r="O291" s="24">
        <f>IFERROR(__xludf.DUMMYFUNCTION("""COMPUTED_VALUE"""),0.3)</f>
        <v>0.3</v>
      </c>
      <c r="P291" s="17">
        <f>IFERROR(__xludf.DUMMYFUNCTION("""COMPUTED_VALUE"""),4.1)</f>
        <v>4.1</v>
      </c>
      <c r="Q291" s="25">
        <f>IFERROR(__xludf.DUMMYFUNCTION("""COMPUTED_VALUE"""),19252.0)</f>
        <v>19252</v>
      </c>
    </row>
    <row r="292">
      <c r="A292" s="7" t="s">
        <v>104</v>
      </c>
      <c r="B292" s="7" t="s">
        <v>71</v>
      </c>
      <c r="C292" s="8">
        <v>1289.0</v>
      </c>
      <c r="D292" s="8">
        <v>2499.0</v>
      </c>
      <c r="E292" s="19">
        <v>0.48</v>
      </c>
      <c r="F292" s="10">
        <v>3.3</v>
      </c>
      <c r="G292" s="10">
        <v>73.0</v>
      </c>
      <c r="K292" s="17" t="str">
        <f>IFERROR(__xludf.DUMMYFUNCTION("""COMPUTED_VALUE"""),"boAt Rugged v3 Extra Tough Unbreakable Braided Micro USB Cable 1.5 Meter (Black)")</f>
        <v>boAt Rugged v3 Extra Tough Unbreakable Braided Micro USB Cable 1.5 Meter (Black)</v>
      </c>
      <c r="L292" s="17" t="str">
        <f>IFERROR(__xludf.DUMMYFUNCTION("""COMPUTED_VALUE"""),"Computers&amp;Accessories|Accessories&amp;Peripherals|Cables&amp;Accessories|Cables|USBCables")</f>
        <v>Computers&amp;Accessories|Accessories&amp;Peripherals|Cables&amp;Accessories|Cables|USBCables</v>
      </c>
      <c r="M292" s="23">
        <f>IFERROR(__xludf.DUMMYFUNCTION("""COMPUTED_VALUE"""),299.0)</f>
        <v>299</v>
      </c>
      <c r="N292" s="23">
        <f>IFERROR(__xludf.DUMMYFUNCTION("""COMPUTED_VALUE"""),799.0)</f>
        <v>799</v>
      </c>
      <c r="O292" s="24">
        <f>IFERROR(__xludf.DUMMYFUNCTION("""COMPUTED_VALUE"""),0.63)</f>
        <v>0.63</v>
      </c>
      <c r="P292" s="17">
        <f>IFERROR(__xludf.DUMMYFUNCTION("""COMPUTED_VALUE"""),4.2)</f>
        <v>4.2</v>
      </c>
      <c r="Q292" s="25">
        <f>IFERROR(__xludf.DUMMYFUNCTION("""COMPUTED_VALUE"""),94364.0)</f>
        <v>94364</v>
      </c>
    </row>
    <row r="293">
      <c r="A293" s="7" t="s">
        <v>329</v>
      </c>
      <c r="B293" s="7" t="s">
        <v>31</v>
      </c>
      <c r="C293" s="8">
        <v>609.0</v>
      </c>
      <c r="D293" s="8">
        <v>1500.0</v>
      </c>
      <c r="E293" s="19">
        <v>0.59</v>
      </c>
      <c r="F293" s="10">
        <v>4.5</v>
      </c>
      <c r="G293" s="11">
        <v>1029.0</v>
      </c>
      <c r="K293" s="17" t="str">
        <f>IFERROR(__xludf.DUMMYFUNCTION("""COMPUTED_VALUE"""),"Samsung Galaxy M13 (Stardust Brown, 6GB, 128GB Storage) | 6000mAh Battery | Upto 12GB RAM with RAM Plus")</f>
        <v>Samsung Galaxy M13 (Stardust Brown, 6GB, 128GB Storage) | 6000mAh Battery | Upto 12GB RAM with RAM Plus</v>
      </c>
      <c r="L293" s="17" t="str">
        <f>IFERROR(__xludf.DUMMYFUNCTION("""COMPUTED_VALUE"""),"Electronics|Mobiles&amp;Accessories|Smartphones&amp;BasicMobiles|Smartphones")</f>
        <v>Electronics|Mobiles&amp;Accessories|Smartphones&amp;BasicMobiles|Smartphones</v>
      </c>
      <c r="M293" s="23">
        <f>IFERROR(__xludf.DUMMYFUNCTION("""COMPUTED_VALUE"""),12999.0)</f>
        <v>12999</v>
      </c>
      <c r="N293" s="23">
        <f>IFERROR(__xludf.DUMMYFUNCTION("""COMPUTED_VALUE"""),17999.0)</f>
        <v>17999</v>
      </c>
      <c r="O293" s="24">
        <f>IFERROR(__xludf.DUMMYFUNCTION("""COMPUTED_VALUE"""),0.28)</f>
        <v>0.28</v>
      </c>
      <c r="P293" s="17">
        <f>IFERROR(__xludf.DUMMYFUNCTION("""COMPUTED_VALUE"""),4.1)</f>
        <v>4.1</v>
      </c>
      <c r="Q293" s="25">
        <f>IFERROR(__xludf.DUMMYFUNCTION("""COMPUTED_VALUE"""),18998.0)</f>
        <v>18998</v>
      </c>
    </row>
    <row r="294">
      <c r="A294" s="7" t="s">
        <v>330</v>
      </c>
      <c r="B294" s="7" t="s">
        <v>37</v>
      </c>
      <c r="C294" s="8">
        <v>32990.0</v>
      </c>
      <c r="D294" s="8">
        <v>54990.0</v>
      </c>
      <c r="E294" s="19">
        <v>0.4</v>
      </c>
      <c r="F294" s="10">
        <v>4.1</v>
      </c>
      <c r="G294" s="11">
        <v>1555.0</v>
      </c>
      <c r="K294" s="17" t="str">
        <f>IFERROR(__xludf.DUMMYFUNCTION("""COMPUTED_VALUE"""),"OPPO A74 5G (Fluid Black, 6GB RAM, 128GB Storage) with No Cost EMI/Additional Exchange Offers")</f>
        <v>OPPO A74 5G (Fluid Black, 6GB RAM, 128GB Storage) with No Cost EMI/Additional Exchange Offers</v>
      </c>
      <c r="L294" s="17" t="str">
        <f>IFERROR(__xludf.DUMMYFUNCTION("""COMPUTED_VALUE"""),"Electronics|Mobiles&amp;Accessories|Smartphones&amp;BasicMobiles|Smartphones")</f>
        <v>Electronics|Mobiles&amp;Accessories|Smartphones&amp;BasicMobiles|Smartphones</v>
      </c>
      <c r="M294" s="23">
        <f>IFERROR(__xludf.DUMMYFUNCTION("""COMPUTED_VALUE"""),15490.0)</f>
        <v>15490</v>
      </c>
      <c r="N294" s="23">
        <f>IFERROR(__xludf.DUMMYFUNCTION("""COMPUTED_VALUE"""),20990.0)</f>
        <v>20990</v>
      </c>
      <c r="O294" s="24">
        <f>IFERROR(__xludf.DUMMYFUNCTION("""COMPUTED_VALUE"""),0.26)</f>
        <v>0.26</v>
      </c>
      <c r="P294" s="17">
        <f>IFERROR(__xludf.DUMMYFUNCTION("""COMPUTED_VALUE"""),4.2)</f>
        <v>4.2</v>
      </c>
      <c r="Q294" s="25">
        <f>IFERROR(__xludf.DUMMYFUNCTION("""COMPUTED_VALUE"""),32916.0)</f>
        <v>32916</v>
      </c>
    </row>
    <row r="295">
      <c r="A295" s="7" t="s">
        <v>331</v>
      </c>
      <c r="B295" s="7" t="s">
        <v>31</v>
      </c>
      <c r="C295" s="8">
        <v>599.0</v>
      </c>
      <c r="D295" s="8">
        <v>1999.0</v>
      </c>
      <c r="E295" s="19">
        <v>0.7</v>
      </c>
      <c r="F295" s="10">
        <v>4.2</v>
      </c>
      <c r="G295" s="10">
        <v>47.0</v>
      </c>
      <c r="K295" s="17" t="str">
        <f>IFERROR(__xludf.DUMMYFUNCTION("""COMPUTED_VALUE"""),"Spigen EZ Fit Tempered Glass Screen Protector Guard for iPhone 14/13/13 Pro - 2 Pack")</f>
        <v>Spigen EZ Fit Tempered Glass Screen Protector Guard for iPhone 14/13/13 Pro - 2 Pack</v>
      </c>
      <c r="L295" s="17" t="str">
        <f>IFERROR(__xludf.DUMMYFUNCTION("""COMPUTED_VALUE"""),"Electronics|Mobiles&amp;Accessories|MobileAccessories|Maintenance,Upkeep&amp;Repairs|ScreenProtectors")</f>
        <v>Electronics|Mobiles&amp;Accessories|MobileAccessories|Maintenance,Upkeep&amp;Repairs|ScreenProtectors</v>
      </c>
      <c r="M295" s="23">
        <f>IFERROR(__xludf.DUMMYFUNCTION("""COMPUTED_VALUE"""),999.0)</f>
        <v>999</v>
      </c>
      <c r="N295" s="23">
        <f>IFERROR(__xludf.DUMMYFUNCTION("""COMPUTED_VALUE"""),2899.0)</f>
        <v>2899</v>
      </c>
      <c r="O295" s="24">
        <f>IFERROR(__xludf.DUMMYFUNCTION("""COMPUTED_VALUE"""),0.66)</f>
        <v>0.66</v>
      </c>
      <c r="P295" s="17">
        <f>IFERROR(__xludf.DUMMYFUNCTION("""COMPUTED_VALUE"""),4.6)</f>
        <v>4.6</v>
      </c>
      <c r="Q295" s="25">
        <f>IFERROR(__xludf.DUMMYFUNCTION("""COMPUTED_VALUE"""),26603.0)</f>
        <v>26603</v>
      </c>
    </row>
    <row r="296">
      <c r="A296" s="7" t="s">
        <v>332</v>
      </c>
      <c r="B296" s="7" t="s">
        <v>15</v>
      </c>
      <c r="C296" s="8">
        <v>349.0</v>
      </c>
      <c r="D296" s="8">
        <v>899.0</v>
      </c>
      <c r="E296" s="19">
        <v>0.61</v>
      </c>
      <c r="F296" s="10">
        <v>4.1</v>
      </c>
      <c r="G296" s="11">
        <v>14896.0</v>
      </c>
      <c r="K296" s="17" t="str">
        <f>IFERROR(__xludf.DUMMYFUNCTION("""COMPUTED_VALUE"""),"iQOO Z6 Pro 5G by vivo (Legion Sky, 8GB RAM, 128GB Storage) | Snapdragon 778G 5G | 66W FlashCharge | 1300 nits Peak Brightness | HDR10+")</f>
        <v>iQOO Z6 Pro 5G by vivo (Legion Sky, 8GB RAM, 128GB Storage) | Snapdragon 778G 5G | 66W FlashCharge | 1300 nits Peak Brightness | HDR10+</v>
      </c>
      <c r="L296" s="17" t="str">
        <f>IFERROR(__xludf.DUMMYFUNCTION("""COMPUTED_VALUE"""),"Electronics|Mobiles&amp;Accessories|Smartphones&amp;BasicMobiles|Smartphones")</f>
        <v>Electronics|Mobiles&amp;Accessories|Smartphones&amp;BasicMobiles|Smartphones</v>
      </c>
      <c r="M296" s="23">
        <f>IFERROR(__xludf.DUMMYFUNCTION("""COMPUTED_VALUE"""),20999.0)</f>
        <v>20999</v>
      </c>
      <c r="N296" s="23">
        <f>IFERROR(__xludf.DUMMYFUNCTION("""COMPUTED_VALUE"""),29990.0)</f>
        <v>29990</v>
      </c>
      <c r="O296" s="24">
        <f>IFERROR(__xludf.DUMMYFUNCTION("""COMPUTED_VALUE"""),0.3)</f>
        <v>0.3</v>
      </c>
      <c r="P296" s="17">
        <f>IFERROR(__xludf.DUMMYFUNCTION("""COMPUTED_VALUE"""),4.3)</f>
        <v>4.3</v>
      </c>
      <c r="Q296" s="25">
        <f>IFERROR(__xludf.DUMMYFUNCTION("""COMPUTED_VALUE"""),9499.0)</f>
        <v>9499</v>
      </c>
    </row>
    <row r="297">
      <c r="A297" s="7" t="s">
        <v>333</v>
      </c>
      <c r="B297" s="7" t="s">
        <v>37</v>
      </c>
      <c r="C297" s="8">
        <v>29999.0</v>
      </c>
      <c r="D297" s="8">
        <v>50999.0</v>
      </c>
      <c r="E297" s="19">
        <v>0.41</v>
      </c>
      <c r="F297" s="10">
        <v>4.4</v>
      </c>
      <c r="G297" s="11">
        <v>1712.0</v>
      </c>
      <c r="K297" s="17" t="str">
        <f>IFERROR(__xludf.DUMMYFUNCTION("""COMPUTED_VALUE"""),"MI 33W SonicCharge 2.0 USB Charger for Cellular Phones - White")</f>
        <v>MI 33W SonicCharge 2.0 USB Charger for Cellular Phones - White</v>
      </c>
      <c r="L297" s="17" t="str">
        <f>IFERROR(__xludf.DUMMYFUNCTION("""COMPUTED_VALUE"""),"Electronics|Mobiles&amp;Accessories|MobileAccessories|Chargers|WallChargers")</f>
        <v>Electronics|Mobiles&amp;Accessories|MobileAccessories|Chargers|WallChargers</v>
      </c>
      <c r="M297" s="23">
        <f>IFERROR(__xludf.DUMMYFUNCTION("""COMPUTED_VALUE"""),999.0)</f>
        <v>999</v>
      </c>
      <c r="N297" s="23">
        <f>IFERROR(__xludf.DUMMYFUNCTION("""COMPUTED_VALUE"""),1999.0)</f>
        <v>1999</v>
      </c>
      <c r="O297" s="24">
        <f>IFERROR(__xludf.DUMMYFUNCTION("""COMPUTED_VALUE"""),0.5)</f>
        <v>0.5</v>
      </c>
      <c r="P297" s="17">
        <f>IFERROR(__xludf.DUMMYFUNCTION("""COMPUTED_VALUE"""),4.3)</f>
        <v>4.3</v>
      </c>
      <c r="Q297" s="25">
        <f>IFERROR(__xludf.DUMMYFUNCTION("""COMPUTED_VALUE"""),1777.0)</f>
        <v>1777</v>
      </c>
    </row>
    <row r="298">
      <c r="A298" s="7" t="s">
        <v>278</v>
      </c>
      <c r="B298" s="7" t="s">
        <v>71</v>
      </c>
      <c r="C298" s="8">
        <v>199.0</v>
      </c>
      <c r="D298" s="8">
        <v>399.0</v>
      </c>
      <c r="E298" s="19">
        <v>0.5</v>
      </c>
      <c r="F298" s="10">
        <v>4.2</v>
      </c>
      <c r="G298" s="11">
        <v>1335.0</v>
      </c>
      <c r="K298" s="17" t="str">
        <f>IFERROR(__xludf.DUMMYFUNCTION("""COMPUTED_VALUE"""),"OPPO A31 (Mystery Black, 6GB RAM, 128GB Storage) with No Cost EMI/Additional Exchange Offers")</f>
        <v>OPPO A31 (Mystery Black, 6GB RAM, 128GB Storage) with No Cost EMI/Additional Exchange Offers</v>
      </c>
      <c r="L298" s="17" t="str">
        <f>IFERROR(__xludf.DUMMYFUNCTION("""COMPUTED_VALUE"""),"Electronics|Mobiles&amp;Accessories|Smartphones&amp;BasicMobiles|Smartphones")</f>
        <v>Electronics|Mobiles&amp;Accessories|Smartphones&amp;BasicMobiles|Smartphones</v>
      </c>
      <c r="M298" s="23">
        <f>IFERROR(__xludf.DUMMYFUNCTION("""COMPUTED_VALUE"""),12490.0)</f>
        <v>12490</v>
      </c>
      <c r="N298" s="23">
        <f>IFERROR(__xludf.DUMMYFUNCTION("""COMPUTED_VALUE"""),15990.0)</f>
        <v>15990</v>
      </c>
      <c r="O298" s="24">
        <f>IFERROR(__xludf.DUMMYFUNCTION("""COMPUTED_VALUE"""),0.22)</f>
        <v>0.22</v>
      </c>
      <c r="P298" s="17">
        <f>IFERROR(__xludf.DUMMYFUNCTION("""COMPUTED_VALUE"""),4.2)</f>
        <v>4.2</v>
      </c>
      <c r="Q298" s="25">
        <f>IFERROR(__xludf.DUMMYFUNCTION("""COMPUTED_VALUE"""),58506.0)</f>
        <v>58506</v>
      </c>
    </row>
    <row r="299">
      <c r="A299" s="7" t="s">
        <v>334</v>
      </c>
      <c r="B299" s="7" t="s">
        <v>71</v>
      </c>
      <c r="C299" s="8">
        <v>349.0</v>
      </c>
      <c r="D299" s="8">
        <v>699.0</v>
      </c>
      <c r="E299" s="19">
        <v>0.5</v>
      </c>
      <c r="F299" s="10">
        <v>3.9</v>
      </c>
      <c r="G299" s="10">
        <v>214.0</v>
      </c>
      <c r="K299" s="17" t="str">
        <f>IFERROR(__xludf.DUMMYFUNCTION("""COMPUTED_VALUE"""),"Portronics Konnect CL 20W POR-1067 Type-C to 8 Pin USB 1.2M Cable with Power Delivery &amp; 3A Quick Charge Support, Nylon Braided for All Type-C and 8 Pin Devices, Green")</f>
        <v>Portronics Konnect CL 20W POR-1067 Type-C to 8 Pin USB 1.2M Cable with Power Delivery &amp; 3A Quick Charge Support, Nylon Braided for All Type-C and 8 Pin Devices, Green</v>
      </c>
      <c r="L299" s="17" t="str">
        <f>IFERROR(__xludf.DUMMYFUNCTION("""COMPUTED_VALUE"""),"Computers&amp;Accessories|Accessories&amp;Peripherals|Cables&amp;Accessories|Cables|USBCables")</f>
        <v>Computers&amp;Accessories|Accessories&amp;Peripherals|Cables&amp;Accessories|Cables|USBCables</v>
      </c>
      <c r="M299" s="23">
        <f>IFERROR(__xludf.DUMMYFUNCTION("""COMPUTED_VALUE"""),350.0)</f>
        <v>350</v>
      </c>
      <c r="N299" s="23">
        <f>IFERROR(__xludf.DUMMYFUNCTION("""COMPUTED_VALUE"""),899.0)</f>
        <v>899</v>
      </c>
      <c r="O299" s="24">
        <f>IFERROR(__xludf.DUMMYFUNCTION("""COMPUTED_VALUE"""),0.61)</f>
        <v>0.61</v>
      </c>
      <c r="P299" s="17">
        <f>IFERROR(__xludf.DUMMYFUNCTION("""COMPUTED_VALUE"""),4.2)</f>
        <v>4.2</v>
      </c>
      <c r="Q299" s="25">
        <f>IFERROR(__xludf.DUMMYFUNCTION("""COMPUTED_VALUE"""),2263.0)</f>
        <v>2263</v>
      </c>
    </row>
    <row r="300">
      <c r="A300" s="7" t="s">
        <v>335</v>
      </c>
      <c r="B300" s="7" t="s">
        <v>93</v>
      </c>
      <c r="C300" s="8">
        <v>1850.0</v>
      </c>
      <c r="D300" s="8">
        <v>4500.0</v>
      </c>
      <c r="E300" s="19">
        <v>0.59</v>
      </c>
      <c r="F300" s="10">
        <v>4.0</v>
      </c>
      <c r="G300" s="10">
        <v>184.0</v>
      </c>
      <c r="K300" s="17" t="str">
        <f>IFERROR(__xludf.DUMMYFUNCTION("""COMPUTED_VALUE"""),"Portronics Konnect L 1.2M POR-1401 Fast Charging 3A 8 Pin USB Cable with Charge &amp; Sync Function (White)")</f>
        <v>Portronics Konnect L 1.2M POR-1401 Fast Charging 3A 8 Pin USB Cable with Charge &amp; Sync Function (White)</v>
      </c>
      <c r="L300" s="17" t="str">
        <f>IFERROR(__xludf.DUMMYFUNCTION("""COMPUTED_VALUE"""),"Computers&amp;Accessories|Accessories&amp;Peripherals|Cables&amp;Accessories|Cables|USBCables")</f>
        <v>Computers&amp;Accessories|Accessories&amp;Peripherals|Cables&amp;Accessories|Cables|USBCables</v>
      </c>
      <c r="M300" s="23">
        <f>IFERROR(__xludf.DUMMYFUNCTION("""COMPUTED_VALUE"""),159.0)</f>
        <v>159</v>
      </c>
      <c r="N300" s="23">
        <f>IFERROR(__xludf.DUMMYFUNCTION("""COMPUTED_VALUE"""),399.0)</f>
        <v>399</v>
      </c>
      <c r="O300" s="24">
        <f>IFERROR(__xludf.DUMMYFUNCTION("""COMPUTED_VALUE"""),0.6)</f>
        <v>0.6</v>
      </c>
      <c r="P300" s="17">
        <f>IFERROR(__xludf.DUMMYFUNCTION("""COMPUTED_VALUE"""),4.1)</f>
        <v>4.1</v>
      </c>
      <c r="Q300" s="25">
        <f>IFERROR(__xludf.DUMMYFUNCTION("""COMPUTED_VALUE"""),4768.0)</f>
        <v>4768</v>
      </c>
    </row>
    <row r="301">
      <c r="A301" s="7" t="s">
        <v>336</v>
      </c>
      <c r="B301" s="7" t="s">
        <v>187</v>
      </c>
      <c r="C301" s="8">
        <v>13990.0</v>
      </c>
      <c r="D301" s="8">
        <v>28900.0</v>
      </c>
      <c r="E301" s="19">
        <v>0.52</v>
      </c>
      <c r="F301" s="10">
        <v>4.5</v>
      </c>
      <c r="G301" s="10">
        <v>7.0</v>
      </c>
      <c r="K301" s="17" t="str">
        <f>IFERROR(__xludf.DUMMYFUNCTION("""COMPUTED_VALUE"""),"Spigen EZ Fit Tempered Glass Screen Protector for iPhone 14 Pro Max - 2 Pack (Sensor Protection)")</f>
        <v>Spigen EZ Fit Tempered Glass Screen Protector for iPhone 14 Pro Max - 2 Pack (Sensor Protection)</v>
      </c>
      <c r="L301" s="17" t="str">
        <f>IFERROR(__xludf.DUMMYFUNCTION("""COMPUTED_VALUE"""),"Electronics|Mobiles&amp;Accessories|MobileAccessories|Maintenance,Upkeep&amp;Repairs|ScreenProtectors")</f>
        <v>Electronics|Mobiles&amp;Accessories|MobileAccessories|Maintenance,Upkeep&amp;Repairs|ScreenProtectors</v>
      </c>
      <c r="M301" s="23">
        <f>IFERROR(__xludf.DUMMYFUNCTION("""COMPUTED_VALUE"""),999.0)</f>
        <v>999</v>
      </c>
      <c r="N301" s="23">
        <f>IFERROR(__xludf.DUMMYFUNCTION("""COMPUTED_VALUE"""),2899.0)</f>
        <v>2899</v>
      </c>
      <c r="O301" s="24">
        <f>IFERROR(__xludf.DUMMYFUNCTION("""COMPUTED_VALUE"""),0.66)</f>
        <v>0.66</v>
      </c>
      <c r="P301" s="17">
        <f>IFERROR(__xludf.DUMMYFUNCTION("""COMPUTED_VALUE"""),4.7)</f>
        <v>4.7</v>
      </c>
      <c r="Q301" s="25">
        <f>IFERROR(__xludf.DUMMYFUNCTION("""COMPUTED_VALUE"""),7779.0)</f>
        <v>7779</v>
      </c>
    </row>
    <row r="302">
      <c r="A302" s="7" t="s">
        <v>337</v>
      </c>
      <c r="B302" s="7" t="s">
        <v>15</v>
      </c>
      <c r="C302" s="8">
        <v>129.0</v>
      </c>
      <c r="D302" s="8">
        <v>449.0</v>
      </c>
      <c r="E302" s="19">
        <v>0.71</v>
      </c>
      <c r="F302" s="10">
        <v>3.7</v>
      </c>
      <c r="G302" s="10">
        <v>41.0</v>
      </c>
      <c r="K302" s="17" t="str">
        <f>IFERROR(__xludf.DUMMYFUNCTION("""COMPUTED_VALUE"""),"KINGONE Upgraded Stylus Pen, iPad Pencil, Ultra High Precision &amp; Sensitivity, Palm Rejection, Prevents False ON/Off Touch, Power Display, Tilt Sensitivity, Magnetic Adsorption for iPad 2018 and Later")</f>
        <v>KINGONE Upgraded Stylus Pen, iPad Pencil, Ultra High Precision &amp; Sensitivity, Palm Rejection, Prevents False ON/Off Touch, Power Display, Tilt Sensitivity, Magnetic Adsorption for iPad 2018 and Later</v>
      </c>
      <c r="L302" s="17" t="str">
        <f>IFERROR(__xludf.DUMMYFUNCTION("""COMPUTED_VALUE"""),"Electronics|Mobiles&amp;Accessories|MobileAccessories|StylusPens")</f>
        <v>Electronics|Mobiles&amp;Accessories|MobileAccessories|StylusPens</v>
      </c>
      <c r="M302" s="23">
        <f>IFERROR(__xludf.DUMMYFUNCTION("""COMPUTED_VALUE"""),2099.0)</f>
        <v>2099</v>
      </c>
      <c r="N302" s="23">
        <f>IFERROR(__xludf.DUMMYFUNCTION("""COMPUTED_VALUE"""),5999.0)</f>
        <v>5999</v>
      </c>
      <c r="O302" s="24">
        <f>IFERROR(__xludf.DUMMYFUNCTION("""COMPUTED_VALUE"""),0.65)</f>
        <v>0.65</v>
      </c>
      <c r="P302" s="17">
        <f>IFERROR(__xludf.DUMMYFUNCTION("""COMPUTED_VALUE"""),4.3)</f>
        <v>4.3</v>
      </c>
      <c r="Q302" s="25">
        <f>IFERROR(__xludf.DUMMYFUNCTION("""COMPUTED_VALUE"""),17129.0)</f>
        <v>17129</v>
      </c>
    </row>
    <row r="303">
      <c r="A303" s="7" t="s">
        <v>338</v>
      </c>
      <c r="B303" s="7" t="s">
        <v>31</v>
      </c>
      <c r="C303" s="8">
        <v>379.0</v>
      </c>
      <c r="D303" s="8">
        <v>999.0</v>
      </c>
      <c r="E303" s="19">
        <v>0.62</v>
      </c>
      <c r="F303" s="10">
        <v>4.2</v>
      </c>
      <c r="G303" s="11">
        <v>12153.0</v>
      </c>
      <c r="K303" s="17" t="str">
        <f>IFERROR(__xludf.DUMMYFUNCTION("""COMPUTED_VALUE"""),"Portronics CarPower Mini Car Charger with Dual Output, Fast Charging (Type C PD 18W + QC 3.0A) Compatible with All Smartphones(Black)")</f>
        <v>Portronics CarPower Mini Car Charger with Dual Output, Fast Charging (Type C PD 18W + QC 3.0A) Compatible with All Smartphones(Black)</v>
      </c>
      <c r="L303" s="17" t="str">
        <f>IFERROR(__xludf.DUMMYFUNCTION("""COMPUTED_VALUE"""),"Electronics|Mobiles&amp;Accessories|MobileAccessories|Chargers|AutomobileChargers")</f>
        <v>Electronics|Mobiles&amp;Accessories|MobileAccessories|Chargers|AutomobileChargers</v>
      </c>
      <c r="M303" s="23">
        <f>IFERROR(__xludf.DUMMYFUNCTION("""COMPUTED_VALUE"""),337.0)</f>
        <v>337</v>
      </c>
      <c r="N303" s="23">
        <f>IFERROR(__xludf.DUMMYFUNCTION("""COMPUTED_VALUE"""),699.0)</f>
        <v>699</v>
      </c>
      <c r="O303" s="24">
        <f>IFERROR(__xludf.DUMMYFUNCTION("""COMPUTED_VALUE"""),0.52)</f>
        <v>0.52</v>
      </c>
      <c r="P303" s="17">
        <f>IFERROR(__xludf.DUMMYFUNCTION("""COMPUTED_VALUE"""),4.2)</f>
        <v>4.2</v>
      </c>
      <c r="Q303" s="25">
        <f>IFERROR(__xludf.DUMMYFUNCTION("""COMPUTED_VALUE"""),4969.0)</f>
        <v>4969</v>
      </c>
    </row>
    <row r="304">
      <c r="A304" s="7" t="s">
        <v>339</v>
      </c>
      <c r="B304" s="7" t="s">
        <v>31</v>
      </c>
      <c r="C304" s="8">
        <v>185.0</v>
      </c>
      <c r="D304" s="8">
        <v>499.0</v>
      </c>
      <c r="E304" s="19">
        <v>0.63</v>
      </c>
      <c r="F304" s="10">
        <v>4.2</v>
      </c>
      <c r="G304" s="10">
        <v>25.0</v>
      </c>
      <c r="K304" s="17" t="str">
        <f>IFERROR(__xludf.DUMMYFUNCTION("""COMPUTED_VALUE"""),"boAt Newly Launched Wave Electra with 1.81"" HD Display, Smart Calling with Ultra-Seamless BT Calling Chip,20 Built-In Watch Faces,100 + Sports Modes,Menu Personalization,In-Built Games(Charcoal Black)")</f>
        <v>boAt Newly Launched Wave Electra with 1.81" HD Display, Smart Calling with Ultra-Seamless BT Calling Chip,20 Built-In Watch Faces,100 + Sports Modes,Menu Personalization,In-Built Games(Charcoal Black)</v>
      </c>
      <c r="L304" s="17" t="str">
        <f>IFERROR(__xludf.DUMMYFUNCTION("""COMPUTED_VALUE"""),"Electronics|WearableTechnology|SmartWatches")</f>
        <v>Electronics|WearableTechnology|SmartWatches</v>
      </c>
      <c r="M304" s="23">
        <f>IFERROR(__xludf.DUMMYFUNCTION("""COMPUTED_VALUE"""),2999.0)</f>
        <v>2999</v>
      </c>
      <c r="N304" s="23">
        <f>IFERROR(__xludf.DUMMYFUNCTION("""COMPUTED_VALUE"""),7990.0)</f>
        <v>7990</v>
      </c>
      <c r="O304" s="24">
        <f>IFERROR(__xludf.DUMMYFUNCTION("""COMPUTED_VALUE"""),0.62)</f>
        <v>0.62</v>
      </c>
      <c r="P304" s="17">
        <f>IFERROR(__xludf.DUMMYFUNCTION("""COMPUTED_VALUE"""),4.1)</f>
        <v>4.1</v>
      </c>
      <c r="Q304" s="17">
        <f>IFERROR(__xludf.DUMMYFUNCTION("""COMPUTED_VALUE"""),154.0)</f>
        <v>154</v>
      </c>
    </row>
    <row r="305">
      <c r="A305" s="7" t="s">
        <v>340</v>
      </c>
      <c r="B305" s="7" t="s">
        <v>25</v>
      </c>
      <c r="C305" s="8">
        <v>218.0</v>
      </c>
      <c r="D305" s="8">
        <v>999.0</v>
      </c>
      <c r="E305" s="19">
        <v>0.78</v>
      </c>
      <c r="F305" s="10">
        <v>4.2</v>
      </c>
      <c r="G305" s="10">
        <v>163.0</v>
      </c>
      <c r="K305" s="17" t="str">
        <f>IFERROR(__xludf.DUMMYFUNCTION("""COMPUTED_VALUE"""),"MI Braided USB Type-C Cable for Charging Adapter (Red)")</f>
        <v>MI Braided USB Type-C Cable for Charging Adapter (Red)</v>
      </c>
      <c r="L305" s="17" t="str">
        <f>IFERROR(__xludf.DUMMYFUNCTION("""COMPUTED_VALUE"""),"Computers&amp;Accessories|Accessories&amp;Peripherals|Cables&amp;Accessories|Cables|USBCables")</f>
        <v>Computers&amp;Accessories|Accessories&amp;Peripherals|Cables&amp;Accessories|Cables|USBCables</v>
      </c>
      <c r="M305" s="23">
        <f>IFERROR(__xludf.DUMMYFUNCTION("""COMPUTED_VALUE"""),349.0)</f>
        <v>349</v>
      </c>
      <c r="N305" s="23">
        <f>IFERROR(__xludf.DUMMYFUNCTION("""COMPUTED_VALUE"""),399.0)</f>
        <v>399</v>
      </c>
      <c r="O305" s="24">
        <f>IFERROR(__xludf.DUMMYFUNCTION("""COMPUTED_VALUE"""),0.13)</f>
        <v>0.13</v>
      </c>
      <c r="P305" s="17">
        <f>IFERROR(__xludf.DUMMYFUNCTION("""COMPUTED_VALUE"""),4.4)</f>
        <v>4.4</v>
      </c>
      <c r="Q305" s="25">
        <f>IFERROR(__xludf.DUMMYFUNCTION("""COMPUTED_VALUE"""),18757.0)</f>
        <v>18757</v>
      </c>
    </row>
    <row r="306">
      <c r="A306" s="7" t="s">
        <v>341</v>
      </c>
      <c r="B306" s="7" t="s">
        <v>15</v>
      </c>
      <c r="C306" s="8">
        <v>199.0</v>
      </c>
      <c r="D306" s="8">
        <v>999.0</v>
      </c>
      <c r="E306" s="19">
        <v>0.8</v>
      </c>
      <c r="F306" s="10">
        <v>4.3</v>
      </c>
      <c r="G306" s="10">
        <v>87.0</v>
      </c>
      <c r="K306" s="17" t="str">
        <f>IFERROR(__xludf.DUMMYFUNCTION("""COMPUTED_VALUE"""),"Samsung Ehs64 Ehs64Avfwecinu Hands-Free Wired In Ear Earphones With Mic With Remote Note (White)")</f>
        <v>Samsung Ehs64 Ehs64Avfwecinu Hands-Free Wired In Ear Earphones With Mic With Remote Note (White)</v>
      </c>
      <c r="L306" s="17" t="str">
        <f>IFERROR(__xludf.DUMMYFUNCTION("""COMPUTED_VALUE"""),"Electronics|Headphones,Earbuds&amp;Accessories|Headphones|In-Ear")</f>
        <v>Electronics|Headphones,Earbuds&amp;Accessories|Headphones|In-Ear</v>
      </c>
      <c r="M306" s="23">
        <f>IFERROR(__xludf.DUMMYFUNCTION("""COMPUTED_VALUE"""),499.0)</f>
        <v>499</v>
      </c>
      <c r="N306" s="23">
        <f>IFERROR(__xludf.DUMMYFUNCTION("""COMPUTED_VALUE"""),499.0)</f>
        <v>499</v>
      </c>
      <c r="O306" s="24">
        <f>IFERROR(__xludf.DUMMYFUNCTION("""COMPUTED_VALUE"""),0.0)</f>
        <v>0</v>
      </c>
      <c r="P306" s="17">
        <f>IFERROR(__xludf.DUMMYFUNCTION("""COMPUTED_VALUE"""),4.2)</f>
        <v>4.2</v>
      </c>
      <c r="Q306" s="25">
        <f>IFERROR(__xludf.DUMMYFUNCTION("""COMPUTED_VALUE"""),31539.0)</f>
        <v>31539</v>
      </c>
    </row>
    <row r="307">
      <c r="A307" s="7" t="s">
        <v>342</v>
      </c>
      <c r="B307" s="7" t="s">
        <v>31</v>
      </c>
      <c r="C307" s="8">
        <v>499.0</v>
      </c>
      <c r="D307" s="8">
        <v>900.0</v>
      </c>
      <c r="E307" s="19">
        <v>0.45</v>
      </c>
      <c r="F307" s="10">
        <v>4.4</v>
      </c>
      <c r="G307" s="11">
        <v>2165.0</v>
      </c>
      <c r="K307" s="17" t="str">
        <f>IFERROR(__xludf.DUMMYFUNCTION("""COMPUTED_VALUE"""),"Duracell USB Lightning Apple Certified (Mfi) Braided Sync &amp; Charge Cable For Iphone, Ipad And Ipod. Fast Charging Lightning Cable, 3.9 Feet (1.2M) - Black")</f>
        <v>Duracell USB Lightning Apple Certified (Mfi) Braided Sync &amp; Charge Cable For Iphone, Ipad And Ipod. Fast Charging Lightning Cable, 3.9 Feet (1.2M) - Black</v>
      </c>
      <c r="L307" s="17" t="str">
        <f>IFERROR(__xludf.DUMMYFUNCTION("""COMPUTED_VALUE"""),"Computers&amp;Accessories|Accessories&amp;Peripherals|Cables&amp;Accessories|Cables|USBCables")</f>
        <v>Computers&amp;Accessories|Accessories&amp;Peripherals|Cables&amp;Accessories|Cables|USBCables</v>
      </c>
      <c r="M307" s="23">
        <f>IFERROR(__xludf.DUMMYFUNCTION("""COMPUTED_VALUE"""),970.0)</f>
        <v>970</v>
      </c>
      <c r="N307" s="23">
        <f>IFERROR(__xludf.DUMMYFUNCTION("""COMPUTED_VALUE"""),1799.0)</f>
        <v>1799</v>
      </c>
      <c r="O307" s="24">
        <f>IFERROR(__xludf.DUMMYFUNCTION("""COMPUTED_VALUE"""),0.46)</f>
        <v>0.46</v>
      </c>
      <c r="P307" s="17">
        <f>IFERROR(__xludf.DUMMYFUNCTION("""COMPUTED_VALUE"""),4.5)</f>
        <v>4.5</v>
      </c>
      <c r="Q307" s="17">
        <f>IFERROR(__xludf.DUMMYFUNCTION("""COMPUTED_VALUE"""),815.0)</f>
        <v>815</v>
      </c>
    </row>
    <row r="308">
      <c r="A308" s="7" t="s">
        <v>343</v>
      </c>
      <c r="B308" s="7" t="s">
        <v>37</v>
      </c>
      <c r="C308" s="8">
        <v>26999.0</v>
      </c>
      <c r="D308" s="8">
        <v>42999.0</v>
      </c>
      <c r="E308" s="19">
        <v>0.37</v>
      </c>
      <c r="F308" s="10">
        <v>4.2</v>
      </c>
      <c r="G308" s="11">
        <v>1510.0</v>
      </c>
      <c r="K308" s="17" t="str">
        <f>IFERROR(__xludf.DUMMYFUNCTION("""COMPUTED_VALUE"""),"Spigen EZ Fit Tempered Glass Screen Protector for iPhone 14 Pro - 2 Pack (Sensor Protection)")</f>
        <v>Spigen EZ Fit Tempered Glass Screen Protector for iPhone 14 Pro - 2 Pack (Sensor Protection)</v>
      </c>
      <c r="L308" s="17" t="str">
        <f>IFERROR(__xludf.DUMMYFUNCTION("""COMPUTED_VALUE"""),"Electronics|Mobiles&amp;Accessories|MobileAccessories|Maintenance,Upkeep&amp;Repairs|ScreenProtectors")</f>
        <v>Electronics|Mobiles&amp;Accessories|MobileAccessories|Maintenance,Upkeep&amp;Repairs|ScreenProtectors</v>
      </c>
      <c r="M308" s="23">
        <f>IFERROR(__xludf.DUMMYFUNCTION("""COMPUTED_VALUE"""),999.0)</f>
        <v>999</v>
      </c>
      <c r="N308" s="23">
        <f>IFERROR(__xludf.DUMMYFUNCTION("""COMPUTED_VALUE"""),2899.0)</f>
        <v>2899</v>
      </c>
      <c r="O308" s="24">
        <f>IFERROR(__xludf.DUMMYFUNCTION("""COMPUTED_VALUE"""),0.66)</f>
        <v>0.66</v>
      </c>
      <c r="P308" s="17">
        <f>IFERROR(__xludf.DUMMYFUNCTION("""COMPUTED_VALUE"""),4.6)</f>
        <v>4.6</v>
      </c>
      <c r="Q308" s="25">
        <f>IFERROR(__xludf.DUMMYFUNCTION("""COMPUTED_VALUE"""),6129.0)</f>
        <v>6129</v>
      </c>
    </row>
    <row r="309">
      <c r="A309" s="7" t="s">
        <v>344</v>
      </c>
      <c r="B309" s="7" t="s">
        <v>93</v>
      </c>
      <c r="C309" s="8">
        <v>893.0</v>
      </c>
      <c r="D309" s="8">
        <v>1052.0</v>
      </c>
      <c r="E309" s="19">
        <v>0.15</v>
      </c>
      <c r="F309" s="10">
        <v>4.3</v>
      </c>
      <c r="G309" s="10">
        <v>106.0</v>
      </c>
      <c r="K309" s="17" t="str">
        <f>IFERROR(__xludf.DUMMYFUNCTION("""COMPUTED_VALUE"""),"Samsung Galaxy M04 Dark Blue, 4GB RAM, 128GB Storage | Upto 8GB RAM with RAM Plus | MediaTek Helio P35 | 5000 mAh Battery")</f>
        <v>Samsung Galaxy M04 Dark Blue, 4GB RAM, 128GB Storage | Upto 8GB RAM with RAM Plus | MediaTek Helio P35 | 5000 mAh Battery</v>
      </c>
      <c r="L309" s="17" t="str">
        <f>IFERROR(__xludf.DUMMYFUNCTION("""COMPUTED_VALUE"""),"Electronics|Mobiles&amp;Accessories|Smartphones&amp;BasicMobiles|Smartphones")</f>
        <v>Electronics|Mobiles&amp;Accessories|Smartphones&amp;BasicMobiles|Smartphones</v>
      </c>
      <c r="M309" s="23">
        <f>IFERROR(__xludf.DUMMYFUNCTION("""COMPUTED_VALUE"""),10499.0)</f>
        <v>10499</v>
      </c>
      <c r="N309" s="23">
        <f>IFERROR(__xludf.DUMMYFUNCTION("""COMPUTED_VALUE"""),13499.0)</f>
        <v>13499</v>
      </c>
      <c r="O309" s="24">
        <f>IFERROR(__xludf.DUMMYFUNCTION("""COMPUTED_VALUE"""),0.22)</f>
        <v>0.22</v>
      </c>
      <c r="P309" s="17">
        <f>IFERROR(__xludf.DUMMYFUNCTION("""COMPUTED_VALUE"""),4.2)</f>
        <v>4.2</v>
      </c>
      <c r="Q309" s="17">
        <f>IFERROR(__xludf.DUMMYFUNCTION("""COMPUTED_VALUE"""),284.0)</f>
        <v>284</v>
      </c>
    </row>
    <row r="310">
      <c r="A310" s="7" t="s">
        <v>345</v>
      </c>
      <c r="B310" s="7" t="s">
        <v>37</v>
      </c>
      <c r="C310" s="8">
        <v>10990.0</v>
      </c>
      <c r="D310" s="8">
        <v>19990.0</v>
      </c>
      <c r="E310" s="19">
        <v>0.45</v>
      </c>
      <c r="F310" s="10">
        <v>3.7</v>
      </c>
      <c r="G310" s="10">
        <v>129.0</v>
      </c>
      <c r="K310" s="17" t="str">
        <f>IFERROR(__xludf.DUMMYFUNCTION("""COMPUTED_VALUE"""),"boAt Type C A325 Tangle-free, Sturdy Type C Cable with 3A Rapid Charging &amp; 480mbps Data Transmission(Black)")</f>
        <v>boAt Type C A325 Tangle-free, Sturdy Type C Cable with 3A Rapid Charging &amp; 480mbps Data Transmission(Black)</v>
      </c>
      <c r="L310" s="17" t="str">
        <f>IFERROR(__xludf.DUMMYFUNCTION("""COMPUTED_VALUE"""),"Computers&amp;Accessories|Accessories&amp;Peripherals|Cables&amp;Accessories|Cables|USBCables")</f>
        <v>Computers&amp;Accessories|Accessories&amp;Peripherals|Cables&amp;Accessories|Cables|USBCables</v>
      </c>
      <c r="M310" s="23">
        <f>IFERROR(__xludf.DUMMYFUNCTION("""COMPUTED_VALUE"""),199.0)</f>
        <v>199</v>
      </c>
      <c r="N310" s="23">
        <f>IFERROR(__xludf.DUMMYFUNCTION("""COMPUTED_VALUE"""),499.0)</f>
        <v>499</v>
      </c>
      <c r="O310" s="24">
        <f>IFERROR(__xludf.DUMMYFUNCTION("""COMPUTED_VALUE"""),0.6)</f>
        <v>0.6</v>
      </c>
      <c r="P310" s="17">
        <f>IFERROR(__xludf.DUMMYFUNCTION("""COMPUTED_VALUE"""),4.1)</f>
        <v>4.1</v>
      </c>
      <c r="Q310" s="25">
        <f>IFERROR(__xludf.DUMMYFUNCTION("""COMPUTED_VALUE"""),13045.0)</f>
        <v>13045</v>
      </c>
    </row>
    <row r="311">
      <c r="A311" s="7" t="s">
        <v>346</v>
      </c>
      <c r="B311" s="7" t="s">
        <v>15</v>
      </c>
      <c r="C311" s="8">
        <v>379.0</v>
      </c>
      <c r="D311" s="8">
        <v>1099.0</v>
      </c>
      <c r="E311" s="19">
        <v>0.66</v>
      </c>
      <c r="F311" s="10">
        <v>4.3</v>
      </c>
      <c r="G311" s="11">
        <v>3049.0</v>
      </c>
      <c r="K311" s="17" t="str">
        <f>IFERROR(__xludf.DUMMYFUNCTION("""COMPUTED_VALUE"""),"Redmi 9A Sport (Carbon Black, 2GB RAM, 32GB Storage) | 2GHz Octa-core Helio G25 Processor | 5000 mAh Battery")</f>
        <v>Redmi 9A Sport (Carbon Black, 2GB RAM, 32GB Storage) | 2GHz Octa-core Helio G25 Processor | 5000 mAh Battery</v>
      </c>
      <c r="L311" s="17" t="str">
        <f>IFERROR(__xludf.DUMMYFUNCTION("""COMPUTED_VALUE"""),"Electronics|Mobiles&amp;Accessories|Smartphones&amp;BasicMobiles|Smartphones")</f>
        <v>Electronics|Mobiles&amp;Accessories|Smartphones&amp;BasicMobiles|Smartphones</v>
      </c>
      <c r="M311" s="23">
        <f>IFERROR(__xludf.DUMMYFUNCTION("""COMPUTED_VALUE"""),6499.0)</f>
        <v>6499</v>
      </c>
      <c r="N311" s="23">
        <f>IFERROR(__xludf.DUMMYFUNCTION("""COMPUTED_VALUE"""),7999.0)</f>
        <v>7999</v>
      </c>
      <c r="O311" s="24">
        <f>IFERROR(__xludf.DUMMYFUNCTION("""COMPUTED_VALUE"""),0.19)</f>
        <v>0.19</v>
      </c>
      <c r="P311" s="17">
        <f>IFERROR(__xludf.DUMMYFUNCTION("""COMPUTED_VALUE"""),4.1)</f>
        <v>4.1</v>
      </c>
      <c r="Q311" s="17" t="str">
        <f>IFERROR(__xludf.DUMMYFUNCTION("""COMPUTED_VALUE"""),"3,13,832")</f>
        <v>3,13,832</v>
      </c>
    </row>
    <row r="312">
      <c r="A312" s="7" t="s">
        <v>347</v>
      </c>
      <c r="B312" s="7" t="s">
        <v>37</v>
      </c>
      <c r="C312" s="8">
        <v>16999.0</v>
      </c>
      <c r="D312" s="8">
        <v>25999.0</v>
      </c>
      <c r="E312" s="19">
        <v>0.35</v>
      </c>
      <c r="F312" s="10">
        <v>4.2</v>
      </c>
      <c r="G312" s="11">
        <v>32840.0</v>
      </c>
      <c r="K312" s="17" t="str">
        <f>IFERROR(__xludf.DUMMYFUNCTION("""COMPUTED_VALUE"""),"Fire-Boltt Ring 3 Smart Watch 1.8 Biggest Display with Advanced Bluetooth Calling Chip, Voice Assistance,118 Sports Modes, in Built Calculator &amp; Games, SpO2, Heart Rate Monitoring")</f>
        <v>Fire-Boltt Ring 3 Smart Watch 1.8 Biggest Display with Advanced Bluetooth Calling Chip, Voice Assistance,118 Sports Modes, in Built Calculator &amp; Games, SpO2, Heart Rate Monitoring</v>
      </c>
      <c r="L312" s="17" t="str">
        <f>IFERROR(__xludf.DUMMYFUNCTION("""COMPUTED_VALUE"""),"Electronics|WearableTechnology|SmartWatches")</f>
        <v>Electronics|WearableTechnology|SmartWatches</v>
      </c>
      <c r="M312" s="23">
        <f>IFERROR(__xludf.DUMMYFUNCTION("""COMPUTED_VALUE"""),2999.0)</f>
        <v>2999</v>
      </c>
      <c r="N312" s="23">
        <f>IFERROR(__xludf.DUMMYFUNCTION("""COMPUTED_VALUE"""),9999.0)</f>
        <v>9999</v>
      </c>
      <c r="O312" s="24">
        <f>IFERROR(__xludf.DUMMYFUNCTION("""COMPUTED_VALUE"""),0.7)</f>
        <v>0.7</v>
      </c>
      <c r="P312" s="17">
        <f>IFERROR(__xludf.DUMMYFUNCTION("""COMPUTED_VALUE"""),4.2)</f>
        <v>4.2</v>
      </c>
      <c r="Q312" s="25">
        <f>IFERROR(__xludf.DUMMYFUNCTION("""COMPUTED_VALUE"""),20879.0)</f>
        <v>20879</v>
      </c>
    </row>
    <row r="313">
      <c r="A313" s="7" t="s">
        <v>348</v>
      </c>
      <c r="B313" s="7" t="s">
        <v>31</v>
      </c>
      <c r="C313" s="8">
        <v>699.0</v>
      </c>
      <c r="D313" s="8">
        <v>1899.0</v>
      </c>
      <c r="E313" s="19">
        <v>0.63</v>
      </c>
      <c r="F313" s="10">
        <v>4.4</v>
      </c>
      <c r="G313" s="10">
        <v>390.0</v>
      </c>
      <c r="K313" s="17" t="str">
        <f>IFERROR(__xludf.DUMMYFUNCTION("""COMPUTED_VALUE"""),"Amozo Ultra Hybrid Camera and Drop Protection Back Cover Case for iPhone 13 (TPU + Polycarbonate | Crystal Transparent)")</f>
        <v>Amozo Ultra Hybrid Camera and Drop Protection Back Cover Case for iPhone 13 (TPU + Polycarbonate | Crystal Transparent)</v>
      </c>
      <c r="L313" s="17" t="str">
        <f>IFERROR(__xludf.DUMMYFUNCTION("""COMPUTED_VALUE"""),"Electronics|Mobiles&amp;Accessories|MobileAccessories|Cases&amp;Covers|BasicCases")</f>
        <v>Electronics|Mobiles&amp;Accessories|MobileAccessories|Cases&amp;Covers|BasicCases</v>
      </c>
      <c r="M313" s="23">
        <f>IFERROR(__xludf.DUMMYFUNCTION("""COMPUTED_VALUE"""),279.0)</f>
        <v>279</v>
      </c>
      <c r="N313" s="23">
        <f>IFERROR(__xludf.DUMMYFUNCTION("""COMPUTED_VALUE"""),1499.0)</f>
        <v>1499</v>
      </c>
      <c r="O313" s="24">
        <f>IFERROR(__xludf.DUMMYFUNCTION("""COMPUTED_VALUE"""),0.81)</f>
        <v>0.81</v>
      </c>
      <c r="P313" s="17">
        <f>IFERROR(__xludf.DUMMYFUNCTION("""COMPUTED_VALUE"""),4.2)</f>
        <v>4.2</v>
      </c>
      <c r="Q313" s="25">
        <f>IFERROR(__xludf.DUMMYFUNCTION("""COMPUTED_VALUE"""),2646.0)</f>
        <v>2646</v>
      </c>
    </row>
    <row r="314">
      <c r="A314" s="7" t="s">
        <v>349</v>
      </c>
      <c r="B314" s="7" t="s">
        <v>350</v>
      </c>
      <c r="C314" s="8">
        <v>2699.0</v>
      </c>
      <c r="D314" s="8">
        <v>3500.0</v>
      </c>
      <c r="E314" s="19">
        <v>0.23</v>
      </c>
      <c r="F314" s="10">
        <v>3.5</v>
      </c>
      <c r="G314" s="10">
        <v>621.0</v>
      </c>
      <c r="K314" s="17" t="str">
        <f>IFERROR(__xludf.DUMMYFUNCTION("""COMPUTED_VALUE"""),"ELV Aluminum Adjustable Mobile Phone Foldable Tabletop Stand Dock Mount for All Smartphones, Tabs, Kindle, iPad (Black)")</f>
        <v>ELV Aluminum Adjustable Mobile Phone Foldable Tabletop Stand Dock Mount for All Smartphones, Tabs, Kindle, iPad (Black)</v>
      </c>
      <c r="L314" s="17" t="str">
        <f>IFERROR(__xludf.DUMMYFUNCTION("""COMPUTED_VALUE"""),"Electronics|Mobiles&amp;Accessories|MobileAccessories|Stands")</f>
        <v>Electronics|Mobiles&amp;Accessories|MobileAccessories|Stands</v>
      </c>
      <c r="M314" s="23">
        <f>IFERROR(__xludf.DUMMYFUNCTION("""COMPUTED_VALUE"""),269.0)</f>
        <v>269</v>
      </c>
      <c r="N314" s="23">
        <f>IFERROR(__xludf.DUMMYFUNCTION("""COMPUTED_VALUE"""),1499.0)</f>
        <v>1499</v>
      </c>
      <c r="O314" s="24">
        <f>IFERROR(__xludf.DUMMYFUNCTION("""COMPUTED_VALUE"""),0.82)</f>
        <v>0.82</v>
      </c>
      <c r="P314" s="17">
        <f>IFERROR(__xludf.DUMMYFUNCTION("""COMPUTED_VALUE"""),4.5)</f>
        <v>4.5</v>
      </c>
      <c r="Q314" s="25">
        <f>IFERROR(__xludf.DUMMYFUNCTION("""COMPUTED_VALUE"""),28978.0)</f>
        <v>28978</v>
      </c>
    </row>
    <row r="315">
      <c r="A315" s="7" t="s">
        <v>351</v>
      </c>
      <c r="B315" s="7" t="s">
        <v>15</v>
      </c>
      <c r="C315" s="8">
        <v>129.0</v>
      </c>
      <c r="D315" s="8">
        <v>599.0</v>
      </c>
      <c r="E315" s="19">
        <v>0.78</v>
      </c>
      <c r="F315" s="10">
        <v>4.1</v>
      </c>
      <c r="G315" s="10">
        <v>265.0</v>
      </c>
      <c r="K315" s="17" t="str">
        <f>IFERROR(__xludf.DUMMYFUNCTION("""COMPUTED_VALUE"""),"JBL C100SI Wired In Ear Headphones with Mic, JBL Pure Bass Sound, One Button Multi-function Remote, Premium Metallic Finish, Angled Buds for Comfort fit (Red)")</f>
        <v>JBL C100SI Wired In Ear Headphones with Mic, JBL Pure Bass Sound, One Button Multi-function Remote, Premium Metallic Finish, Angled Buds for Comfort fit (Red)</v>
      </c>
      <c r="L315" s="17" t="str">
        <f>IFERROR(__xludf.DUMMYFUNCTION("""COMPUTED_VALUE"""),"Electronics|Headphones,Earbuds&amp;Accessories|Headphones|In-Ear")</f>
        <v>Electronics|Headphones,Earbuds&amp;Accessories|Headphones|In-Ear</v>
      </c>
      <c r="M315" s="23">
        <f>IFERROR(__xludf.DUMMYFUNCTION("""COMPUTED_VALUE"""),599.0)</f>
        <v>599</v>
      </c>
      <c r="N315" s="23">
        <f>IFERROR(__xludf.DUMMYFUNCTION("""COMPUTED_VALUE"""),1299.0)</f>
        <v>1299</v>
      </c>
      <c r="O315" s="24">
        <f>IFERROR(__xludf.DUMMYFUNCTION("""COMPUTED_VALUE"""),0.54)</f>
        <v>0.54</v>
      </c>
      <c r="P315" s="17">
        <f>IFERROR(__xludf.DUMMYFUNCTION("""COMPUTED_VALUE"""),4.1)</f>
        <v>4.1</v>
      </c>
      <c r="Q315" s="17" t="str">
        <f>IFERROR(__xludf.DUMMYFUNCTION("""COMPUTED_VALUE"""),"1,92,589")</f>
        <v>1,92,589</v>
      </c>
    </row>
    <row r="316">
      <c r="A316" s="7" t="s">
        <v>352</v>
      </c>
      <c r="B316" s="7" t="s">
        <v>15</v>
      </c>
      <c r="C316" s="8">
        <v>389.0</v>
      </c>
      <c r="D316" s="8">
        <v>999.0</v>
      </c>
      <c r="E316" s="19">
        <v>0.61</v>
      </c>
      <c r="F316" s="10">
        <v>4.3</v>
      </c>
      <c r="G316" s="10">
        <v>838.0</v>
      </c>
      <c r="K316" s="17" t="str">
        <f>IFERROR(__xludf.DUMMYFUNCTION("""COMPUTED_VALUE"""),"Samsung Galaxy M13 5G (Aqua Green, 6GB, 128GB Storage) | 5000mAh Battery | Upto 12GB RAM with RAM Plus")</f>
        <v>Samsung Galaxy M13 5G (Aqua Green, 6GB, 128GB Storage) | 5000mAh Battery | Upto 12GB RAM with RAM Plus</v>
      </c>
      <c r="L316" s="17" t="str">
        <f>IFERROR(__xludf.DUMMYFUNCTION("""COMPUTED_VALUE"""),"Electronics|Mobiles&amp;Accessories|Smartphones&amp;BasicMobiles|Smartphones")</f>
        <v>Electronics|Mobiles&amp;Accessories|Smartphones&amp;BasicMobiles|Smartphones</v>
      </c>
      <c r="M316" s="23">
        <f>IFERROR(__xludf.DUMMYFUNCTION("""COMPUTED_VALUE"""),13999.0)</f>
        <v>13999</v>
      </c>
      <c r="N316" s="23">
        <f>IFERROR(__xludf.DUMMYFUNCTION("""COMPUTED_VALUE"""),19499.0)</f>
        <v>19499</v>
      </c>
      <c r="O316" s="24">
        <f>IFERROR(__xludf.DUMMYFUNCTION("""COMPUTED_VALUE"""),0.28)</f>
        <v>0.28</v>
      </c>
      <c r="P316" s="17">
        <f>IFERROR(__xludf.DUMMYFUNCTION("""COMPUTED_VALUE"""),4.1)</f>
        <v>4.1</v>
      </c>
      <c r="Q316" s="25">
        <f>IFERROR(__xludf.DUMMYFUNCTION("""COMPUTED_VALUE"""),18998.0)</f>
        <v>18998</v>
      </c>
    </row>
    <row r="317">
      <c r="A317" s="7" t="s">
        <v>353</v>
      </c>
      <c r="B317" s="7" t="s">
        <v>71</v>
      </c>
      <c r="C317" s="8">
        <v>246.0</v>
      </c>
      <c r="D317" s="8">
        <v>600.0</v>
      </c>
      <c r="E317" s="19">
        <v>0.59</v>
      </c>
      <c r="F317" s="10">
        <v>4.2</v>
      </c>
      <c r="G317" s="10">
        <v>143.0</v>
      </c>
      <c r="K317" s="17" t="str">
        <f>IFERROR(__xludf.DUMMYFUNCTION("""COMPUTED_VALUE"""),"Mi 10W Wall Charger for Mobile Phones with Micro USB Cable (Black)")</f>
        <v>Mi 10W Wall Charger for Mobile Phones with Micro USB Cable (Black)</v>
      </c>
      <c r="L317" s="17" t="str">
        <f>IFERROR(__xludf.DUMMYFUNCTION("""COMPUTED_VALUE"""),"Electronics|Mobiles&amp;Accessories|MobileAccessories|Chargers|WallChargers")</f>
        <v>Electronics|Mobiles&amp;Accessories|MobileAccessories|Chargers|WallChargers</v>
      </c>
      <c r="M317" s="23">
        <f>IFERROR(__xludf.DUMMYFUNCTION("""COMPUTED_VALUE"""),499.0)</f>
        <v>499</v>
      </c>
      <c r="N317" s="23">
        <f>IFERROR(__xludf.DUMMYFUNCTION("""COMPUTED_VALUE"""),599.0)</f>
        <v>599</v>
      </c>
      <c r="O317" s="24">
        <f>IFERROR(__xludf.DUMMYFUNCTION("""COMPUTED_VALUE"""),0.17)</f>
        <v>0.17</v>
      </c>
      <c r="P317" s="17">
        <f>IFERROR(__xludf.DUMMYFUNCTION("""COMPUTED_VALUE"""),4.2)</f>
        <v>4.2</v>
      </c>
      <c r="Q317" s="25">
        <f>IFERROR(__xludf.DUMMYFUNCTION("""COMPUTED_VALUE"""),21916.0)</f>
        <v>21916</v>
      </c>
    </row>
    <row r="318">
      <c r="A318" s="7" t="s">
        <v>354</v>
      </c>
      <c r="B318" s="7" t="s">
        <v>15</v>
      </c>
      <c r="C318" s="8">
        <v>299.0</v>
      </c>
      <c r="D318" s="8">
        <v>799.0</v>
      </c>
      <c r="E318" s="19">
        <v>0.63</v>
      </c>
      <c r="F318" s="10">
        <v>4.0</v>
      </c>
      <c r="G318" s="10">
        <v>151.0</v>
      </c>
      <c r="K318" s="17" t="str">
        <f>IFERROR(__xludf.DUMMYFUNCTION("""COMPUTED_VALUE"""),"Fire-Boltt India's No 1 Smartwatch Brand Talk 2 Bluetooth Calling Smartwatch with Dual Button, Hands On Voice Assistance, 60 Sports Modes, in Built Mic &amp; Speaker with IP68 Rating")</f>
        <v>Fire-Boltt India's No 1 Smartwatch Brand Talk 2 Bluetooth Calling Smartwatch with Dual Button, Hands On Voice Assistance, 60 Sports Modes, in Built Mic &amp; Speaker with IP68 Rating</v>
      </c>
      <c r="L318" s="17" t="str">
        <f>IFERROR(__xludf.DUMMYFUNCTION("""COMPUTED_VALUE"""),"Electronics|WearableTechnology|SmartWatches")</f>
        <v>Electronics|WearableTechnology|SmartWatches</v>
      </c>
      <c r="M318" s="23">
        <f>IFERROR(__xludf.DUMMYFUNCTION("""COMPUTED_VALUE"""),2199.0)</f>
        <v>2199</v>
      </c>
      <c r="N318" s="23">
        <f>IFERROR(__xludf.DUMMYFUNCTION("""COMPUTED_VALUE"""),9999.0)</f>
        <v>9999</v>
      </c>
      <c r="O318" s="24">
        <f>IFERROR(__xludf.DUMMYFUNCTION("""COMPUTED_VALUE"""),0.78)</f>
        <v>0.78</v>
      </c>
      <c r="P318" s="17">
        <f>IFERROR(__xludf.DUMMYFUNCTION("""COMPUTED_VALUE"""),4.2)</f>
        <v>4.2</v>
      </c>
      <c r="Q318" s="25">
        <f>IFERROR(__xludf.DUMMYFUNCTION("""COMPUTED_VALUE"""),29472.0)</f>
        <v>29472</v>
      </c>
    </row>
    <row r="319">
      <c r="A319" s="7" t="s">
        <v>355</v>
      </c>
      <c r="B319" s="7" t="s">
        <v>71</v>
      </c>
      <c r="C319" s="8">
        <v>247.0</v>
      </c>
      <c r="D319" s="8">
        <v>399.0</v>
      </c>
      <c r="E319" s="19">
        <v>0.38</v>
      </c>
      <c r="F319" s="10">
        <v>3.9</v>
      </c>
      <c r="G319" s="10">
        <v>200.0</v>
      </c>
      <c r="K319" s="17" t="str">
        <f>IFERROR(__xludf.DUMMYFUNCTION("""COMPUTED_VALUE"""),"STRIFF 12 Pieces Highly Flexible Silicone Micro USB Protector, Mouse Cable Protector, Suit for All Cell Phones, Computers and Chargers (White)")</f>
        <v>STRIFF 12 Pieces Highly Flexible Silicone Micro USB Protector, Mouse Cable Protector, Suit for All Cell Phones, Computers and Chargers (White)</v>
      </c>
      <c r="L319" s="17" t="str">
        <f>IFERROR(__xludf.DUMMYFUNCTION("""COMPUTED_VALUE"""),"Electronics|Mobiles&amp;Accessories|MobileAccessories|Décor")</f>
        <v>Electronics|Mobiles&amp;Accessories|MobileAccessories|Décor</v>
      </c>
      <c r="M319" s="23">
        <f>IFERROR(__xludf.DUMMYFUNCTION("""COMPUTED_VALUE"""),95.0)</f>
        <v>95</v>
      </c>
      <c r="N319" s="23">
        <f>IFERROR(__xludf.DUMMYFUNCTION("""COMPUTED_VALUE"""),499.0)</f>
        <v>499</v>
      </c>
      <c r="O319" s="24">
        <f>IFERROR(__xludf.DUMMYFUNCTION("""COMPUTED_VALUE"""),0.81)</f>
        <v>0.81</v>
      </c>
      <c r="P319" s="17">
        <f>IFERROR(__xludf.DUMMYFUNCTION("""COMPUTED_VALUE"""),4.2)</f>
        <v>4.2</v>
      </c>
      <c r="Q319" s="25">
        <f>IFERROR(__xludf.DUMMYFUNCTION("""COMPUTED_VALUE"""),1949.0)</f>
        <v>1949</v>
      </c>
    </row>
    <row r="320">
      <c r="A320" s="7" t="s">
        <v>356</v>
      </c>
      <c r="B320" s="7" t="s">
        <v>71</v>
      </c>
      <c r="C320" s="8">
        <v>1369.0</v>
      </c>
      <c r="D320" s="8">
        <v>2999.0</v>
      </c>
      <c r="E320" s="19">
        <v>0.54</v>
      </c>
      <c r="F320" s="10">
        <v>3.3</v>
      </c>
      <c r="G320" s="10">
        <v>227.0</v>
      </c>
      <c r="K320" s="17" t="str">
        <f>IFERROR(__xludf.DUMMYFUNCTION("""COMPUTED_VALUE"""),"Elv Mobile Phone Mount Tabletop Holder for Phones and Tablets - Black")</f>
        <v>Elv Mobile Phone Mount Tabletop Holder for Phones and Tablets - Black</v>
      </c>
      <c r="L320" s="17" t="str">
        <f>IFERROR(__xludf.DUMMYFUNCTION("""COMPUTED_VALUE"""),"Electronics|Mobiles&amp;Accessories|MobileAccessories|Stands")</f>
        <v>Electronics|Mobiles&amp;Accessories|MobileAccessories|Stands</v>
      </c>
      <c r="M320" s="23">
        <f>IFERROR(__xludf.DUMMYFUNCTION("""COMPUTED_VALUE"""),89.0)</f>
        <v>89</v>
      </c>
      <c r="N320" s="23">
        <f>IFERROR(__xludf.DUMMYFUNCTION("""COMPUTED_VALUE"""),599.0)</f>
        <v>599</v>
      </c>
      <c r="O320" s="24">
        <f>IFERROR(__xludf.DUMMYFUNCTION("""COMPUTED_VALUE"""),0.85)</f>
        <v>0.85</v>
      </c>
      <c r="P320" s="17">
        <f>IFERROR(__xludf.DUMMYFUNCTION("""COMPUTED_VALUE"""),4.3)</f>
        <v>4.3</v>
      </c>
      <c r="Q320" s="25">
        <f>IFERROR(__xludf.DUMMYFUNCTION("""COMPUTED_VALUE"""),2351.0)</f>
        <v>2351</v>
      </c>
    </row>
    <row r="321">
      <c r="A321" s="7" t="s">
        <v>357</v>
      </c>
      <c r="B321" s="7" t="s">
        <v>71</v>
      </c>
      <c r="C321" s="8">
        <v>199.0</v>
      </c>
      <c r="D321" s="8">
        <v>499.0</v>
      </c>
      <c r="E321" s="19">
        <v>0.6</v>
      </c>
      <c r="F321" s="10">
        <v>3.8</v>
      </c>
      <c r="G321" s="10">
        <v>538.0</v>
      </c>
      <c r="K321" s="17" t="str">
        <f>IFERROR(__xludf.DUMMYFUNCTION("""COMPUTED_VALUE"""),"iQOO Z6 44W by vivo (Raven Black, 6GB RAM, 128GB Storage) | 6.44"" FHD+ AMOLED Display | 50% Charge in just 27 mins | in-Display Fingerprint Scanning")</f>
        <v>iQOO Z6 44W by vivo (Raven Black, 6GB RAM, 128GB Storage) | 6.44" FHD+ AMOLED Display | 50% Charge in just 27 mins | in-Display Fingerprint Scanning</v>
      </c>
      <c r="L321" s="17" t="str">
        <f>IFERROR(__xludf.DUMMYFUNCTION("""COMPUTED_VALUE"""),"Electronics|Mobiles&amp;Accessories|Smartphones&amp;BasicMobiles|Smartphones")</f>
        <v>Electronics|Mobiles&amp;Accessories|Smartphones&amp;BasicMobiles|Smartphones</v>
      </c>
      <c r="M321" s="23">
        <f>IFERROR(__xludf.DUMMYFUNCTION("""COMPUTED_VALUE"""),15499.0)</f>
        <v>15499</v>
      </c>
      <c r="N321" s="23">
        <f>IFERROR(__xludf.DUMMYFUNCTION("""COMPUTED_VALUE"""),20999.0)</f>
        <v>20999</v>
      </c>
      <c r="O321" s="24">
        <f>IFERROR(__xludf.DUMMYFUNCTION("""COMPUTED_VALUE"""),0.26)</f>
        <v>0.26</v>
      </c>
      <c r="P321" s="17">
        <f>IFERROR(__xludf.DUMMYFUNCTION("""COMPUTED_VALUE"""),4.1)</f>
        <v>4.1</v>
      </c>
      <c r="Q321" s="25">
        <f>IFERROR(__xludf.DUMMYFUNCTION("""COMPUTED_VALUE"""),19253.0)</f>
        <v>19253</v>
      </c>
    </row>
    <row r="322">
      <c r="A322" s="7" t="s">
        <v>358</v>
      </c>
      <c r="B322" s="7" t="s">
        <v>31</v>
      </c>
      <c r="C322" s="8">
        <v>299.0</v>
      </c>
      <c r="D322" s="8">
        <v>599.0</v>
      </c>
      <c r="E322" s="19">
        <v>0.5</v>
      </c>
      <c r="F322" s="10">
        <v>4.0</v>
      </c>
      <c r="G322" s="10">
        <v>171.0</v>
      </c>
      <c r="K322" s="17" t="str">
        <f>IFERROR(__xludf.DUMMYFUNCTION("""COMPUTED_VALUE"""),"iQOO Z6 Pro 5G by vivo (Phantom Dusk, 8GB RAM, 128GB Storage) | Snapdragon 778G 5G | 66W FlashCharge | 1300 nits Peak Brightness | HDR10+")</f>
        <v>iQOO Z6 Pro 5G by vivo (Phantom Dusk, 8GB RAM, 128GB Storage) | Snapdragon 778G 5G | 66W FlashCharge | 1300 nits Peak Brightness | HDR10+</v>
      </c>
      <c r="L322" s="17" t="str">
        <f>IFERROR(__xludf.DUMMYFUNCTION("""COMPUTED_VALUE"""),"Electronics|Mobiles&amp;Accessories|Smartphones&amp;BasicMobiles|Smartphones")</f>
        <v>Electronics|Mobiles&amp;Accessories|Smartphones&amp;BasicMobiles|Smartphones</v>
      </c>
      <c r="M322" s="23">
        <f>IFERROR(__xludf.DUMMYFUNCTION("""COMPUTED_VALUE"""),20999.0)</f>
        <v>20999</v>
      </c>
      <c r="N322" s="23">
        <f>IFERROR(__xludf.DUMMYFUNCTION("""COMPUTED_VALUE"""),29990.0)</f>
        <v>29990</v>
      </c>
      <c r="O322" s="24">
        <f>IFERROR(__xludf.DUMMYFUNCTION("""COMPUTED_VALUE"""),0.3)</f>
        <v>0.3</v>
      </c>
      <c r="P322" s="17">
        <f>IFERROR(__xludf.DUMMYFUNCTION("""COMPUTED_VALUE"""),4.3)</f>
        <v>4.3</v>
      </c>
      <c r="Q322" s="25">
        <f>IFERROR(__xludf.DUMMYFUNCTION("""COMPUTED_VALUE"""),9499.0)</f>
        <v>9499</v>
      </c>
    </row>
    <row r="323">
      <c r="A323" s="7" t="s">
        <v>359</v>
      </c>
      <c r="B323" s="7" t="s">
        <v>37</v>
      </c>
      <c r="C323" s="8">
        <v>14999.0</v>
      </c>
      <c r="D323" s="8">
        <v>14999.0</v>
      </c>
      <c r="E323" s="19">
        <v>0.0</v>
      </c>
      <c r="F323" s="10">
        <v>4.3</v>
      </c>
      <c r="G323" s="11">
        <v>27508.0</v>
      </c>
      <c r="K323" s="17" t="str">
        <f>IFERROR(__xludf.DUMMYFUNCTION("""COMPUTED_VALUE"""),"Samsung Galaxy M32 Prime Edition (Light Blue, 4GB RAM, 64GB)")</f>
        <v>Samsung Galaxy M32 Prime Edition (Light Blue, 4GB RAM, 64GB)</v>
      </c>
      <c r="L323" s="17" t="str">
        <f>IFERROR(__xludf.DUMMYFUNCTION("""COMPUTED_VALUE"""),"Electronics|Mobiles&amp;Accessories|Smartphones&amp;BasicMobiles|Smartphones")</f>
        <v>Electronics|Mobiles&amp;Accessories|Smartphones&amp;BasicMobiles|Smartphones</v>
      </c>
      <c r="M323" s="23">
        <f>IFERROR(__xludf.DUMMYFUNCTION("""COMPUTED_VALUE"""),12999.0)</f>
        <v>12999</v>
      </c>
      <c r="N323" s="23">
        <f>IFERROR(__xludf.DUMMYFUNCTION("""COMPUTED_VALUE"""),13499.0)</f>
        <v>13499</v>
      </c>
      <c r="O323" s="24">
        <f>IFERROR(__xludf.DUMMYFUNCTION("""COMPUTED_VALUE"""),0.04)</f>
        <v>0.04</v>
      </c>
      <c r="P323" s="17">
        <f>IFERROR(__xludf.DUMMYFUNCTION("""COMPUTED_VALUE"""),4.1)</f>
        <v>4.1</v>
      </c>
      <c r="Q323" s="25">
        <f>IFERROR(__xludf.DUMMYFUNCTION("""COMPUTED_VALUE"""),56098.0)</f>
        <v>56098</v>
      </c>
    </row>
    <row r="324">
      <c r="A324" s="7" t="s">
        <v>360</v>
      </c>
      <c r="B324" s="7" t="s">
        <v>15</v>
      </c>
      <c r="C324" s="8">
        <v>299.0</v>
      </c>
      <c r="D324" s="8">
        <v>699.0</v>
      </c>
      <c r="E324" s="19">
        <v>0.57</v>
      </c>
      <c r="F324" s="10">
        <v>3.9</v>
      </c>
      <c r="G324" s="11">
        <v>1454.0</v>
      </c>
      <c r="K324" s="17" t="str">
        <f>IFERROR(__xludf.DUMMYFUNCTION("""COMPUTED_VALUE"""),"Redmi Note 11T 5G (Matte Black, 6GB RAM, 128GB ROM)| Dimensity 810 5G | 33W Pro Fast Charging | Charger Included | Additional Exchange Offers|Get 2 Months of YouTube Premium Free!")</f>
        <v>Redmi Note 11T 5G (Matte Black, 6GB RAM, 128GB ROM)| Dimensity 810 5G | 33W Pro Fast Charging | Charger Included | Additional Exchange Offers|Get 2 Months of YouTube Premium Free!</v>
      </c>
      <c r="L324" s="17" t="str">
        <f>IFERROR(__xludf.DUMMYFUNCTION("""COMPUTED_VALUE"""),"Electronics|Mobiles&amp;Accessories|Smartphones&amp;BasicMobiles|Smartphones")</f>
        <v>Electronics|Mobiles&amp;Accessories|Smartphones&amp;BasicMobiles|Smartphones</v>
      </c>
      <c r="M324" s="23">
        <f>IFERROR(__xludf.DUMMYFUNCTION("""COMPUTED_VALUE"""),16999.0)</f>
        <v>16999</v>
      </c>
      <c r="N324" s="23">
        <f>IFERROR(__xludf.DUMMYFUNCTION("""COMPUTED_VALUE"""),20999.0)</f>
        <v>20999</v>
      </c>
      <c r="O324" s="24">
        <f>IFERROR(__xludf.DUMMYFUNCTION("""COMPUTED_VALUE"""),0.19)</f>
        <v>0.19</v>
      </c>
      <c r="P324" s="17">
        <f>IFERROR(__xludf.DUMMYFUNCTION("""COMPUTED_VALUE"""),4.1)</f>
        <v>4.1</v>
      </c>
      <c r="Q324" s="25">
        <f>IFERROR(__xludf.DUMMYFUNCTION("""COMPUTED_VALUE"""),31822.0)</f>
        <v>31822</v>
      </c>
    </row>
    <row r="325">
      <c r="A325" s="7" t="s">
        <v>361</v>
      </c>
      <c r="B325" s="7" t="s">
        <v>37</v>
      </c>
      <c r="C325" s="8">
        <v>24990.0</v>
      </c>
      <c r="D325" s="8">
        <v>51990.0</v>
      </c>
      <c r="E325" s="19">
        <v>0.52</v>
      </c>
      <c r="F325" s="10">
        <v>4.2</v>
      </c>
      <c r="G325" s="11">
        <v>2951.0</v>
      </c>
      <c r="K325" s="17" t="str">
        <f>IFERROR(__xludf.DUMMYFUNCTION("""COMPUTED_VALUE"""),"iQOO Z6 Pro 5G by vivo (Legion Sky, 6GB RAM, 128GB Storage) | Snapdragon 778G 5G | 66W FlashCharge | 1300 nits Peak Brightness | HDR10+")</f>
        <v>iQOO Z6 Pro 5G by vivo (Legion Sky, 6GB RAM, 128GB Storage) | Snapdragon 778G 5G | 66W FlashCharge | 1300 nits Peak Brightness | HDR10+</v>
      </c>
      <c r="L325" s="17" t="str">
        <f>IFERROR(__xludf.DUMMYFUNCTION("""COMPUTED_VALUE"""),"Electronics|Mobiles&amp;Accessories|Smartphones&amp;BasicMobiles|Smartphones")</f>
        <v>Electronics|Mobiles&amp;Accessories|Smartphones&amp;BasicMobiles|Smartphones</v>
      </c>
      <c r="M325" s="23">
        <f>IFERROR(__xludf.DUMMYFUNCTION("""COMPUTED_VALUE"""),19999.0)</f>
        <v>19999</v>
      </c>
      <c r="N325" s="23">
        <f>IFERROR(__xludf.DUMMYFUNCTION("""COMPUTED_VALUE"""),27990.0)</f>
        <v>27990</v>
      </c>
      <c r="O325" s="24">
        <f>IFERROR(__xludf.DUMMYFUNCTION("""COMPUTED_VALUE"""),0.29)</f>
        <v>0.29</v>
      </c>
      <c r="P325" s="17">
        <f>IFERROR(__xludf.DUMMYFUNCTION("""COMPUTED_VALUE"""),4.3)</f>
        <v>4.3</v>
      </c>
      <c r="Q325" s="25">
        <f>IFERROR(__xludf.DUMMYFUNCTION("""COMPUTED_VALUE"""),9499.0)</f>
        <v>9499</v>
      </c>
    </row>
    <row r="326">
      <c r="A326" s="7" t="s">
        <v>362</v>
      </c>
      <c r="B326" s="7" t="s">
        <v>15</v>
      </c>
      <c r="C326" s="8">
        <v>249.0</v>
      </c>
      <c r="D326" s="8">
        <v>999.0</v>
      </c>
      <c r="E326" s="19">
        <v>0.75</v>
      </c>
      <c r="F326" s="10">
        <v>5.0</v>
      </c>
      <c r="G326" s="7"/>
      <c r="K326" s="17" t="str">
        <f>IFERROR(__xludf.DUMMYFUNCTION("""COMPUTED_VALUE"""),"Redmi Note 11 (Horizon Blue, 6GB RAM, 64GB Storage)|90Hz FHD+ AMOLED Display | Qualcomm® Snapdragon™ 680-6nm | 33W Charger Included")</f>
        <v>Redmi Note 11 (Horizon Blue, 6GB RAM, 64GB Storage)|90Hz FHD+ AMOLED Display | Qualcomm® Snapdragon™ 680-6nm | 33W Charger Included</v>
      </c>
      <c r="L326" s="17" t="str">
        <f>IFERROR(__xludf.DUMMYFUNCTION("""COMPUTED_VALUE"""),"Electronics|Mobiles&amp;Accessories|Smartphones&amp;BasicMobiles|Smartphones")</f>
        <v>Electronics|Mobiles&amp;Accessories|Smartphones&amp;BasicMobiles|Smartphones</v>
      </c>
      <c r="M326" s="23">
        <f>IFERROR(__xludf.DUMMYFUNCTION("""COMPUTED_VALUE"""),12999.0)</f>
        <v>12999</v>
      </c>
      <c r="N326" s="23">
        <f>IFERROR(__xludf.DUMMYFUNCTION("""COMPUTED_VALUE"""),18999.0)</f>
        <v>18999</v>
      </c>
      <c r="O326" s="24">
        <f>IFERROR(__xludf.DUMMYFUNCTION("""COMPUTED_VALUE"""),0.32)</f>
        <v>0.32</v>
      </c>
      <c r="P326" s="17">
        <f>IFERROR(__xludf.DUMMYFUNCTION("""COMPUTED_VALUE"""),4.1)</f>
        <v>4.1</v>
      </c>
      <c r="Q326" s="25">
        <f>IFERROR(__xludf.DUMMYFUNCTION("""COMPUTED_VALUE"""),50772.0)</f>
        <v>50772</v>
      </c>
    </row>
    <row r="327">
      <c r="A327" s="7" t="s">
        <v>363</v>
      </c>
      <c r="B327" s="7" t="s">
        <v>37</v>
      </c>
      <c r="C327" s="8">
        <v>61999.0</v>
      </c>
      <c r="D327" s="8">
        <v>69999.0</v>
      </c>
      <c r="E327" s="19">
        <v>0.11</v>
      </c>
      <c r="F327" s="10">
        <v>4.1</v>
      </c>
      <c r="G327" s="11">
        <v>6753.0</v>
      </c>
      <c r="K327" s="17" t="str">
        <f>IFERROR(__xludf.DUMMYFUNCTION("""COMPUTED_VALUE"""),"Noise Pulse 2 Max Advanced Bluetooth Calling Smart Watch with 1.85'' TFT and 550 Nits Brightness, Smart DND, 10 Days Battery, 100 Sports Mode, Smartwatch for Men and Women - (Jet Black)")</f>
        <v>Noise Pulse 2 Max Advanced Bluetooth Calling Smart Watch with 1.85'' TFT and 550 Nits Brightness, Smart DND, 10 Days Battery, 100 Sports Mode, Smartwatch for Men and Women - (Jet Black)</v>
      </c>
      <c r="L327" s="17" t="str">
        <f>IFERROR(__xludf.DUMMYFUNCTION("""COMPUTED_VALUE"""),"Electronics|WearableTechnology|SmartWatches")</f>
        <v>Electronics|WearableTechnology|SmartWatches</v>
      </c>
      <c r="M327" s="23">
        <f>IFERROR(__xludf.DUMMYFUNCTION("""COMPUTED_VALUE"""),2999.0)</f>
        <v>2999</v>
      </c>
      <c r="N327" s="23">
        <f>IFERROR(__xludf.DUMMYFUNCTION("""COMPUTED_VALUE"""),5999.0)</f>
        <v>5999</v>
      </c>
      <c r="O327" s="24">
        <f>IFERROR(__xludf.DUMMYFUNCTION("""COMPUTED_VALUE"""),0.5)</f>
        <v>0.5</v>
      </c>
      <c r="P327" s="17">
        <f>IFERROR(__xludf.DUMMYFUNCTION("""COMPUTED_VALUE"""),4.1)</f>
        <v>4.1</v>
      </c>
      <c r="Q327" s="25">
        <f>IFERROR(__xludf.DUMMYFUNCTION("""COMPUTED_VALUE"""),7148.0)</f>
        <v>7148</v>
      </c>
    </row>
    <row r="328">
      <c r="A328" s="7" t="s">
        <v>364</v>
      </c>
      <c r="B328" s="7" t="s">
        <v>37</v>
      </c>
      <c r="C328" s="8">
        <v>24499.0</v>
      </c>
      <c r="D328" s="8">
        <v>50000.0</v>
      </c>
      <c r="E328" s="19">
        <v>0.51</v>
      </c>
      <c r="F328" s="10">
        <v>3.9</v>
      </c>
      <c r="G328" s="11">
        <v>3518.0</v>
      </c>
      <c r="K328" s="17" t="str">
        <f>IFERROR(__xludf.DUMMYFUNCTION("""COMPUTED_VALUE"""),"boAt A400 USB Type-C to USB-A 2.0 Male Data Cable, 2 Meter (Black)")</f>
        <v>boAt A400 USB Type-C to USB-A 2.0 Male Data Cable, 2 Meter (Black)</v>
      </c>
      <c r="L328" s="17" t="str">
        <f>IFERROR(__xludf.DUMMYFUNCTION("""COMPUTED_VALUE"""),"Computers&amp;Accessories|Accessories&amp;Peripherals|Cables&amp;Accessories|Cables|USBCables")</f>
        <v>Computers&amp;Accessories|Accessories&amp;Peripherals|Cables&amp;Accessories|Cables|USBCables</v>
      </c>
      <c r="M328" s="23">
        <f>IFERROR(__xludf.DUMMYFUNCTION("""COMPUTED_VALUE"""),299.0)</f>
        <v>299</v>
      </c>
      <c r="N328" s="23">
        <f>IFERROR(__xludf.DUMMYFUNCTION("""COMPUTED_VALUE"""),999.0)</f>
        <v>999</v>
      </c>
      <c r="O328" s="24">
        <f>IFERROR(__xludf.DUMMYFUNCTION("""COMPUTED_VALUE"""),0.7)</f>
        <v>0.7</v>
      </c>
      <c r="P328" s="17">
        <f>IFERROR(__xludf.DUMMYFUNCTION("""COMPUTED_VALUE"""),4.3)</f>
        <v>4.3</v>
      </c>
      <c r="Q328" s="25">
        <f>IFERROR(__xludf.DUMMYFUNCTION("""COMPUTED_VALUE"""),20850.0)</f>
        <v>20850</v>
      </c>
    </row>
    <row r="329">
      <c r="A329" s="7" t="s">
        <v>365</v>
      </c>
      <c r="B329" s="7" t="s">
        <v>37</v>
      </c>
      <c r="C329" s="8">
        <v>10499.0</v>
      </c>
      <c r="D329" s="8">
        <v>19499.0</v>
      </c>
      <c r="E329" s="19">
        <v>0.46</v>
      </c>
      <c r="F329" s="10">
        <v>4.2</v>
      </c>
      <c r="G329" s="11">
        <v>1510.0</v>
      </c>
      <c r="K329" s="17" t="str">
        <f>IFERROR(__xludf.DUMMYFUNCTION("""COMPUTED_VALUE"""),"Duracell USB C To Lightning Apple Certified (Mfi) Braided Sync &amp; Charge Cable For Iphone, Ipad And Ipod. Fast Charging Lightning Cable, 3.9 Feet (1.2M) - Black")</f>
        <v>Duracell USB C To Lightning Apple Certified (Mfi) Braided Sync &amp; Charge Cable For Iphone, Ipad And Ipod. Fast Charging Lightning Cable, 3.9 Feet (1.2M) - Black</v>
      </c>
      <c r="L329" s="17" t="str">
        <f>IFERROR(__xludf.DUMMYFUNCTION("""COMPUTED_VALUE"""),"Computers&amp;Accessories|Accessories&amp;Peripherals|Cables&amp;Accessories|Cables|USBCables")</f>
        <v>Computers&amp;Accessories|Accessories&amp;Peripherals|Cables&amp;Accessories|Cables|USBCables</v>
      </c>
      <c r="M329" s="23">
        <f>IFERROR(__xludf.DUMMYFUNCTION("""COMPUTED_VALUE"""),970.0)</f>
        <v>970</v>
      </c>
      <c r="N329" s="23">
        <f>IFERROR(__xludf.DUMMYFUNCTION("""COMPUTED_VALUE"""),1999.0)</f>
        <v>1999</v>
      </c>
      <c r="O329" s="24">
        <f>IFERROR(__xludf.DUMMYFUNCTION("""COMPUTED_VALUE"""),0.51)</f>
        <v>0.51</v>
      </c>
      <c r="P329" s="17">
        <f>IFERROR(__xludf.DUMMYFUNCTION("""COMPUTED_VALUE"""),4.4)</f>
        <v>4.4</v>
      </c>
      <c r="Q329" s="17">
        <f>IFERROR(__xludf.DUMMYFUNCTION("""COMPUTED_VALUE"""),184.0)</f>
        <v>184</v>
      </c>
    </row>
    <row r="330">
      <c r="A330" s="7" t="s">
        <v>366</v>
      </c>
      <c r="B330" s="7" t="s">
        <v>15</v>
      </c>
      <c r="C330" s="8">
        <v>349.0</v>
      </c>
      <c r="D330" s="8">
        <v>999.0</v>
      </c>
      <c r="E330" s="19">
        <v>0.65</v>
      </c>
      <c r="F330" s="10">
        <v>4.3</v>
      </c>
      <c r="G330" s="10">
        <v>838.0</v>
      </c>
      <c r="K330" s="17" t="str">
        <f>IFERROR(__xludf.DUMMYFUNCTION("""COMPUTED_VALUE"""),"Myvn 30W Warp/20W Dash Charging Usb Type C Charger Cable Compatible For Cellular Phones Oneplus 8T 8 8Pro 7 Pro / 7T / 7T Pro Nord And Oneplus 3 / 3T / 5 / 5T / 6 / 6T / 7")</f>
        <v>Myvn 30W Warp/20W Dash Charging Usb Type C Charger Cable Compatible For Cellular Phones Oneplus 8T 8 8Pro 7 Pro / 7T / 7T Pro Nord And Oneplus 3 / 3T / 5 / 5T / 6 / 6T / 7</v>
      </c>
      <c r="L330" s="17" t="str">
        <f>IFERROR(__xludf.DUMMYFUNCTION("""COMPUTED_VALUE"""),"Electronics|Mobiles&amp;Accessories|MobileAccessories|Chargers|WallChargers")</f>
        <v>Electronics|Mobiles&amp;Accessories|MobileAccessories|Chargers|WallChargers</v>
      </c>
      <c r="M330" s="23">
        <f>IFERROR(__xludf.DUMMYFUNCTION("""COMPUTED_VALUE"""),329.0)</f>
        <v>329</v>
      </c>
      <c r="N330" s="23">
        <f>IFERROR(__xludf.DUMMYFUNCTION("""COMPUTED_VALUE"""),999.0)</f>
        <v>999</v>
      </c>
      <c r="O330" s="24">
        <f>IFERROR(__xludf.DUMMYFUNCTION("""COMPUTED_VALUE"""),0.67)</f>
        <v>0.67</v>
      </c>
      <c r="P330" s="17">
        <f>IFERROR(__xludf.DUMMYFUNCTION("""COMPUTED_VALUE"""),4.2)</f>
        <v>4.2</v>
      </c>
      <c r="Q330" s="25">
        <f>IFERROR(__xludf.DUMMYFUNCTION("""COMPUTED_VALUE"""),3492.0)</f>
        <v>3492</v>
      </c>
    </row>
    <row r="331">
      <c r="A331" s="7" t="s">
        <v>367</v>
      </c>
      <c r="B331" s="7" t="s">
        <v>71</v>
      </c>
      <c r="C331" s="8">
        <v>197.0</v>
      </c>
      <c r="D331" s="8">
        <v>499.0</v>
      </c>
      <c r="E331" s="19">
        <v>0.61</v>
      </c>
      <c r="F331" s="10">
        <v>3.8</v>
      </c>
      <c r="G331" s="10">
        <v>136.0</v>
      </c>
      <c r="K331" s="17" t="str">
        <f>IFERROR(__xludf.DUMMYFUNCTION("""COMPUTED_VALUE"""),"SanDisk Ultra® microSDXC™ UHS-I Card, 256GB, 150MB/s R, 10 Y Warranty, for Smartphones")</f>
        <v>SanDisk Ultra® microSDXC™ UHS-I Card, 256GB, 150MB/s R, 10 Y Warranty, for Smartphones</v>
      </c>
      <c r="L331" s="17" t="str">
        <f>IFERROR(__xludf.DUMMYFUNCTION("""COMPUTED_VALUE"""),"Electronics|Accessories|MemoryCards|MicroSD")</f>
        <v>Electronics|Accessories|MemoryCards|MicroSD</v>
      </c>
      <c r="M331" s="23">
        <f>IFERROR(__xludf.DUMMYFUNCTION("""COMPUTED_VALUE"""),1989.0)</f>
        <v>1989</v>
      </c>
      <c r="N331" s="23">
        <f>IFERROR(__xludf.DUMMYFUNCTION("""COMPUTED_VALUE"""),3500.0)</f>
        <v>3500</v>
      </c>
      <c r="O331" s="24">
        <f>IFERROR(__xludf.DUMMYFUNCTION("""COMPUTED_VALUE"""),0.43)</f>
        <v>0.43</v>
      </c>
      <c r="P331" s="17">
        <f>IFERROR(__xludf.DUMMYFUNCTION("""COMPUTED_VALUE"""),4.4)</f>
        <v>4.4</v>
      </c>
      <c r="Q331" s="25">
        <f>IFERROR(__xludf.DUMMYFUNCTION("""COMPUTED_VALUE"""),67260.0)</f>
        <v>67260</v>
      </c>
    </row>
    <row r="332">
      <c r="A332" s="7" t="s">
        <v>368</v>
      </c>
      <c r="B332" s="7" t="s">
        <v>257</v>
      </c>
      <c r="C332" s="8">
        <v>1299.0</v>
      </c>
      <c r="D332" s="8">
        <v>2499.0</v>
      </c>
      <c r="E332" s="19">
        <v>0.48</v>
      </c>
      <c r="F332" s="10">
        <v>4.3</v>
      </c>
      <c r="G332" s="10">
        <v>301.0</v>
      </c>
      <c r="K332" s="17" t="str">
        <f>IFERROR(__xludf.DUMMYFUNCTION("""COMPUTED_VALUE"""),"Fire-Boltt Phoenix Smart Watch with Bluetooth Calling 1.3"",120+ Sports Modes, 240*240 PX High Res with SpO2, Heart Rate Monitoring &amp; IP67 Rating")</f>
        <v>Fire-Boltt Phoenix Smart Watch with Bluetooth Calling 1.3",120+ Sports Modes, 240*240 PX High Res with SpO2, Heart Rate Monitoring &amp; IP67 Rating</v>
      </c>
      <c r="L332" s="17" t="str">
        <f>IFERROR(__xludf.DUMMYFUNCTION("""COMPUTED_VALUE"""),"Electronics|WearableTechnology|SmartWatches")</f>
        <v>Electronics|WearableTechnology|SmartWatches</v>
      </c>
      <c r="M332" s="23">
        <f>IFERROR(__xludf.DUMMYFUNCTION("""COMPUTED_VALUE"""),1999.0)</f>
        <v>1999</v>
      </c>
      <c r="N332" s="23">
        <f>IFERROR(__xludf.DUMMYFUNCTION("""COMPUTED_VALUE"""),9999.0)</f>
        <v>9999</v>
      </c>
      <c r="O332" s="24">
        <f>IFERROR(__xludf.DUMMYFUNCTION("""COMPUTED_VALUE"""),0.8)</f>
        <v>0.8</v>
      </c>
      <c r="P332" s="17">
        <f>IFERROR(__xludf.DUMMYFUNCTION("""COMPUTED_VALUE"""),4.3)</f>
        <v>4.3</v>
      </c>
      <c r="Q332" s="25">
        <f>IFERROR(__xludf.DUMMYFUNCTION("""COMPUTED_VALUE"""),27704.0)</f>
        <v>27704</v>
      </c>
    </row>
    <row r="333">
      <c r="A333" s="7" t="s">
        <v>369</v>
      </c>
      <c r="B333" s="7" t="s">
        <v>15</v>
      </c>
      <c r="C333" s="8">
        <v>1519.0</v>
      </c>
      <c r="D333" s="8">
        <v>1899.0</v>
      </c>
      <c r="E333" s="19">
        <v>0.2</v>
      </c>
      <c r="F333" s="10">
        <v>4.4</v>
      </c>
      <c r="G333" s="11">
        <v>19763.0</v>
      </c>
      <c r="K333" s="17" t="str">
        <f>IFERROR(__xludf.DUMMYFUNCTION("""COMPUTED_VALUE"""),"Redmi Note 11 (Space Black, 6GB RAM, 64GB Storage) | 90Hz FHD+ AMOLED Display | Qualcomm® Snapdragon™ 680-6nm | 33W Charger Included")</f>
        <v>Redmi Note 11 (Space Black, 6GB RAM, 64GB Storage) | 90Hz FHD+ AMOLED Display | Qualcomm® Snapdragon™ 680-6nm | 33W Charger Included</v>
      </c>
      <c r="L333" s="17" t="str">
        <f>IFERROR(__xludf.DUMMYFUNCTION("""COMPUTED_VALUE"""),"Electronics|Mobiles&amp;Accessories|Smartphones&amp;BasicMobiles|Smartphones")</f>
        <v>Electronics|Mobiles&amp;Accessories|Smartphones&amp;BasicMobiles|Smartphones</v>
      </c>
      <c r="M333" s="23">
        <f>IFERROR(__xludf.DUMMYFUNCTION("""COMPUTED_VALUE"""),12999.0)</f>
        <v>12999</v>
      </c>
      <c r="N333" s="23">
        <f>IFERROR(__xludf.DUMMYFUNCTION("""COMPUTED_VALUE"""),18999.0)</f>
        <v>18999</v>
      </c>
      <c r="O333" s="24">
        <f>IFERROR(__xludf.DUMMYFUNCTION("""COMPUTED_VALUE"""),0.32)</f>
        <v>0.32</v>
      </c>
      <c r="P333" s="17">
        <f>IFERROR(__xludf.DUMMYFUNCTION("""COMPUTED_VALUE"""),4.1)</f>
        <v>4.1</v>
      </c>
      <c r="Q333" s="25">
        <f>IFERROR(__xludf.DUMMYFUNCTION("""COMPUTED_VALUE"""),50772.0)</f>
        <v>50772</v>
      </c>
    </row>
    <row r="334">
      <c r="A334" s="7" t="s">
        <v>370</v>
      </c>
      <c r="B334" s="7" t="s">
        <v>37</v>
      </c>
      <c r="C334" s="8">
        <v>46999.0</v>
      </c>
      <c r="D334" s="8">
        <v>69999.0</v>
      </c>
      <c r="E334" s="19">
        <v>0.33</v>
      </c>
      <c r="F334" s="10">
        <v>4.3</v>
      </c>
      <c r="G334" s="11">
        <v>21252.0</v>
      </c>
      <c r="K334" s="17" t="str">
        <f>IFERROR(__xludf.DUMMYFUNCTION("""COMPUTED_VALUE"""),"Redmi Note 11T 5G (Aquamarine Blue, 6GB RAM, 128GB ROM)| Dimensity 810 5G | 33W Pro Fast Charging | Charger Included | Additional Exchange Offers| Get 2 Months of YouTube Premium Free!")</f>
        <v>Redmi Note 11T 5G (Aquamarine Blue, 6GB RAM, 128GB ROM)| Dimensity 810 5G | 33W Pro Fast Charging | Charger Included | Additional Exchange Offers| Get 2 Months of YouTube Premium Free!</v>
      </c>
      <c r="L334" s="17" t="str">
        <f>IFERROR(__xludf.DUMMYFUNCTION("""COMPUTED_VALUE"""),"Electronics|Mobiles&amp;Accessories|Smartphones&amp;BasicMobiles|Smartphones")</f>
        <v>Electronics|Mobiles&amp;Accessories|Smartphones&amp;BasicMobiles|Smartphones</v>
      </c>
      <c r="M334" s="23">
        <f>IFERROR(__xludf.DUMMYFUNCTION("""COMPUTED_VALUE"""),16999.0)</f>
        <v>16999</v>
      </c>
      <c r="N334" s="23">
        <f>IFERROR(__xludf.DUMMYFUNCTION("""COMPUTED_VALUE"""),20999.0)</f>
        <v>20999</v>
      </c>
      <c r="O334" s="24">
        <f>IFERROR(__xludf.DUMMYFUNCTION("""COMPUTED_VALUE"""),0.19)</f>
        <v>0.19</v>
      </c>
      <c r="P334" s="17">
        <f>IFERROR(__xludf.DUMMYFUNCTION("""COMPUTED_VALUE"""),4.1)</f>
        <v>4.1</v>
      </c>
      <c r="Q334" s="25">
        <f>IFERROR(__xludf.DUMMYFUNCTION("""COMPUTED_VALUE"""),31822.0)</f>
        <v>31822</v>
      </c>
    </row>
    <row r="335">
      <c r="A335" s="7" t="s">
        <v>371</v>
      </c>
      <c r="B335" s="7" t="s">
        <v>15</v>
      </c>
      <c r="C335" s="8">
        <v>299.0</v>
      </c>
      <c r="D335" s="8">
        <v>799.0</v>
      </c>
      <c r="E335" s="19">
        <v>0.63</v>
      </c>
      <c r="F335" s="10">
        <v>4.3</v>
      </c>
      <c r="G335" s="11">
        <v>1902.0</v>
      </c>
      <c r="K335" s="17" t="str">
        <f>IFERROR(__xludf.DUMMYFUNCTION("""COMPUTED_VALUE"""),"Newly Launched Boult Dive+ with 1.85"" HD Display, Bluetooth Calling Smartwatch, 500 Nits Brightness, 7 Days Battery Life, 150+ Watch Faces, 100+ Sport Modes, IP68 Waterproof Smart Watch (Jet Black)")</f>
        <v>Newly Launched Boult Dive+ with 1.85" HD Display, Bluetooth Calling Smartwatch, 500 Nits Brightness, 7 Days Battery Life, 150+ Watch Faces, 100+ Sport Modes, IP68 Waterproof Smart Watch (Jet Black)</v>
      </c>
      <c r="L335" s="17" t="str">
        <f>IFERROR(__xludf.DUMMYFUNCTION("""COMPUTED_VALUE"""),"Electronics|WearableTechnology|SmartWatches")</f>
        <v>Electronics|WearableTechnology|SmartWatches</v>
      </c>
      <c r="M335" s="23">
        <f>IFERROR(__xludf.DUMMYFUNCTION("""COMPUTED_VALUE"""),1999.0)</f>
        <v>1999</v>
      </c>
      <c r="N335" s="23">
        <f>IFERROR(__xludf.DUMMYFUNCTION("""COMPUTED_VALUE"""),8499.0)</f>
        <v>8499</v>
      </c>
      <c r="O335" s="24">
        <f>IFERROR(__xludf.DUMMYFUNCTION("""COMPUTED_VALUE"""),0.76)</f>
        <v>0.76</v>
      </c>
      <c r="P335" s="17">
        <f>IFERROR(__xludf.DUMMYFUNCTION("""COMPUTED_VALUE"""),4.3)</f>
        <v>4.3</v>
      </c>
      <c r="Q335" s="17">
        <f>IFERROR(__xludf.DUMMYFUNCTION("""COMPUTED_VALUE"""),240.0)</f>
        <v>240</v>
      </c>
    </row>
    <row r="336">
      <c r="A336" s="7" t="s">
        <v>372</v>
      </c>
      <c r="B336" s="7" t="s">
        <v>373</v>
      </c>
      <c r="C336" s="8">
        <v>1799.0</v>
      </c>
      <c r="D336" s="8">
        <v>19999.0</v>
      </c>
      <c r="E336" s="19">
        <v>0.91</v>
      </c>
      <c r="F336" s="10">
        <v>4.2</v>
      </c>
      <c r="G336" s="11">
        <v>13937.0</v>
      </c>
      <c r="K336" s="17" t="str">
        <f>IFERROR(__xludf.DUMMYFUNCTION("""COMPUTED_VALUE"""),"Fire-Boltt Ninja 3 Smartwatch Full Touch 1.69 "" &amp; 60 Sports Modes with IP68, Sp02 Tracking, Over 100 Cloud based watch faces ( Silver )")</f>
        <v>Fire-Boltt Ninja 3 Smartwatch Full Touch 1.69 " &amp; 60 Sports Modes with IP68, Sp02 Tracking, Over 100 Cloud based watch faces ( Silver )</v>
      </c>
      <c r="L336" s="17" t="str">
        <f>IFERROR(__xludf.DUMMYFUNCTION("""COMPUTED_VALUE"""),"Electronics|WearableTechnology|SmartWatches")</f>
        <v>Electronics|WearableTechnology|SmartWatches</v>
      </c>
      <c r="M336" s="23">
        <f>IFERROR(__xludf.DUMMYFUNCTION("""COMPUTED_VALUE"""),1499.0)</f>
        <v>1499</v>
      </c>
      <c r="N336" s="23">
        <f>IFERROR(__xludf.DUMMYFUNCTION("""COMPUTED_VALUE"""),9999.0)</f>
        <v>9999</v>
      </c>
      <c r="O336" s="24">
        <f>IFERROR(__xludf.DUMMYFUNCTION("""COMPUTED_VALUE"""),0.85)</f>
        <v>0.85</v>
      </c>
      <c r="P336" s="17">
        <f>IFERROR(__xludf.DUMMYFUNCTION("""COMPUTED_VALUE"""),4.2)</f>
        <v>4.2</v>
      </c>
      <c r="Q336" s="25">
        <f>IFERROR(__xludf.DUMMYFUNCTION("""COMPUTED_VALUE"""),22638.0)</f>
        <v>22638</v>
      </c>
    </row>
    <row r="337">
      <c r="A337" s="7" t="s">
        <v>374</v>
      </c>
      <c r="B337" s="7" t="s">
        <v>373</v>
      </c>
      <c r="C337" s="8">
        <v>1998.0</v>
      </c>
      <c r="D337" s="8">
        <v>9999.0</v>
      </c>
      <c r="E337" s="19">
        <v>0.8</v>
      </c>
      <c r="F337" s="10">
        <v>4.3</v>
      </c>
      <c r="G337" s="11">
        <v>27696.0</v>
      </c>
      <c r="K337" s="17" t="str">
        <f>IFERROR(__xludf.DUMMYFUNCTION("""COMPUTED_VALUE"""),"Amazonbasics Nylon Braided Usb-C To Lightning Cable, Fast Charging Mfi Certified Smartphone, Iphone Charger (6-Foot, Dark Grey)")</f>
        <v>Amazonbasics Nylon Braided Usb-C To Lightning Cable, Fast Charging Mfi Certified Smartphone, Iphone Charger (6-Foot, Dark Grey)</v>
      </c>
      <c r="L337" s="17" t="str">
        <f>IFERROR(__xludf.DUMMYFUNCTION("""COMPUTED_VALUE"""),"Computers&amp;Accessories|Accessories&amp;Peripherals|Cables&amp;Accessories|Cables|USBCables")</f>
        <v>Computers&amp;Accessories|Accessories&amp;Peripherals|Cables&amp;Accessories|Cables|USBCables</v>
      </c>
      <c r="M337" s="23">
        <f>IFERROR(__xludf.DUMMYFUNCTION("""COMPUTED_VALUE"""),899.0)</f>
        <v>899</v>
      </c>
      <c r="N337" s="23">
        <f>IFERROR(__xludf.DUMMYFUNCTION("""COMPUTED_VALUE"""),1900.0)</f>
        <v>1900</v>
      </c>
      <c r="O337" s="24">
        <f>IFERROR(__xludf.DUMMYFUNCTION("""COMPUTED_VALUE"""),0.53)</f>
        <v>0.53</v>
      </c>
      <c r="P337" s="17">
        <f>IFERROR(__xludf.DUMMYFUNCTION("""COMPUTED_VALUE"""),4.4)</f>
        <v>4.4</v>
      </c>
      <c r="Q337" s="25">
        <f>IFERROR(__xludf.DUMMYFUNCTION("""COMPUTED_VALUE"""),13552.0)</f>
        <v>13552</v>
      </c>
    </row>
    <row r="338">
      <c r="A338" s="7" t="s">
        <v>375</v>
      </c>
      <c r="B338" s="7" t="s">
        <v>373</v>
      </c>
      <c r="C338" s="8">
        <v>1999.0</v>
      </c>
      <c r="D338" s="8">
        <v>7990.0</v>
      </c>
      <c r="E338" s="19">
        <v>0.75</v>
      </c>
      <c r="F338" s="10">
        <v>3.8</v>
      </c>
      <c r="G338" s="11">
        <v>17831.0</v>
      </c>
      <c r="K338" s="17" t="str">
        <f>IFERROR(__xludf.DUMMYFUNCTION("""COMPUTED_VALUE"""),"Kyosei Advanced Tempered Glass Compatible with Google Pixel 6a with Military-Grade Anti-Explosion Edge-to-Edge Coverage Screen Protector Guard")</f>
        <v>Kyosei Advanced Tempered Glass Compatible with Google Pixel 6a with Military-Grade Anti-Explosion Edge-to-Edge Coverage Screen Protector Guard</v>
      </c>
      <c r="L338" s="17" t="str">
        <f>IFERROR(__xludf.DUMMYFUNCTION("""COMPUTED_VALUE"""),"Electronics|Mobiles&amp;Accessories|MobileAccessories|Maintenance,Upkeep&amp;Repairs|ScreenProtectors")</f>
        <v>Electronics|Mobiles&amp;Accessories|MobileAccessories|Maintenance,Upkeep&amp;Repairs|ScreenProtectors</v>
      </c>
      <c r="M338" s="23">
        <f>IFERROR(__xludf.DUMMYFUNCTION("""COMPUTED_VALUE"""),299.0)</f>
        <v>299</v>
      </c>
      <c r="N338" s="23">
        <f>IFERROR(__xludf.DUMMYFUNCTION("""COMPUTED_VALUE"""),1199.0)</f>
        <v>1199</v>
      </c>
      <c r="O338" s="24">
        <f>IFERROR(__xludf.DUMMYFUNCTION("""COMPUTED_VALUE"""),0.75)</f>
        <v>0.75</v>
      </c>
      <c r="P338" s="17">
        <f>IFERROR(__xludf.DUMMYFUNCTION("""COMPUTED_VALUE"""),4.5)</f>
        <v>4.5</v>
      </c>
      <c r="Q338" s="17">
        <f>IFERROR(__xludf.DUMMYFUNCTION("""COMPUTED_VALUE"""),596.0)</f>
        <v>596</v>
      </c>
    </row>
    <row r="339">
      <c r="A339" s="7" t="s">
        <v>376</v>
      </c>
      <c r="B339" s="7" t="s">
        <v>377</v>
      </c>
      <c r="C339" s="8">
        <v>2049.0</v>
      </c>
      <c r="D339" s="8">
        <v>2199.0</v>
      </c>
      <c r="E339" s="19">
        <v>0.07</v>
      </c>
      <c r="F339" s="10">
        <v>4.3</v>
      </c>
      <c r="G339" s="7" t="s">
        <v>378</v>
      </c>
      <c r="K339" s="17" t="str">
        <f>IFERROR(__xludf.DUMMYFUNCTION("""COMPUTED_VALUE"""),"STRIFF 12 Pieces Highly Flexible Silicone Micro USB Protector, Mouse Cable Protector, Suit for All Cell Phones, Computers and Chargers (Black)")</f>
        <v>STRIFF 12 Pieces Highly Flexible Silicone Micro USB Protector, Mouse Cable Protector, Suit for All Cell Phones, Computers and Chargers (Black)</v>
      </c>
      <c r="L339" s="17" t="str">
        <f>IFERROR(__xludf.DUMMYFUNCTION("""COMPUTED_VALUE"""),"Electronics|Mobiles&amp;Accessories|MobileAccessories|Décor")</f>
        <v>Electronics|Mobiles&amp;Accessories|MobileAccessories|Décor</v>
      </c>
      <c r="M339" s="23">
        <f>IFERROR(__xludf.DUMMYFUNCTION("""COMPUTED_VALUE"""),79.0)</f>
        <v>79</v>
      </c>
      <c r="N339" s="23">
        <f>IFERROR(__xludf.DUMMYFUNCTION("""COMPUTED_VALUE"""),499.0)</f>
        <v>499</v>
      </c>
      <c r="O339" s="24">
        <f>IFERROR(__xludf.DUMMYFUNCTION("""COMPUTED_VALUE"""),0.84)</f>
        <v>0.84</v>
      </c>
      <c r="P339" s="17">
        <f>IFERROR(__xludf.DUMMYFUNCTION("""COMPUTED_VALUE"""),4.2)</f>
        <v>4.2</v>
      </c>
      <c r="Q339" s="25">
        <f>IFERROR(__xludf.DUMMYFUNCTION("""COMPUTED_VALUE"""),1949.0)</f>
        <v>1949</v>
      </c>
    </row>
    <row r="340">
      <c r="A340" s="7" t="s">
        <v>379</v>
      </c>
      <c r="B340" s="7" t="s">
        <v>380</v>
      </c>
      <c r="C340" s="8">
        <v>6499.0</v>
      </c>
      <c r="D340" s="8">
        <v>8999.0</v>
      </c>
      <c r="E340" s="19">
        <v>0.28</v>
      </c>
      <c r="F340" s="10">
        <v>4.0</v>
      </c>
      <c r="G340" s="11">
        <v>7807.0</v>
      </c>
      <c r="K340" s="17" t="str">
        <f>IFERROR(__xludf.DUMMYFUNCTION("""COMPUTED_VALUE"""),"Samsung Original EHS64 Wired in Ear Earphones with Mic, Black")</f>
        <v>Samsung Original EHS64 Wired in Ear Earphones with Mic, Black</v>
      </c>
      <c r="L340" s="17" t="str">
        <f>IFERROR(__xludf.DUMMYFUNCTION("""COMPUTED_VALUE"""),"Electronics|Headphones,Earbuds&amp;Accessories|Headphones|In-Ear")</f>
        <v>Electronics|Headphones,Earbuds&amp;Accessories|Headphones|In-Ear</v>
      </c>
      <c r="M340" s="23">
        <f>IFERROR(__xludf.DUMMYFUNCTION("""COMPUTED_VALUE"""),949.0)</f>
        <v>949</v>
      </c>
      <c r="N340" s="23">
        <f>IFERROR(__xludf.DUMMYFUNCTION("""COMPUTED_VALUE"""),999.0)</f>
        <v>999</v>
      </c>
      <c r="O340" s="24">
        <f>IFERROR(__xludf.DUMMYFUNCTION("""COMPUTED_VALUE"""),0.05)</f>
        <v>0.05</v>
      </c>
      <c r="P340" s="17">
        <f>IFERROR(__xludf.DUMMYFUNCTION("""COMPUTED_VALUE"""),4.2)</f>
        <v>4.2</v>
      </c>
      <c r="Q340" s="25">
        <f>IFERROR(__xludf.DUMMYFUNCTION("""COMPUTED_VALUE"""),31539.0)</f>
        <v>31539</v>
      </c>
    </row>
    <row r="341">
      <c r="A341" s="7" t="s">
        <v>381</v>
      </c>
      <c r="B341" s="7" t="s">
        <v>380</v>
      </c>
      <c r="C341" s="8">
        <v>28999.0</v>
      </c>
      <c r="D341" s="8">
        <v>28999.0</v>
      </c>
      <c r="E341" s="19">
        <v>0.0</v>
      </c>
      <c r="F341" s="10">
        <v>4.3</v>
      </c>
      <c r="G341" s="11">
        <v>17415.0</v>
      </c>
      <c r="K341" s="17" t="str">
        <f>IFERROR(__xludf.DUMMYFUNCTION("""COMPUTED_VALUE"""),"STRIFF Multi Angle Tablet/Mobile Stand. Holder for iPhone, Android, Samsung, OnePlus, Xiaomi. Portable,Foldable Stand.Perfect for Bed,Office, Home,Gift and Desktop (Black)")</f>
        <v>STRIFF Multi Angle Tablet/Mobile Stand. Holder for iPhone, Android, Samsung, OnePlus, Xiaomi. Portable,Foldable Stand.Perfect for Bed,Office, Home,Gift and Desktop (Black)</v>
      </c>
      <c r="L341" s="17" t="str">
        <f>IFERROR(__xludf.DUMMYFUNCTION("""COMPUTED_VALUE"""),"Electronics|Mobiles&amp;Accessories|MobileAccessories|Stands")</f>
        <v>Electronics|Mobiles&amp;Accessories|MobileAccessories|Stands</v>
      </c>
      <c r="M341" s="23">
        <f>IFERROR(__xludf.DUMMYFUNCTION("""COMPUTED_VALUE"""),99.0)</f>
        <v>99</v>
      </c>
      <c r="N341" s="23">
        <f>IFERROR(__xludf.DUMMYFUNCTION("""COMPUTED_VALUE"""),499.0)</f>
        <v>499</v>
      </c>
      <c r="O341" s="24">
        <f>IFERROR(__xludf.DUMMYFUNCTION("""COMPUTED_VALUE"""),0.8)</f>
        <v>0.8</v>
      </c>
      <c r="P341" s="17">
        <f>IFERROR(__xludf.DUMMYFUNCTION("""COMPUTED_VALUE"""),4.1)</f>
        <v>4.1</v>
      </c>
      <c r="Q341" s="25">
        <f>IFERROR(__xludf.DUMMYFUNCTION("""COMPUTED_VALUE"""),2451.0)</f>
        <v>2451</v>
      </c>
    </row>
    <row r="342">
      <c r="A342" s="7" t="s">
        <v>382</v>
      </c>
      <c r="B342" s="7" t="s">
        <v>380</v>
      </c>
      <c r="C342" s="8">
        <v>28999.0</v>
      </c>
      <c r="D342" s="8">
        <v>28999.0</v>
      </c>
      <c r="E342" s="19">
        <v>0.0</v>
      </c>
      <c r="F342" s="10">
        <v>4.3</v>
      </c>
      <c r="G342" s="11">
        <v>17415.0</v>
      </c>
      <c r="K342" s="17" t="str">
        <f>IFERROR(__xludf.DUMMYFUNCTION("""COMPUTED_VALUE"""),"boAt Newly Launched Wave Electra with 1.81"" HD Display, Smart Calling Ultra-Seamless BT Calling Chip, 20 Built-in Watch Faces, 100 + Sports Modes, Menu Personalization, in-Built Games(Cherry Blossom)")</f>
        <v>boAt Newly Launched Wave Electra with 1.81" HD Display, Smart Calling Ultra-Seamless BT Calling Chip, 20 Built-in Watch Faces, 100 + Sports Modes, Menu Personalization, in-Built Games(Cherry Blossom)</v>
      </c>
      <c r="L342" s="17" t="str">
        <f>IFERROR(__xludf.DUMMYFUNCTION("""COMPUTED_VALUE"""),"Electronics|WearableTechnology|SmartWatches")</f>
        <v>Electronics|WearableTechnology|SmartWatches</v>
      </c>
      <c r="M342" s="23">
        <f>IFERROR(__xludf.DUMMYFUNCTION("""COMPUTED_VALUE"""),2499.0)</f>
        <v>2499</v>
      </c>
      <c r="N342" s="23">
        <f>IFERROR(__xludf.DUMMYFUNCTION("""COMPUTED_VALUE"""),7990.0)</f>
        <v>7990</v>
      </c>
      <c r="O342" s="24">
        <f>IFERROR(__xludf.DUMMYFUNCTION("""COMPUTED_VALUE"""),0.69)</f>
        <v>0.69</v>
      </c>
      <c r="P342" s="17">
        <f>IFERROR(__xludf.DUMMYFUNCTION("""COMPUTED_VALUE"""),4.1)</f>
        <v>4.1</v>
      </c>
      <c r="Q342" s="17">
        <f>IFERROR(__xludf.DUMMYFUNCTION("""COMPUTED_VALUE"""),154.0)</f>
        <v>154</v>
      </c>
    </row>
    <row r="343">
      <c r="A343" s="7" t="s">
        <v>383</v>
      </c>
      <c r="B343" s="7" t="s">
        <v>380</v>
      </c>
      <c r="C343" s="8">
        <v>6499.0</v>
      </c>
      <c r="D343" s="8">
        <v>8999.0</v>
      </c>
      <c r="E343" s="19">
        <v>0.28</v>
      </c>
      <c r="F343" s="10">
        <v>4.0</v>
      </c>
      <c r="G343" s="11">
        <v>7807.0</v>
      </c>
      <c r="K343" s="17" t="str">
        <f>IFERROR(__xludf.DUMMYFUNCTION("""COMPUTED_VALUE"""),"WeCool B1 Mobile Holder for Bikes or Bike Mobile Holder for Maps and GPS Navigation, one Click Locking, Firm Gripping, Anti Shake and Stable Cradle Clamp with 360° Rotation Bicycle Phone Mount")</f>
        <v>WeCool B1 Mobile Holder for Bikes or Bike Mobile Holder for Maps and GPS Navigation, one Click Locking, Firm Gripping, Anti Shake and Stable Cradle Clamp with 360° Rotation Bicycle Phone Mount</v>
      </c>
      <c r="L343" s="17" t="str">
        <f>IFERROR(__xludf.DUMMYFUNCTION("""COMPUTED_VALUE"""),"Electronics|Mobiles&amp;Accessories|MobileAccessories|Mounts|HandlebarMounts")</f>
        <v>Electronics|Mobiles&amp;Accessories|MobileAccessories|Mounts|HandlebarMounts</v>
      </c>
      <c r="M343" s="23">
        <f>IFERROR(__xludf.DUMMYFUNCTION("""COMPUTED_VALUE"""),689.0)</f>
        <v>689</v>
      </c>
      <c r="N343" s="23">
        <f>IFERROR(__xludf.DUMMYFUNCTION("""COMPUTED_VALUE"""),1999.0)</f>
        <v>1999</v>
      </c>
      <c r="O343" s="24">
        <f>IFERROR(__xludf.DUMMYFUNCTION("""COMPUTED_VALUE"""),0.66)</f>
        <v>0.66</v>
      </c>
      <c r="P343" s="17">
        <f>IFERROR(__xludf.DUMMYFUNCTION("""COMPUTED_VALUE"""),4.3)</f>
        <v>4.3</v>
      </c>
      <c r="Q343" s="25">
        <f>IFERROR(__xludf.DUMMYFUNCTION("""COMPUTED_VALUE"""),1193.0)</f>
        <v>1193</v>
      </c>
    </row>
    <row r="344">
      <c r="A344" s="7" t="s">
        <v>384</v>
      </c>
      <c r="B344" s="7" t="s">
        <v>380</v>
      </c>
      <c r="C344" s="8">
        <v>6499.0</v>
      </c>
      <c r="D344" s="8">
        <v>8999.0</v>
      </c>
      <c r="E344" s="19">
        <v>0.28</v>
      </c>
      <c r="F344" s="10">
        <v>4.0</v>
      </c>
      <c r="G344" s="11">
        <v>7807.0</v>
      </c>
      <c r="K344" s="17" t="str">
        <f>IFERROR(__xludf.DUMMYFUNCTION("""COMPUTED_VALUE"""),"Sounce 360 Adjustable Mobile Phone Holder, Universal Phone Holder Clip Lazy Bracket Flexible Gooseneck Clamp Long Arms Mount for Mobile Tabletop Stand for Bedroom, Office, Bathroom, White")</f>
        <v>Sounce 360 Adjustable Mobile Phone Holder, Universal Phone Holder Clip Lazy Bracket Flexible Gooseneck Clamp Long Arms Mount for Mobile Tabletop Stand for Bedroom, Office, Bathroom, White</v>
      </c>
      <c r="L344" s="17" t="str">
        <f>IFERROR(__xludf.DUMMYFUNCTION("""COMPUTED_VALUE"""),"Electronics|Mobiles&amp;Accessories|MobileAccessories|Mounts|Bedstand&amp;DeskMounts")</f>
        <v>Electronics|Mobiles&amp;Accessories|MobileAccessories|Mounts|Bedstand&amp;DeskMounts</v>
      </c>
      <c r="M344" s="23">
        <f>IFERROR(__xludf.DUMMYFUNCTION("""COMPUTED_VALUE"""),499.0)</f>
        <v>499</v>
      </c>
      <c r="N344" s="23">
        <f>IFERROR(__xludf.DUMMYFUNCTION("""COMPUTED_VALUE"""),1899.0)</f>
        <v>1899</v>
      </c>
      <c r="O344" s="24">
        <f>IFERROR(__xludf.DUMMYFUNCTION("""COMPUTED_VALUE"""),0.74)</f>
        <v>0.74</v>
      </c>
      <c r="P344" s="17">
        <f>IFERROR(__xludf.DUMMYFUNCTION("""COMPUTED_VALUE"""),4.1)</f>
        <v>4.1</v>
      </c>
      <c r="Q344" s="25">
        <f>IFERROR(__xludf.DUMMYFUNCTION("""COMPUTED_VALUE"""),1475.0)</f>
        <v>1475</v>
      </c>
    </row>
    <row r="345">
      <c r="A345" s="7" t="s">
        <v>385</v>
      </c>
      <c r="B345" s="7" t="s">
        <v>386</v>
      </c>
      <c r="C345" s="8">
        <v>569.0</v>
      </c>
      <c r="D345" s="8">
        <v>1000.0</v>
      </c>
      <c r="E345" s="19">
        <v>0.43</v>
      </c>
      <c r="F345" s="10">
        <v>4.4</v>
      </c>
      <c r="G345" s="11">
        <v>67259.0</v>
      </c>
      <c r="K345" s="17" t="str">
        <f>IFERROR(__xludf.DUMMYFUNCTION("""COMPUTED_VALUE"""),"OpenTech® Military-Grade Tempered Glass Screen Protector Compatible for iPhone 13/13 Pro / 14 with Edge to Edge Coverage and Easy Installation kit (6.1 Inches)")</f>
        <v>OpenTech® Military-Grade Tempered Glass Screen Protector Compatible for iPhone 13/13 Pro / 14 with Edge to Edge Coverage and Easy Installation kit (6.1 Inches)</v>
      </c>
      <c r="L345" s="17" t="str">
        <f>IFERROR(__xludf.DUMMYFUNCTION("""COMPUTED_VALUE"""),"Electronics|Mobiles&amp;Accessories|MobileAccessories|Maintenance,Upkeep&amp;Repairs|ScreenProtectors")</f>
        <v>Electronics|Mobiles&amp;Accessories|MobileAccessories|Maintenance,Upkeep&amp;Repairs|ScreenProtectors</v>
      </c>
      <c r="M345" s="23">
        <f>IFERROR(__xludf.DUMMYFUNCTION("""COMPUTED_VALUE"""),299.0)</f>
        <v>299</v>
      </c>
      <c r="N345" s="23">
        <f>IFERROR(__xludf.DUMMYFUNCTION("""COMPUTED_VALUE"""),999.0)</f>
        <v>999</v>
      </c>
      <c r="O345" s="24">
        <f>IFERROR(__xludf.DUMMYFUNCTION("""COMPUTED_VALUE"""),0.7)</f>
        <v>0.7</v>
      </c>
      <c r="P345" s="17">
        <f>IFERROR(__xludf.DUMMYFUNCTION("""COMPUTED_VALUE"""),4.3)</f>
        <v>4.3</v>
      </c>
      <c r="Q345" s="25">
        <f>IFERROR(__xludf.DUMMYFUNCTION("""COMPUTED_VALUE"""),8891.0)</f>
        <v>8891</v>
      </c>
    </row>
    <row r="346">
      <c r="A346" s="7" t="s">
        <v>387</v>
      </c>
      <c r="B346" s="7" t="s">
        <v>373</v>
      </c>
      <c r="C346" s="8">
        <v>1898.0</v>
      </c>
      <c r="D346" s="8">
        <v>4999.0</v>
      </c>
      <c r="E346" s="19">
        <v>0.62</v>
      </c>
      <c r="F346" s="10">
        <v>4.1</v>
      </c>
      <c r="G346" s="11">
        <v>10689.0</v>
      </c>
      <c r="K346" s="17" t="str">
        <f>IFERROR(__xludf.DUMMYFUNCTION("""COMPUTED_VALUE"""),"Tecno Spark 8T (Turquoise Cyan, 4GB RAM,64GB Storage) | 50MP AI Camera | 7GB Expandable RAM")</f>
        <v>Tecno Spark 8T (Turquoise Cyan, 4GB RAM,64GB Storage) | 50MP AI Camera | 7GB Expandable RAM</v>
      </c>
      <c r="L346" s="17" t="str">
        <f>IFERROR(__xludf.DUMMYFUNCTION("""COMPUTED_VALUE"""),"Electronics|Mobiles&amp;Accessories|Smartphones&amp;BasicMobiles|Smartphones")</f>
        <v>Electronics|Mobiles&amp;Accessories|Smartphones&amp;BasicMobiles|Smartphones</v>
      </c>
      <c r="M346" s="23">
        <f>IFERROR(__xludf.DUMMYFUNCTION("""COMPUTED_VALUE"""),8499.0)</f>
        <v>8499</v>
      </c>
      <c r="N346" s="23">
        <f>IFERROR(__xludf.DUMMYFUNCTION("""COMPUTED_VALUE"""),12999.0)</f>
        <v>12999</v>
      </c>
      <c r="O346" s="24">
        <f>IFERROR(__xludf.DUMMYFUNCTION("""COMPUTED_VALUE"""),0.35)</f>
        <v>0.35</v>
      </c>
      <c r="P346" s="17">
        <f>IFERROR(__xludf.DUMMYFUNCTION("""COMPUTED_VALUE"""),4.1)</f>
        <v>4.1</v>
      </c>
      <c r="Q346" s="25">
        <f>IFERROR(__xludf.DUMMYFUNCTION("""COMPUTED_VALUE"""),6662.0)</f>
        <v>6662</v>
      </c>
    </row>
    <row r="347">
      <c r="A347" s="7" t="s">
        <v>388</v>
      </c>
      <c r="B347" s="7" t="s">
        <v>389</v>
      </c>
      <c r="C347" s="8">
        <v>1299.0</v>
      </c>
      <c r="D347" s="8">
        <v>1599.0</v>
      </c>
      <c r="E347" s="19">
        <v>0.19</v>
      </c>
      <c r="F347" s="10">
        <v>4.0</v>
      </c>
      <c r="G347" s="7" t="s">
        <v>390</v>
      </c>
      <c r="K347" s="17" t="str">
        <f>IFERROR(__xludf.DUMMYFUNCTION("""COMPUTED_VALUE"""),"Redmi Note 11T 5G (Stardust White, 6GB RAM, 128GB ROM)| Dimensity 810 5G | 33W Pro Fast Charging | Charger Included | Additional Exchange Offers|Get 2 Months of YouTube Premium Free!")</f>
        <v>Redmi Note 11T 5G (Stardust White, 6GB RAM, 128GB ROM)| Dimensity 810 5G | 33W Pro Fast Charging | Charger Included | Additional Exchange Offers|Get 2 Months of YouTube Premium Free!</v>
      </c>
      <c r="L347" s="17" t="str">
        <f>IFERROR(__xludf.DUMMYFUNCTION("""COMPUTED_VALUE"""),"Electronics|Mobiles&amp;Accessories|Smartphones&amp;BasicMobiles|Smartphones")</f>
        <v>Electronics|Mobiles&amp;Accessories|Smartphones&amp;BasicMobiles|Smartphones</v>
      </c>
      <c r="M347" s="23">
        <f>IFERROR(__xludf.DUMMYFUNCTION("""COMPUTED_VALUE"""),16999.0)</f>
        <v>16999</v>
      </c>
      <c r="N347" s="23">
        <f>IFERROR(__xludf.DUMMYFUNCTION("""COMPUTED_VALUE"""),20999.0)</f>
        <v>20999</v>
      </c>
      <c r="O347" s="24">
        <f>IFERROR(__xludf.DUMMYFUNCTION("""COMPUTED_VALUE"""),0.19)</f>
        <v>0.19</v>
      </c>
      <c r="P347" s="17">
        <f>IFERROR(__xludf.DUMMYFUNCTION("""COMPUTED_VALUE"""),4.1)</f>
        <v>4.1</v>
      </c>
      <c r="Q347" s="25">
        <f>IFERROR(__xludf.DUMMYFUNCTION("""COMPUTED_VALUE"""),31822.0)</f>
        <v>31822</v>
      </c>
    </row>
    <row r="348">
      <c r="A348" s="7" t="s">
        <v>391</v>
      </c>
      <c r="B348" s="7" t="s">
        <v>373</v>
      </c>
      <c r="C348" s="8">
        <v>1499.0</v>
      </c>
      <c r="D348" s="8">
        <v>6990.0</v>
      </c>
      <c r="E348" s="19">
        <v>0.79</v>
      </c>
      <c r="F348" s="10">
        <v>3.9</v>
      </c>
      <c r="G348" s="11">
        <v>21796.0</v>
      </c>
      <c r="K348" s="17" t="str">
        <f>IFERROR(__xludf.DUMMYFUNCTION("""COMPUTED_VALUE"""),"OnePlus 10T 5G (Moonstone Black, 8GB RAM, 128GB Storage)")</f>
        <v>OnePlus 10T 5G (Moonstone Black, 8GB RAM, 128GB Storage)</v>
      </c>
      <c r="L348" s="17" t="str">
        <f>IFERROR(__xludf.DUMMYFUNCTION("""COMPUTED_VALUE"""),"Electronics|Mobiles&amp;Accessories|Smartphones&amp;BasicMobiles|Smartphones")</f>
        <v>Electronics|Mobiles&amp;Accessories|Smartphones&amp;BasicMobiles|Smartphones</v>
      </c>
      <c r="M348" s="23">
        <f>IFERROR(__xludf.DUMMYFUNCTION("""COMPUTED_VALUE"""),44999.0)</f>
        <v>44999</v>
      </c>
      <c r="N348" s="23">
        <f>IFERROR(__xludf.DUMMYFUNCTION("""COMPUTED_VALUE"""),49999.0)</f>
        <v>49999</v>
      </c>
      <c r="O348" s="24">
        <f>IFERROR(__xludf.DUMMYFUNCTION("""COMPUTED_VALUE"""),0.1)</f>
        <v>0.1</v>
      </c>
      <c r="P348" s="17">
        <f>IFERROR(__xludf.DUMMYFUNCTION("""COMPUTED_VALUE"""),4.3)</f>
        <v>4.3</v>
      </c>
      <c r="Q348" s="25">
        <f>IFERROR(__xludf.DUMMYFUNCTION("""COMPUTED_VALUE"""),3075.0)</f>
        <v>3075</v>
      </c>
    </row>
    <row r="349">
      <c r="A349" s="7" t="s">
        <v>392</v>
      </c>
      <c r="B349" s="7" t="s">
        <v>393</v>
      </c>
      <c r="C349" s="8">
        <v>599.0</v>
      </c>
      <c r="D349" s="8">
        <v>999.0</v>
      </c>
      <c r="E349" s="19">
        <v>0.4</v>
      </c>
      <c r="F349" s="10">
        <v>4.1</v>
      </c>
      <c r="G349" s="7" t="s">
        <v>394</v>
      </c>
      <c r="K349" s="17" t="str">
        <f>IFERROR(__xludf.DUMMYFUNCTION("""COMPUTED_VALUE"""),"Noise ColorFit Ultra SE Smart Watch with 1.75""(4.3cm) HD Display, Aluminium Alloy Body, 60 Sports Modes, Spo2, Lightweight, Stock Market Info, Calls &amp; SMS Reply (Vintage Brown)")</f>
        <v>Noise ColorFit Ultra SE Smart Watch with 1.75"(4.3cm) HD Display, Aluminium Alloy Body, 60 Sports Modes, Spo2, Lightweight, Stock Market Info, Calls &amp; SMS Reply (Vintage Brown)</v>
      </c>
      <c r="L349" s="17" t="str">
        <f>IFERROR(__xludf.DUMMYFUNCTION("""COMPUTED_VALUE"""),"Electronics|WearableTechnology|SmartWatches")</f>
        <v>Electronics|WearableTechnology|SmartWatches</v>
      </c>
      <c r="M349" s="23">
        <f>IFERROR(__xludf.DUMMYFUNCTION("""COMPUTED_VALUE"""),2799.0)</f>
        <v>2799</v>
      </c>
      <c r="N349" s="23">
        <f>IFERROR(__xludf.DUMMYFUNCTION("""COMPUTED_VALUE"""),6499.0)</f>
        <v>6499</v>
      </c>
      <c r="O349" s="24">
        <f>IFERROR(__xludf.DUMMYFUNCTION("""COMPUTED_VALUE"""),0.57)</f>
        <v>0.57</v>
      </c>
      <c r="P349" s="17">
        <f>IFERROR(__xludf.DUMMYFUNCTION("""COMPUTED_VALUE"""),4.1)</f>
        <v>4.1</v>
      </c>
      <c r="Q349" s="25">
        <f>IFERROR(__xludf.DUMMYFUNCTION("""COMPUTED_VALUE"""),38879.0)</f>
        <v>38879</v>
      </c>
    </row>
    <row r="350">
      <c r="A350" s="7" t="s">
        <v>395</v>
      </c>
      <c r="B350" s="7" t="s">
        <v>380</v>
      </c>
      <c r="C350" s="8">
        <v>9499.0</v>
      </c>
      <c r="D350" s="8">
        <v>11999.0</v>
      </c>
      <c r="E350" s="19">
        <v>0.21</v>
      </c>
      <c r="F350" s="10">
        <v>4.2</v>
      </c>
      <c r="G350" s="10">
        <v>284.0</v>
      </c>
      <c r="K350" s="17" t="str">
        <f>IFERROR(__xludf.DUMMYFUNCTION("""COMPUTED_VALUE"""),"boAt Rockerz 400 Bluetooth On Ear Headphones With Mic With Upto 8 Hours Playback &amp; Soft Padded Ear Cushions(Grey/Green)")</f>
        <v>boAt Rockerz 400 Bluetooth On Ear Headphones With Mic With Upto 8 Hours Playback &amp; Soft Padded Ear Cushions(Grey/Green)</v>
      </c>
      <c r="L350" s="17" t="str">
        <f>IFERROR(__xludf.DUMMYFUNCTION("""COMPUTED_VALUE"""),"Electronics|Headphones,Earbuds&amp;Accessories|Headphones|On-Ear")</f>
        <v>Electronics|Headphones,Earbuds&amp;Accessories|Headphones|On-Ear</v>
      </c>
      <c r="M350" s="23">
        <f>IFERROR(__xludf.DUMMYFUNCTION("""COMPUTED_VALUE"""),1399.0)</f>
        <v>1399</v>
      </c>
      <c r="N350" s="23">
        <f>IFERROR(__xludf.DUMMYFUNCTION("""COMPUTED_VALUE"""),2990.0)</f>
        <v>2990</v>
      </c>
      <c r="O350" s="24">
        <f>IFERROR(__xludf.DUMMYFUNCTION("""COMPUTED_VALUE"""),0.53)</f>
        <v>0.53</v>
      </c>
      <c r="P350" s="17">
        <f>IFERROR(__xludf.DUMMYFUNCTION("""COMPUTED_VALUE"""),4.1)</f>
        <v>4.1</v>
      </c>
      <c r="Q350" s="25">
        <f>IFERROR(__xludf.DUMMYFUNCTION("""COMPUTED_VALUE"""),97175.0)</f>
        <v>97175</v>
      </c>
    </row>
    <row r="351">
      <c r="A351" s="7" t="s">
        <v>396</v>
      </c>
      <c r="B351" s="7" t="s">
        <v>393</v>
      </c>
      <c r="C351" s="8">
        <v>599.0</v>
      </c>
      <c r="D351" s="8">
        <v>2499.0</v>
      </c>
      <c r="E351" s="19">
        <v>0.76</v>
      </c>
      <c r="F351" s="10">
        <v>3.9</v>
      </c>
      <c r="G351" s="11">
        <v>58162.0</v>
      </c>
      <c r="K351" s="17" t="str">
        <f>IFERROR(__xludf.DUMMYFUNCTION("""COMPUTED_VALUE"""),"SanDisk Ultra microSD UHS-I Card 64GB, 120MB/s R")</f>
        <v>SanDisk Ultra microSD UHS-I Card 64GB, 120MB/s R</v>
      </c>
      <c r="L351" s="17" t="str">
        <f>IFERROR(__xludf.DUMMYFUNCTION("""COMPUTED_VALUE"""),"Electronics|Accessories|MemoryCards|MicroSD")</f>
        <v>Electronics|Accessories|MemoryCards|MicroSD</v>
      </c>
      <c r="M351" s="23">
        <f>IFERROR(__xludf.DUMMYFUNCTION("""COMPUTED_VALUE"""),649.0)</f>
        <v>649</v>
      </c>
      <c r="N351" s="23">
        <f>IFERROR(__xludf.DUMMYFUNCTION("""COMPUTED_VALUE"""),2400.0)</f>
        <v>2400</v>
      </c>
      <c r="O351" s="24">
        <f>IFERROR(__xludf.DUMMYFUNCTION("""COMPUTED_VALUE"""),0.73)</f>
        <v>0.73</v>
      </c>
      <c r="P351" s="17">
        <f>IFERROR(__xludf.DUMMYFUNCTION("""COMPUTED_VALUE"""),4.4)</f>
        <v>4.4</v>
      </c>
      <c r="Q351" s="25">
        <f>IFERROR(__xludf.DUMMYFUNCTION("""COMPUTED_VALUE"""),67260.0)</f>
        <v>67260</v>
      </c>
    </row>
    <row r="352">
      <c r="A352" s="7" t="s">
        <v>397</v>
      </c>
      <c r="B352" s="7" t="s">
        <v>380</v>
      </c>
      <c r="C352" s="8">
        <v>8999.0</v>
      </c>
      <c r="D352" s="8">
        <v>11999.0</v>
      </c>
      <c r="E352" s="19">
        <v>0.25</v>
      </c>
      <c r="F352" s="10">
        <v>4.0</v>
      </c>
      <c r="G352" s="11">
        <v>12796.0</v>
      </c>
      <c r="K352" s="17" t="str">
        <f>IFERROR(__xludf.DUMMYFUNCTION("""COMPUTED_VALUE"""),"LIRAMARK Webcam Cover Slide, Ultra Thin Laptop Camera Cover Slide Blocker for Computer MacBook Pro iMac PC Tablet (Pack of 3)")</f>
        <v>LIRAMARK Webcam Cover Slide, Ultra Thin Laptop Camera Cover Slide Blocker for Computer MacBook Pro iMac PC Tablet (Pack of 3)</v>
      </c>
      <c r="L352" s="17" t="str">
        <f>IFERROR(__xludf.DUMMYFUNCTION("""COMPUTED_VALUE"""),"Computers&amp;Accessories|Accessories&amp;Peripherals|LaptopAccessories|CameraPrivacyCovers")</f>
        <v>Computers&amp;Accessories|Accessories&amp;Peripherals|LaptopAccessories|CameraPrivacyCovers</v>
      </c>
      <c r="M352" s="23">
        <f>IFERROR(__xludf.DUMMYFUNCTION("""COMPUTED_VALUE"""),149.0)</f>
        <v>149</v>
      </c>
      <c r="N352" s="23">
        <f>IFERROR(__xludf.DUMMYFUNCTION("""COMPUTED_VALUE"""),149.0)</f>
        <v>149</v>
      </c>
      <c r="O352" s="24">
        <f>IFERROR(__xludf.DUMMYFUNCTION("""COMPUTED_VALUE"""),0.0)</f>
        <v>0</v>
      </c>
      <c r="P352" s="17">
        <f>IFERROR(__xludf.DUMMYFUNCTION("""COMPUTED_VALUE"""),4.3)</f>
        <v>4.3</v>
      </c>
      <c r="Q352" s="25">
        <f>IFERROR(__xludf.DUMMYFUNCTION("""COMPUTED_VALUE"""),10833.0)</f>
        <v>10833</v>
      </c>
    </row>
    <row r="353">
      <c r="A353" s="7" t="s">
        <v>398</v>
      </c>
      <c r="B353" s="7" t="s">
        <v>399</v>
      </c>
      <c r="C353" s="8">
        <v>349.0</v>
      </c>
      <c r="D353" s="8">
        <v>1299.0</v>
      </c>
      <c r="E353" s="19">
        <v>0.73</v>
      </c>
      <c r="F353" s="10">
        <v>4.0</v>
      </c>
      <c r="G353" s="11">
        <v>14282.0</v>
      </c>
      <c r="K353" s="17" t="str">
        <f>IFERROR(__xludf.DUMMYFUNCTION("""COMPUTED_VALUE"""),"AmazonBasics New Release Nylon USB-A to Lightning Cable Cord, Fast Charging MFi Certified Charger for Apple iPhone, iPad (6-Ft, Rose Gold)")</f>
        <v>AmazonBasics New Release Nylon USB-A to Lightning Cable Cord, Fast Charging MFi Certified Charger for Apple iPhone, iPad (6-Ft, Rose Gold)</v>
      </c>
      <c r="L353" s="17" t="str">
        <f>IFERROR(__xludf.DUMMYFUNCTION("""COMPUTED_VALUE"""),"Computers&amp;Accessories|Accessories&amp;Peripherals|Cables&amp;Accessories|Cables|USBCables")</f>
        <v>Computers&amp;Accessories|Accessories&amp;Peripherals|Cables&amp;Accessories|Cables|USBCables</v>
      </c>
      <c r="M353" s="23">
        <f>IFERROR(__xludf.DUMMYFUNCTION("""COMPUTED_VALUE"""),799.0)</f>
        <v>799</v>
      </c>
      <c r="N353" s="23">
        <f>IFERROR(__xludf.DUMMYFUNCTION("""COMPUTED_VALUE"""),2100.0)</f>
        <v>2100</v>
      </c>
      <c r="O353" s="24">
        <f>IFERROR(__xludf.DUMMYFUNCTION("""COMPUTED_VALUE"""),0.62)</f>
        <v>0.62</v>
      </c>
      <c r="P353" s="17">
        <f>IFERROR(__xludf.DUMMYFUNCTION("""COMPUTED_VALUE"""),4.3)</f>
        <v>4.3</v>
      </c>
      <c r="Q353" s="25">
        <f>IFERROR(__xludf.DUMMYFUNCTION("""COMPUTED_VALUE"""),8188.0)</f>
        <v>8188</v>
      </c>
    </row>
    <row r="354">
      <c r="A354" s="7" t="s">
        <v>400</v>
      </c>
      <c r="B354" s="7" t="s">
        <v>393</v>
      </c>
      <c r="C354" s="8">
        <v>349.0</v>
      </c>
      <c r="D354" s="8">
        <v>999.0</v>
      </c>
      <c r="E354" s="19">
        <v>0.65</v>
      </c>
      <c r="F354" s="10">
        <v>4.1</v>
      </c>
      <c r="G354" s="7" t="s">
        <v>401</v>
      </c>
      <c r="K354" s="17" t="str">
        <f>IFERROR(__xludf.DUMMYFUNCTION("""COMPUTED_VALUE"""),"iQOO 9 SE 5G (Sunset Sierra, 8GB RAM, 128GB Storage) | Qualcomm Snapdragon 888 | 66W Flash Charge")</f>
        <v>iQOO 9 SE 5G (Sunset Sierra, 8GB RAM, 128GB Storage) | Qualcomm Snapdragon 888 | 66W Flash Charge</v>
      </c>
      <c r="L354" s="17" t="str">
        <f>IFERROR(__xludf.DUMMYFUNCTION("""COMPUTED_VALUE"""),"Electronics|Mobiles&amp;Accessories|Smartphones&amp;BasicMobiles|Smartphones")</f>
        <v>Electronics|Mobiles&amp;Accessories|Smartphones&amp;BasicMobiles|Smartphones</v>
      </c>
      <c r="M354" s="23">
        <f>IFERROR(__xludf.DUMMYFUNCTION("""COMPUTED_VALUE"""),29990.0)</f>
        <v>29990</v>
      </c>
      <c r="N354" s="23">
        <f>IFERROR(__xludf.DUMMYFUNCTION("""COMPUTED_VALUE"""),39990.0)</f>
        <v>39990</v>
      </c>
      <c r="O354" s="24">
        <f>IFERROR(__xludf.DUMMYFUNCTION("""COMPUTED_VALUE"""),0.25)</f>
        <v>0.25</v>
      </c>
      <c r="P354" s="17">
        <f>IFERROR(__xludf.DUMMYFUNCTION("""COMPUTED_VALUE"""),4.3)</f>
        <v>4.3</v>
      </c>
      <c r="Q354" s="25">
        <f>IFERROR(__xludf.DUMMYFUNCTION("""COMPUTED_VALUE"""),8399.0)</f>
        <v>8399</v>
      </c>
    </row>
    <row r="355">
      <c r="A355" s="7" t="s">
        <v>402</v>
      </c>
      <c r="B355" s="7" t="s">
        <v>386</v>
      </c>
      <c r="C355" s="8">
        <v>959.0</v>
      </c>
      <c r="D355" s="8">
        <v>1800.0</v>
      </c>
      <c r="E355" s="19">
        <v>0.47</v>
      </c>
      <c r="F355" s="10">
        <v>4.4</v>
      </c>
      <c r="G355" s="11">
        <v>67259.0</v>
      </c>
      <c r="K355" s="17" t="str">
        <f>IFERROR(__xludf.DUMMYFUNCTION("""COMPUTED_VALUE"""),"Noise_Colorfit Smart Watch Charger 2 Pin USB Fast Charger Magnetic Charging Cable Adapter (Smart Watch Charger 2 pin)")</f>
        <v>Noise_Colorfit Smart Watch Charger 2 Pin USB Fast Charger Magnetic Charging Cable Adapter (Smart Watch Charger 2 pin)</v>
      </c>
      <c r="L355" s="17" t="str">
        <f>IFERROR(__xludf.DUMMYFUNCTION("""COMPUTED_VALUE"""),"Electronics|WearableTechnology|SmartWatches")</f>
        <v>Electronics|WearableTechnology|SmartWatches</v>
      </c>
      <c r="M355" s="23">
        <f>IFERROR(__xludf.DUMMYFUNCTION("""COMPUTED_VALUE"""),249.0)</f>
        <v>249</v>
      </c>
      <c r="N355" s="23">
        <f>IFERROR(__xludf.DUMMYFUNCTION("""COMPUTED_VALUE"""),999.0)</f>
        <v>999</v>
      </c>
      <c r="O355" s="24">
        <f>IFERROR(__xludf.DUMMYFUNCTION("""COMPUTED_VALUE"""),0.75)</f>
        <v>0.75</v>
      </c>
      <c r="P355" s="17">
        <f>IFERROR(__xludf.DUMMYFUNCTION("""COMPUTED_VALUE"""),4.5)</f>
        <v>4.5</v>
      </c>
      <c r="Q355" s="17">
        <f>IFERROR(__xludf.DUMMYFUNCTION("""COMPUTED_VALUE"""),38.0)</f>
        <v>38</v>
      </c>
    </row>
    <row r="356">
      <c r="A356" s="7" t="s">
        <v>403</v>
      </c>
      <c r="B356" s="7" t="s">
        <v>380</v>
      </c>
      <c r="C356" s="8">
        <v>9499.0</v>
      </c>
      <c r="D356" s="8">
        <v>11999.0</v>
      </c>
      <c r="E356" s="19">
        <v>0.21</v>
      </c>
      <c r="F356" s="10">
        <v>4.2</v>
      </c>
      <c r="G356" s="10">
        <v>284.0</v>
      </c>
      <c r="K356" s="17" t="str">
        <f>IFERROR(__xludf.DUMMYFUNCTION("""COMPUTED_VALUE"""),"POPIO Tempered Glass Screen Protector Compatible for iPhone 12 / iPhone 12 Pro with Case Friendly Edge to Edge Coverage and Easy Installation kit, Pack of 1")</f>
        <v>POPIO Tempered Glass Screen Protector Compatible for iPhone 12 / iPhone 12 Pro with Case Friendly Edge to Edge Coverage and Easy Installation kit, Pack of 1</v>
      </c>
      <c r="L356" s="17" t="str">
        <f>IFERROR(__xludf.DUMMYFUNCTION("""COMPUTED_VALUE"""),"Electronics|Mobiles&amp;Accessories|MobileAccessories|Maintenance,Upkeep&amp;Repairs|ScreenProtectors")</f>
        <v>Electronics|Mobiles&amp;Accessories|MobileAccessories|Maintenance,Upkeep&amp;Repairs|ScreenProtectors</v>
      </c>
      <c r="M356" s="23">
        <f>IFERROR(__xludf.DUMMYFUNCTION("""COMPUTED_VALUE"""),299.0)</f>
        <v>299</v>
      </c>
      <c r="N356" s="23">
        <f>IFERROR(__xludf.DUMMYFUNCTION("""COMPUTED_VALUE"""),599.0)</f>
        <v>599</v>
      </c>
      <c r="O356" s="24">
        <f>IFERROR(__xludf.DUMMYFUNCTION("""COMPUTED_VALUE"""),0.5)</f>
        <v>0.5</v>
      </c>
      <c r="P356" s="17">
        <f>IFERROR(__xludf.DUMMYFUNCTION("""COMPUTED_VALUE"""),4.3)</f>
        <v>4.3</v>
      </c>
      <c r="Q356" s="25">
        <f>IFERROR(__xludf.DUMMYFUNCTION("""COMPUTED_VALUE"""),4674.0)</f>
        <v>4674</v>
      </c>
    </row>
    <row r="357">
      <c r="A357" s="7" t="s">
        <v>404</v>
      </c>
      <c r="B357" s="7" t="s">
        <v>377</v>
      </c>
      <c r="C357" s="8">
        <v>1499.0</v>
      </c>
      <c r="D357" s="8">
        <v>2499.0</v>
      </c>
      <c r="E357" s="19">
        <v>0.4</v>
      </c>
      <c r="F357" s="10">
        <v>4.3</v>
      </c>
      <c r="G357" s="11">
        <v>15970.0</v>
      </c>
      <c r="K357" s="17" t="str">
        <f>IFERROR(__xludf.DUMMYFUNCTION("""COMPUTED_VALUE"""),"10WeRun Id-116 Bluetooth Smartwatch Wireless Fitness Band for Boys, Girls, Men, Women &amp; Kids | Sports Gym Watch for All Smart Phones I Heart Rate and spo2 Monitor")</f>
        <v>10WeRun Id-116 Bluetooth Smartwatch Wireless Fitness Band for Boys, Girls, Men, Women &amp; Kids | Sports Gym Watch for All Smart Phones I Heart Rate and spo2 Monitor</v>
      </c>
      <c r="L357" s="17" t="str">
        <f>IFERROR(__xludf.DUMMYFUNCTION("""COMPUTED_VALUE"""),"Electronics|WearableTechnology|SmartWatches")</f>
        <v>Electronics|WearableTechnology|SmartWatches</v>
      </c>
      <c r="M357" s="23">
        <f>IFERROR(__xludf.DUMMYFUNCTION("""COMPUTED_VALUE"""),499.0)</f>
        <v>499</v>
      </c>
      <c r="N357" s="23">
        <f>IFERROR(__xludf.DUMMYFUNCTION("""COMPUTED_VALUE"""),1899.0)</f>
        <v>1899</v>
      </c>
      <c r="O357" s="24">
        <f>IFERROR(__xludf.DUMMYFUNCTION("""COMPUTED_VALUE"""),0.74)</f>
        <v>0.74</v>
      </c>
      <c r="P357" s="17">
        <f>IFERROR(__xludf.DUMMYFUNCTION("""COMPUTED_VALUE"""),4.1)</f>
        <v>4.1</v>
      </c>
      <c r="Q357" s="17">
        <f>IFERROR(__xludf.DUMMYFUNCTION("""COMPUTED_VALUE"""),412.0)</f>
        <v>412</v>
      </c>
    </row>
    <row r="358">
      <c r="A358" s="7" t="s">
        <v>405</v>
      </c>
      <c r="B358" s="7" t="s">
        <v>377</v>
      </c>
      <c r="C358" s="8">
        <v>1149.0</v>
      </c>
      <c r="D358" s="8">
        <v>2199.0</v>
      </c>
      <c r="E358" s="19">
        <v>0.48</v>
      </c>
      <c r="F358" s="10">
        <v>4.3</v>
      </c>
      <c r="G358" s="7" t="s">
        <v>378</v>
      </c>
      <c r="K358" s="17" t="str">
        <f>IFERROR(__xludf.DUMMYFUNCTION("""COMPUTED_VALUE"""),"Noise ColorFit Ultra 2 Buzz 1.78"" AMOLED Bluetooth Calling Watch with 368*448px Always On Display, Premium Metallic Finish, 100+ Watch Faces, 100+ Sports Modes, Health Suite (Jet Black)")</f>
        <v>Noise ColorFit Ultra 2 Buzz 1.78" AMOLED Bluetooth Calling Watch with 368*448px Always On Display, Premium Metallic Finish, 100+ Watch Faces, 100+ Sports Modes, Health Suite (Jet Black)</v>
      </c>
      <c r="L358" s="17" t="str">
        <f>IFERROR(__xludf.DUMMYFUNCTION("""COMPUTED_VALUE"""),"Electronics|WearableTechnology|SmartWatches")</f>
        <v>Electronics|WearableTechnology|SmartWatches</v>
      </c>
      <c r="M358" s="23">
        <f>IFERROR(__xludf.DUMMYFUNCTION("""COMPUTED_VALUE"""),3999.0)</f>
        <v>3999</v>
      </c>
      <c r="N358" s="23">
        <f>IFERROR(__xludf.DUMMYFUNCTION("""COMPUTED_VALUE"""),6999.0)</f>
        <v>6999</v>
      </c>
      <c r="O358" s="24">
        <f>IFERROR(__xludf.DUMMYFUNCTION("""COMPUTED_VALUE"""),0.43)</f>
        <v>0.43</v>
      </c>
      <c r="P358" s="17">
        <f>IFERROR(__xludf.DUMMYFUNCTION("""COMPUTED_VALUE"""),4.1)</f>
        <v>4.1</v>
      </c>
      <c r="Q358" s="25">
        <f>IFERROR(__xludf.DUMMYFUNCTION("""COMPUTED_VALUE"""),10229.0)</f>
        <v>10229</v>
      </c>
    </row>
    <row r="359">
      <c r="A359" s="7" t="s">
        <v>406</v>
      </c>
      <c r="B359" s="7" t="s">
        <v>407</v>
      </c>
      <c r="C359" s="8">
        <v>349.0</v>
      </c>
      <c r="D359" s="8">
        <v>999.0</v>
      </c>
      <c r="E359" s="19">
        <v>0.65</v>
      </c>
      <c r="F359" s="10">
        <v>3.9</v>
      </c>
      <c r="G359" s="11">
        <v>46399.0</v>
      </c>
      <c r="K359" s="17" t="str">
        <f>IFERROR(__xludf.DUMMYFUNCTION("""COMPUTED_VALUE"""),"Redmi Note 11 (Horizon Blue, 6GB RAM, 64GB Storage)|90Hz FHD+ AMOLED Display | Qualcomm® Snapdragon™ 680-6nm | 33W Charger Included")</f>
        <v>Redmi Note 11 (Horizon Blue, 6GB RAM, 64GB Storage)|90Hz FHD+ AMOLED Display | Qualcomm® Snapdragon™ 680-6nm | 33W Charger Included</v>
      </c>
      <c r="L359" s="17" t="str">
        <f>IFERROR(__xludf.DUMMYFUNCTION("""COMPUTED_VALUE"""),"Electronics|Mobiles&amp;Accessories|Smartphones&amp;BasicMobiles|Smartphones")</f>
        <v>Electronics|Mobiles&amp;Accessories|Smartphones&amp;BasicMobiles|Smartphones</v>
      </c>
      <c r="M359" s="23">
        <f>IFERROR(__xludf.DUMMYFUNCTION("""COMPUTED_VALUE"""),12999.0)</f>
        <v>12999</v>
      </c>
      <c r="N359" s="23">
        <f>IFERROR(__xludf.DUMMYFUNCTION("""COMPUTED_VALUE"""),18999.0)</f>
        <v>18999</v>
      </c>
      <c r="O359" s="24">
        <f>IFERROR(__xludf.DUMMYFUNCTION("""COMPUTED_VALUE"""),0.32)</f>
        <v>0.32</v>
      </c>
      <c r="P359" s="17">
        <f>IFERROR(__xludf.DUMMYFUNCTION("""COMPUTED_VALUE"""),4.1)</f>
        <v>4.1</v>
      </c>
      <c r="Q359" s="25">
        <f>IFERROR(__xludf.DUMMYFUNCTION("""COMPUTED_VALUE"""),50772.0)</f>
        <v>50772</v>
      </c>
    </row>
    <row r="360">
      <c r="A360" s="7" t="s">
        <v>408</v>
      </c>
      <c r="B360" s="7" t="s">
        <v>409</v>
      </c>
      <c r="C360" s="8">
        <v>1219.0</v>
      </c>
      <c r="D360" s="8">
        <v>1699.0</v>
      </c>
      <c r="E360" s="19">
        <v>0.28</v>
      </c>
      <c r="F360" s="10">
        <v>4.4</v>
      </c>
      <c r="G360" s="11">
        <v>8891.0</v>
      </c>
      <c r="K360" s="17" t="str">
        <f>IFERROR(__xludf.DUMMYFUNCTION("""COMPUTED_VALUE"""),"Spigen Ultra Hybrid Back Cover Case Compatible with iPhone 14 Pro max (TPU + Poly Carbonate | Crystal Clear)")</f>
        <v>Spigen Ultra Hybrid Back Cover Case Compatible with iPhone 14 Pro max (TPU + Poly Carbonate | Crystal Clear)</v>
      </c>
      <c r="L360" s="17" t="str">
        <f>IFERROR(__xludf.DUMMYFUNCTION("""COMPUTED_VALUE"""),"Electronics|Mobiles&amp;Accessories|MobileAccessories|Cases&amp;Covers|BasicCases")</f>
        <v>Electronics|Mobiles&amp;Accessories|MobileAccessories|Cases&amp;Covers|BasicCases</v>
      </c>
      <c r="M360" s="23">
        <f>IFERROR(__xludf.DUMMYFUNCTION("""COMPUTED_VALUE"""),1599.0)</f>
        <v>1599</v>
      </c>
      <c r="N360" s="23">
        <f>IFERROR(__xludf.DUMMYFUNCTION("""COMPUTED_VALUE"""),2599.0)</f>
        <v>2599</v>
      </c>
      <c r="O360" s="24">
        <f>IFERROR(__xludf.DUMMYFUNCTION("""COMPUTED_VALUE"""),0.38)</f>
        <v>0.38</v>
      </c>
      <c r="P360" s="17">
        <f>IFERROR(__xludf.DUMMYFUNCTION("""COMPUTED_VALUE"""),4.3)</f>
        <v>4.3</v>
      </c>
      <c r="Q360" s="25">
        <f>IFERROR(__xludf.DUMMYFUNCTION("""COMPUTED_VALUE"""),1801.0)</f>
        <v>1801</v>
      </c>
    </row>
    <row r="361">
      <c r="A361" s="7" t="s">
        <v>410</v>
      </c>
      <c r="B361" s="7" t="s">
        <v>373</v>
      </c>
      <c r="C361" s="8">
        <v>1599.0</v>
      </c>
      <c r="D361" s="8">
        <v>3999.0</v>
      </c>
      <c r="E361" s="19">
        <v>0.6</v>
      </c>
      <c r="F361" s="10">
        <v>4.0</v>
      </c>
      <c r="G361" s="11">
        <v>30254.0</v>
      </c>
      <c r="K361" s="17" t="str">
        <f>IFERROR(__xludf.DUMMYFUNCTION("""COMPUTED_VALUE"""),"LAPSTER 12pcs Spiral Cable Protectors for Charger, Wires, Data Charger Cable Protector for Computers, Cell Phones etc.(Grey)")</f>
        <v>LAPSTER 12pcs Spiral Cable Protectors for Charger, Wires, Data Charger Cable Protector for Computers, Cell Phones etc.(Grey)</v>
      </c>
      <c r="L361" s="17" t="str">
        <f>IFERROR(__xludf.DUMMYFUNCTION("""COMPUTED_VALUE"""),"Electronics|Mobiles&amp;Accessories|MobileAccessories|Décor|PhoneCharms")</f>
        <v>Electronics|Mobiles&amp;Accessories|MobileAccessories|Décor|PhoneCharms</v>
      </c>
      <c r="M361" s="23">
        <f>IFERROR(__xludf.DUMMYFUNCTION("""COMPUTED_VALUE"""),99.0)</f>
        <v>99</v>
      </c>
      <c r="N361" s="23">
        <f>IFERROR(__xludf.DUMMYFUNCTION("""COMPUTED_VALUE"""),999.0)</f>
        <v>999</v>
      </c>
      <c r="O361" s="24">
        <f>IFERROR(__xludf.DUMMYFUNCTION("""COMPUTED_VALUE"""),0.9)</f>
        <v>0.9</v>
      </c>
      <c r="P361" s="17">
        <f>IFERROR(__xludf.DUMMYFUNCTION("""COMPUTED_VALUE"""),4.4)</f>
        <v>4.4</v>
      </c>
      <c r="Q361" s="17">
        <f>IFERROR(__xludf.DUMMYFUNCTION("""COMPUTED_VALUE"""),305.0)</f>
        <v>305</v>
      </c>
    </row>
    <row r="362">
      <c r="A362" s="7" t="s">
        <v>411</v>
      </c>
      <c r="B362" s="7" t="s">
        <v>373</v>
      </c>
      <c r="C362" s="8">
        <v>1499.0</v>
      </c>
      <c r="D362" s="8">
        <v>7999.0</v>
      </c>
      <c r="E362" s="19">
        <v>0.81</v>
      </c>
      <c r="F362" s="10">
        <v>4.2</v>
      </c>
      <c r="G362" s="11">
        <v>22636.0</v>
      </c>
      <c r="K362" s="17" t="str">
        <f>IFERROR(__xludf.DUMMYFUNCTION("""COMPUTED_VALUE"""),"MI REDMI 9i Sport (Carbon Black, 64 GB) (4 GB RAM)")</f>
        <v>MI REDMI 9i Sport (Carbon Black, 64 GB) (4 GB RAM)</v>
      </c>
      <c r="L362" s="17" t="str">
        <f>IFERROR(__xludf.DUMMYFUNCTION("""COMPUTED_VALUE"""),"Electronics|Mobiles&amp;Accessories|Smartphones&amp;BasicMobiles|Smartphones")</f>
        <v>Electronics|Mobiles&amp;Accessories|Smartphones&amp;BasicMobiles|Smartphones</v>
      </c>
      <c r="M362" s="23">
        <f>IFERROR(__xludf.DUMMYFUNCTION("""COMPUTED_VALUE"""),7915.0)</f>
        <v>7915</v>
      </c>
      <c r="N362" s="23">
        <f>IFERROR(__xludf.DUMMYFUNCTION("""COMPUTED_VALUE"""),9999.0)</f>
        <v>9999</v>
      </c>
      <c r="O362" s="24">
        <f>IFERROR(__xludf.DUMMYFUNCTION("""COMPUTED_VALUE"""),0.21)</f>
        <v>0.21</v>
      </c>
      <c r="P362" s="17">
        <f>IFERROR(__xludf.DUMMYFUNCTION("""COMPUTED_VALUE"""),4.3)</f>
        <v>4.3</v>
      </c>
      <c r="Q362" s="25">
        <f>IFERROR(__xludf.DUMMYFUNCTION("""COMPUTED_VALUE"""),1376.0)</f>
        <v>1376</v>
      </c>
    </row>
    <row r="363">
      <c r="A363" s="7" t="s">
        <v>412</v>
      </c>
      <c r="B363" s="7" t="s">
        <v>380</v>
      </c>
      <c r="C363" s="8">
        <v>18499.0</v>
      </c>
      <c r="D363" s="8">
        <v>25999.0</v>
      </c>
      <c r="E363" s="19">
        <v>0.29</v>
      </c>
      <c r="F363" s="10">
        <v>4.1</v>
      </c>
      <c r="G363" s="11">
        <v>22318.0</v>
      </c>
      <c r="K363" s="17" t="str">
        <f>IFERROR(__xludf.DUMMYFUNCTION("""COMPUTED_VALUE"""),"Fire-Boltt Ninja 3 Smartwatch Full Touch 1.69 "" &amp; 60 Sports Modes with IP68, Sp02 Tracking, Over 100 Cloud based watch faces ( Green )")</f>
        <v>Fire-Boltt Ninja 3 Smartwatch Full Touch 1.69 " &amp; 60 Sports Modes with IP68, Sp02 Tracking, Over 100 Cloud based watch faces ( Green )</v>
      </c>
      <c r="L363" s="17" t="str">
        <f>IFERROR(__xludf.DUMMYFUNCTION("""COMPUTED_VALUE"""),"Electronics|WearableTechnology|SmartWatches")</f>
        <v>Electronics|WearableTechnology|SmartWatches</v>
      </c>
      <c r="M363" s="23">
        <f>IFERROR(__xludf.DUMMYFUNCTION("""COMPUTED_VALUE"""),1499.0)</f>
        <v>1499</v>
      </c>
      <c r="N363" s="23">
        <f>IFERROR(__xludf.DUMMYFUNCTION("""COMPUTED_VALUE"""),7999.0)</f>
        <v>7999</v>
      </c>
      <c r="O363" s="24">
        <f>IFERROR(__xludf.DUMMYFUNCTION("""COMPUTED_VALUE"""),0.81)</f>
        <v>0.81</v>
      </c>
      <c r="P363" s="17">
        <f>IFERROR(__xludf.DUMMYFUNCTION("""COMPUTED_VALUE"""),4.2)</f>
        <v>4.2</v>
      </c>
      <c r="Q363" s="25">
        <f>IFERROR(__xludf.DUMMYFUNCTION("""COMPUTED_VALUE"""),22638.0)</f>
        <v>22638</v>
      </c>
    </row>
    <row r="364">
      <c r="A364" s="7" t="s">
        <v>413</v>
      </c>
      <c r="B364" s="7" t="s">
        <v>386</v>
      </c>
      <c r="C364" s="8">
        <v>369.0</v>
      </c>
      <c r="D364" s="8">
        <v>700.0</v>
      </c>
      <c r="E364" s="19">
        <v>0.47</v>
      </c>
      <c r="F364" s="10">
        <v>4.4</v>
      </c>
      <c r="G364" s="11">
        <v>67259.0</v>
      </c>
      <c r="K364" s="17" t="str">
        <f>IFERROR(__xludf.DUMMYFUNCTION("""COMPUTED_VALUE"""),"POPIO Tempered Glass Compatible for iPhone 13 / iPhone 13 Pro/iPhone 14 (Transparent) Edge to Edge Full Screen Coverage with Installation Kit, Pack of 2")</f>
        <v>POPIO Tempered Glass Compatible for iPhone 13 / iPhone 13 Pro/iPhone 14 (Transparent) Edge to Edge Full Screen Coverage with Installation Kit, Pack of 2</v>
      </c>
      <c r="L364" s="17" t="str">
        <f>IFERROR(__xludf.DUMMYFUNCTION("""COMPUTED_VALUE"""),"Electronics|Mobiles&amp;Accessories|MobileAccessories|Maintenance,Upkeep&amp;Repairs|ScreenProtectors")</f>
        <v>Electronics|Mobiles&amp;Accessories|MobileAccessories|Maintenance,Upkeep&amp;Repairs|ScreenProtectors</v>
      </c>
      <c r="M364" s="23">
        <f>IFERROR(__xludf.DUMMYFUNCTION("""COMPUTED_VALUE"""),150.0)</f>
        <v>150</v>
      </c>
      <c r="N364" s="23">
        <f>IFERROR(__xludf.DUMMYFUNCTION("""COMPUTED_VALUE"""),599.0)</f>
        <v>599</v>
      </c>
      <c r="O364" s="24">
        <f>IFERROR(__xludf.DUMMYFUNCTION("""COMPUTED_VALUE"""),0.75)</f>
        <v>0.75</v>
      </c>
      <c r="P364" s="17">
        <f>IFERROR(__xludf.DUMMYFUNCTION("""COMPUTED_VALUE"""),4.3)</f>
        <v>4.3</v>
      </c>
      <c r="Q364" s="17">
        <f>IFERROR(__xludf.DUMMYFUNCTION("""COMPUTED_VALUE"""),714.0)</f>
        <v>714</v>
      </c>
    </row>
    <row r="365">
      <c r="A365" s="7" t="s">
        <v>414</v>
      </c>
      <c r="B365" s="7" t="s">
        <v>380</v>
      </c>
      <c r="C365" s="8">
        <v>12999.0</v>
      </c>
      <c r="D365" s="8">
        <v>17999.0</v>
      </c>
      <c r="E365" s="19">
        <v>0.28</v>
      </c>
      <c r="F365" s="10">
        <v>4.1</v>
      </c>
      <c r="G365" s="11">
        <v>18998.0</v>
      </c>
      <c r="K365" s="17" t="str">
        <f>IFERROR(__xludf.DUMMYFUNCTION("""COMPUTED_VALUE"""),"Amazon Basics USB Type-C to USB-A 2.0 Male Fast Charging Cable for Laptop - 3 Feet (0.9 Meters), Black")</f>
        <v>Amazon Basics USB Type-C to USB-A 2.0 Male Fast Charging Cable for Laptop - 3 Feet (0.9 Meters), Black</v>
      </c>
      <c r="L365" s="17" t="str">
        <f>IFERROR(__xludf.DUMMYFUNCTION("""COMPUTED_VALUE"""),"Computers&amp;Accessories|Accessories&amp;Peripherals|Cables&amp;Accessories|Cables|USBCables")</f>
        <v>Computers&amp;Accessories|Accessories&amp;Peripherals|Cables&amp;Accessories|Cables|USBCables</v>
      </c>
      <c r="M365" s="23">
        <f>IFERROR(__xludf.DUMMYFUNCTION("""COMPUTED_VALUE"""),219.0)</f>
        <v>219</v>
      </c>
      <c r="N365" s="23">
        <f>IFERROR(__xludf.DUMMYFUNCTION("""COMPUTED_VALUE"""),700.0)</f>
        <v>700</v>
      </c>
      <c r="O365" s="24">
        <f>IFERROR(__xludf.DUMMYFUNCTION("""COMPUTED_VALUE"""),0.69)</f>
        <v>0.69</v>
      </c>
      <c r="P365" s="17">
        <f>IFERROR(__xludf.DUMMYFUNCTION("""COMPUTED_VALUE"""),4.3)</f>
        <v>4.3</v>
      </c>
      <c r="Q365" s="25">
        <f>IFERROR(__xludf.DUMMYFUNCTION("""COMPUTED_VALUE"""),20052.0)</f>
        <v>20052</v>
      </c>
    </row>
    <row r="366">
      <c r="A366" s="7" t="s">
        <v>372</v>
      </c>
      <c r="B366" s="7" t="s">
        <v>373</v>
      </c>
      <c r="C366" s="8">
        <v>1799.0</v>
      </c>
      <c r="D366" s="8">
        <v>19999.0</v>
      </c>
      <c r="E366" s="19">
        <v>0.91</v>
      </c>
      <c r="F366" s="10">
        <v>4.2</v>
      </c>
      <c r="G366" s="11">
        <v>13937.0</v>
      </c>
      <c r="K366" s="17" t="str">
        <f>IFERROR(__xludf.DUMMYFUNCTION("""COMPUTED_VALUE"""),"Amozo Ultra Hybrid Camera and Drop Protection Back Cover Case for iPhone 13 (Polycarbonate| Back Transparent - Sides Black)")</f>
        <v>Amozo Ultra Hybrid Camera and Drop Protection Back Cover Case for iPhone 13 (Polycarbonate| Back Transparent - Sides Black)</v>
      </c>
      <c r="L366" s="17" t="str">
        <f>IFERROR(__xludf.DUMMYFUNCTION("""COMPUTED_VALUE"""),"Electronics|Mobiles&amp;Accessories|MobileAccessories|Cases&amp;Covers|BasicCases")</f>
        <v>Electronics|Mobiles&amp;Accessories|MobileAccessories|Cases&amp;Covers|BasicCases</v>
      </c>
      <c r="M366" s="23">
        <f>IFERROR(__xludf.DUMMYFUNCTION("""COMPUTED_VALUE"""),474.0)</f>
        <v>474</v>
      </c>
      <c r="N366" s="23">
        <f>IFERROR(__xludf.DUMMYFUNCTION("""COMPUTED_VALUE"""),1799.0)</f>
        <v>1799</v>
      </c>
      <c r="O366" s="24">
        <f>IFERROR(__xludf.DUMMYFUNCTION("""COMPUTED_VALUE"""),0.74)</f>
        <v>0.74</v>
      </c>
      <c r="P366" s="17">
        <f>IFERROR(__xludf.DUMMYFUNCTION("""COMPUTED_VALUE"""),4.3)</f>
        <v>4.3</v>
      </c>
      <c r="Q366" s="25">
        <f>IFERROR(__xludf.DUMMYFUNCTION("""COMPUTED_VALUE"""),1454.0)</f>
        <v>1454</v>
      </c>
    </row>
    <row r="367">
      <c r="A367" s="7" t="s">
        <v>415</v>
      </c>
      <c r="B367" s="7" t="s">
        <v>373</v>
      </c>
      <c r="C367" s="8">
        <v>2199.0</v>
      </c>
      <c r="D367" s="8">
        <v>9999.0</v>
      </c>
      <c r="E367" s="19">
        <v>0.78</v>
      </c>
      <c r="F367" s="10">
        <v>4.2</v>
      </c>
      <c r="G367" s="11">
        <v>29471.0</v>
      </c>
      <c r="K367" s="17" t="str">
        <f>IFERROR(__xludf.DUMMYFUNCTION("""COMPUTED_VALUE"""),"Redmi 9A Sport (Coral Green, 3GB RAM, 32GB Storage) | 2GHz Octa-core Helio G25 Processor | 5000 mAh Battery")</f>
        <v>Redmi 9A Sport (Coral Green, 3GB RAM, 32GB Storage) | 2GHz Octa-core Helio G25 Processor | 5000 mAh Battery</v>
      </c>
      <c r="L367" s="17" t="str">
        <f>IFERROR(__xludf.DUMMYFUNCTION("""COMPUTED_VALUE"""),"Electronics|Mobiles&amp;Accessories|Smartphones&amp;BasicMobiles|Smartphones")</f>
        <v>Electronics|Mobiles&amp;Accessories|Smartphones&amp;BasicMobiles|Smartphones</v>
      </c>
      <c r="M367" s="23">
        <f>IFERROR(__xludf.DUMMYFUNCTION("""COMPUTED_VALUE"""),7499.0)</f>
        <v>7499</v>
      </c>
      <c r="N367" s="23">
        <f>IFERROR(__xludf.DUMMYFUNCTION("""COMPUTED_VALUE"""),9499.0)</f>
        <v>9499</v>
      </c>
      <c r="O367" s="24">
        <f>IFERROR(__xludf.DUMMYFUNCTION("""COMPUTED_VALUE"""),0.21)</f>
        <v>0.21</v>
      </c>
      <c r="P367" s="17">
        <f>IFERROR(__xludf.DUMMYFUNCTION("""COMPUTED_VALUE"""),4.1)</f>
        <v>4.1</v>
      </c>
      <c r="Q367" s="17" t="str">
        <f>IFERROR(__xludf.DUMMYFUNCTION("""COMPUTED_VALUE"""),"3,13,832")</f>
        <v>3,13,832</v>
      </c>
    </row>
    <row r="368">
      <c r="A368" s="7" t="s">
        <v>416</v>
      </c>
      <c r="B368" s="7" t="s">
        <v>380</v>
      </c>
      <c r="C368" s="8">
        <v>16999.0</v>
      </c>
      <c r="D368" s="8">
        <v>24999.0</v>
      </c>
      <c r="E368" s="19">
        <v>0.32</v>
      </c>
      <c r="F368" s="10">
        <v>4.1</v>
      </c>
      <c r="G368" s="11">
        <v>22318.0</v>
      </c>
      <c r="K368" s="17" t="str">
        <f>IFERROR(__xludf.DUMMYFUNCTION("""COMPUTED_VALUE"""),"Samsung Galaxy S20 FE 5G (Cloud Navy, 8GB RAM, 128GB Storage) with No Cost EMI &amp; Additional Exchange Offers")</f>
        <v>Samsung Galaxy S20 FE 5G (Cloud Navy, 8GB RAM, 128GB Storage) with No Cost EMI &amp; Additional Exchange Offers</v>
      </c>
      <c r="L368" s="17" t="str">
        <f>IFERROR(__xludf.DUMMYFUNCTION("""COMPUTED_VALUE"""),"Electronics|Mobiles&amp;Accessories|Smartphones&amp;BasicMobiles|Smartphones")</f>
        <v>Electronics|Mobiles&amp;Accessories|Smartphones&amp;BasicMobiles|Smartphones</v>
      </c>
      <c r="M368" s="23">
        <f>IFERROR(__xludf.DUMMYFUNCTION("""COMPUTED_VALUE"""),37990.0)</f>
        <v>37990</v>
      </c>
      <c r="N368" s="23">
        <f>IFERROR(__xludf.DUMMYFUNCTION("""COMPUTED_VALUE"""),74999.0)</f>
        <v>74999</v>
      </c>
      <c r="O368" s="24">
        <f>IFERROR(__xludf.DUMMYFUNCTION("""COMPUTED_VALUE"""),0.49)</f>
        <v>0.49</v>
      </c>
      <c r="P368" s="17">
        <f>IFERROR(__xludf.DUMMYFUNCTION("""COMPUTED_VALUE"""),4.2)</f>
        <v>4.2</v>
      </c>
      <c r="Q368" s="25">
        <f>IFERROR(__xludf.DUMMYFUNCTION("""COMPUTED_VALUE"""),27790.0)</f>
        <v>27790</v>
      </c>
    </row>
    <row r="369">
      <c r="A369" s="7" t="s">
        <v>417</v>
      </c>
      <c r="B369" s="7" t="s">
        <v>380</v>
      </c>
      <c r="C369" s="8">
        <v>16499.0</v>
      </c>
      <c r="D369" s="8">
        <v>20999.0</v>
      </c>
      <c r="E369" s="19">
        <v>0.21</v>
      </c>
      <c r="F369" s="10">
        <v>4.0</v>
      </c>
      <c r="G369" s="11">
        <v>21350.0</v>
      </c>
      <c r="K369" s="17" t="str">
        <f>IFERROR(__xludf.DUMMYFUNCTION("""COMPUTED_VALUE"""),"Ambrane 2 in 1 Type-C &amp; Micro USB Cable with 60W / 3A Fast Charging, 480 mbps High Data, PD Technology &amp; Quick Charge 3.0, Compatible with All Type-C &amp; Micro USB Devices (ABDC-10, Black)")</f>
        <v>Ambrane 2 in 1 Type-C &amp; Micro USB Cable with 60W / 3A Fast Charging, 480 mbps High Data, PD Technology &amp; Quick Charge 3.0, Compatible with All Type-C &amp; Micro USB Devices (ABDC-10, Black)</v>
      </c>
      <c r="L369" s="17" t="str">
        <f>IFERROR(__xludf.DUMMYFUNCTION("""COMPUTED_VALUE"""),"Computers&amp;Accessories|Accessories&amp;Peripherals|Cables&amp;Accessories|Cables|USBCables")</f>
        <v>Computers&amp;Accessories|Accessories&amp;Peripherals|Cables&amp;Accessories|Cables|USBCables</v>
      </c>
      <c r="M369" s="23">
        <f>IFERROR(__xludf.DUMMYFUNCTION("""COMPUTED_VALUE"""),199.0)</f>
        <v>199</v>
      </c>
      <c r="N369" s="23">
        <f>IFERROR(__xludf.DUMMYFUNCTION("""COMPUTED_VALUE"""),499.0)</f>
        <v>499</v>
      </c>
      <c r="O369" s="24">
        <f>IFERROR(__xludf.DUMMYFUNCTION("""COMPUTED_VALUE"""),0.6)</f>
        <v>0.6</v>
      </c>
      <c r="P369" s="17">
        <f>IFERROR(__xludf.DUMMYFUNCTION("""COMPUTED_VALUE"""),4.1)</f>
        <v>4.1</v>
      </c>
      <c r="Q369" s="17">
        <f>IFERROR(__xludf.DUMMYFUNCTION("""COMPUTED_VALUE"""),602.0)</f>
        <v>602</v>
      </c>
    </row>
    <row r="370">
      <c r="A370" s="7" t="s">
        <v>372</v>
      </c>
      <c r="B370" s="7" t="s">
        <v>373</v>
      </c>
      <c r="C370" s="8">
        <v>1799.0</v>
      </c>
      <c r="D370" s="8">
        <v>19999.0</v>
      </c>
      <c r="E370" s="19">
        <v>0.91</v>
      </c>
      <c r="F370" s="10">
        <v>4.2</v>
      </c>
      <c r="G370" s="11">
        <v>13937.0</v>
      </c>
      <c r="K370" s="17" t="str">
        <f>IFERROR(__xludf.DUMMYFUNCTION("""COMPUTED_VALUE"""),"WeCool S5 Long Selfie Stick, with Large Reinforced Tripod Stand up to 61 Inch / 156 Cms, Ultra Long Multi Function Bluetooth Selfie Stick with 1/4 Screw Compatible with Gopro, Camera, and Ring Light")</f>
        <v>WeCool S5 Long Selfie Stick, with Large Reinforced Tripod Stand up to 61 Inch / 156 Cms, Ultra Long Multi Function Bluetooth Selfie Stick with 1/4 Screw Compatible with Gopro, Camera, and Ring Light</v>
      </c>
      <c r="L370" s="17" t="str">
        <f>IFERROR(__xludf.DUMMYFUNCTION("""COMPUTED_VALUE"""),"Electronics|Mobiles&amp;Accessories|MobileAccessories|Photo&amp;VideoAccessories|SelfieSticks")</f>
        <v>Electronics|Mobiles&amp;Accessories|MobileAccessories|Photo&amp;VideoAccessories|SelfieSticks</v>
      </c>
      <c r="M370" s="23">
        <f>IFERROR(__xludf.DUMMYFUNCTION("""COMPUTED_VALUE"""),1799.0)</f>
        <v>1799</v>
      </c>
      <c r="N370" s="23">
        <f>IFERROR(__xludf.DUMMYFUNCTION("""COMPUTED_VALUE"""),3999.0)</f>
        <v>3999</v>
      </c>
      <c r="O370" s="24">
        <f>IFERROR(__xludf.DUMMYFUNCTION("""COMPUTED_VALUE"""),0.55)</f>
        <v>0.55</v>
      </c>
      <c r="P370" s="17">
        <f>IFERROR(__xludf.DUMMYFUNCTION("""COMPUTED_VALUE"""),4.6)</f>
        <v>4.6</v>
      </c>
      <c r="Q370" s="17">
        <f>IFERROR(__xludf.DUMMYFUNCTION("""COMPUTED_VALUE"""),245.0)</f>
        <v>245</v>
      </c>
    </row>
    <row r="371">
      <c r="A371" s="7" t="s">
        <v>14</v>
      </c>
      <c r="B371" s="7" t="s">
        <v>15</v>
      </c>
      <c r="C371" s="8">
        <v>399.0</v>
      </c>
      <c r="D371" s="8">
        <v>1099.0</v>
      </c>
      <c r="E371" s="19">
        <v>0.64</v>
      </c>
      <c r="F371" s="10">
        <v>4.2</v>
      </c>
      <c r="G371" s="11">
        <v>24270.0</v>
      </c>
      <c r="K371" s="17" t="str">
        <f>IFERROR(__xludf.DUMMYFUNCTION("""COMPUTED_VALUE"""),"Fire-Boltt Visionary 1.78"" AMOLED Bluetooth Calling Smartwatch with 368*448 Pixel Resolution 100+ Sports Mode, TWS Connection, Voice Assistance, SPO2 &amp; Heart Rate Monitoring")</f>
        <v>Fire-Boltt Visionary 1.78" AMOLED Bluetooth Calling Smartwatch with 368*448 Pixel Resolution 100+ Sports Mode, TWS Connection, Voice Assistance, SPO2 &amp; Heart Rate Monitoring</v>
      </c>
      <c r="L371" s="17" t="str">
        <f>IFERROR(__xludf.DUMMYFUNCTION("""COMPUTED_VALUE"""),"Electronics|WearableTechnology|SmartWatches")</f>
        <v>Electronics|WearableTechnology|SmartWatches</v>
      </c>
      <c r="M371" s="23">
        <f>IFERROR(__xludf.DUMMYFUNCTION("""COMPUTED_VALUE"""),3999.0)</f>
        <v>3999</v>
      </c>
      <c r="N371" s="23">
        <f>IFERROR(__xludf.DUMMYFUNCTION("""COMPUTED_VALUE"""),17999.0)</f>
        <v>17999</v>
      </c>
      <c r="O371" s="24">
        <f>IFERROR(__xludf.DUMMYFUNCTION("""COMPUTED_VALUE"""),0.78)</f>
        <v>0.78</v>
      </c>
      <c r="P371" s="17">
        <f>IFERROR(__xludf.DUMMYFUNCTION("""COMPUTED_VALUE"""),4.3)</f>
        <v>4.3</v>
      </c>
      <c r="Q371" s="25">
        <f>IFERROR(__xludf.DUMMYFUNCTION("""COMPUTED_VALUE"""),17161.0)</f>
        <v>17161</v>
      </c>
    </row>
    <row r="372">
      <c r="A372" s="7" t="s">
        <v>418</v>
      </c>
      <c r="B372" s="7" t="s">
        <v>380</v>
      </c>
      <c r="C372" s="8">
        <v>8499.0</v>
      </c>
      <c r="D372" s="8">
        <v>10999.0</v>
      </c>
      <c r="E372" s="19">
        <v>0.23</v>
      </c>
      <c r="F372" s="10">
        <v>4.1</v>
      </c>
      <c r="G372" s="7" t="s">
        <v>419</v>
      </c>
      <c r="K372" s="17" t="str">
        <f>IFERROR(__xludf.DUMMYFUNCTION("""COMPUTED_VALUE"""),"Amazon Basics 2 Amp USB Wall Charger &amp; Micro USB Cable (White)")</f>
        <v>Amazon Basics 2 Amp USB Wall Charger &amp; Micro USB Cable (White)</v>
      </c>
      <c r="L372" s="17" t="str">
        <f>IFERROR(__xludf.DUMMYFUNCTION("""COMPUTED_VALUE"""),"Electronics|Mobiles&amp;Accessories|MobileAccessories|Chargers|WallChargers")</f>
        <v>Electronics|Mobiles&amp;Accessories|MobileAccessories|Chargers|WallChargers</v>
      </c>
      <c r="M372" s="23">
        <f>IFERROR(__xludf.DUMMYFUNCTION("""COMPUTED_VALUE"""),219.0)</f>
        <v>219</v>
      </c>
      <c r="N372" s="23">
        <f>IFERROR(__xludf.DUMMYFUNCTION("""COMPUTED_VALUE"""),499.0)</f>
        <v>499</v>
      </c>
      <c r="O372" s="24">
        <f>IFERROR(__xludf.DUMMYFUNCTION("""COMPUTED_VALUE"""),0.56)</f>
        <v>0.56</v>
      </c>
      <c r="P372" s="17">
        <f>IFERROR(__xludf.DUMMYFUNCTION("""COMPUTED_VALUE"""),4.4)</f>
        <v>4.4</v>
      </c>
      <c r="Q372" s="17">
        <f>IFERROR(__xludf.DUMMYFUNCTION("""COMPUTED_VALUE"""),14.0)</f>
        <v>14</v>
      </c>
    </row>
    <row r="373">
      <c r="A373" s="7" t="s">
        <v>420</v>
      </c>
      <c r="B373" s="7" t="s">
        <v>380</v>
      </c>
      <c r="C373" s="8">
        <v>6499.0</v>
      </c>
      <c r="D373" s="8">
        <v>8499.0</v>
      </c>
      <c r="E373" s="19">
        <v>0.24</v>
      </c>
      <c r="F373" s="10">
        <v>4.1</v>
      </c>
      <c r="G373" s="7" t="s">
        <v>419</v>
      </c>
      <c r="K373" s="17" t="str">
        <f>IFERROR(__xludf.DUMMYFUNCTION("""COMPUTED_VALUE"""),"Mobilife Bluetooth Extendable Selfie Stick with Tripod Stand and Wireless Remote,3-in-1 Multifunctional Selfie Stick Tripod for iPhone Samsung Mi Realme Oppo Vivo Google More,Black")</f>
        <v>Mobilife Bluetooth Extendable Selfie Stick with Tripod Stand and Wireless Remote,3-in-1 Multifunctional Selfie Stick Tripod for iPhone Samsung Mi Realme Oppo Vivo Google More,Black</v>
      </c>
      <c r="L373" s="17" t="str">
        <f>IFERROR(__xludf.DUMMYFUNCTION("""COMPUTED_VALUE"""),"Electronics|Mobiles&amp;Accessories|MobileAccessories|Photo&amp;VideoAccessories|SelfieSticks")</f>
        <v>Electronics|Mobiles&amp;Accessories|MobileAccessories|Photo&amp;VideoAccessories|SelfieSticks</v>
      </c>
      <c r="M373" s="23">
        <f>IFERROR(__xludf.DUMMYFUNCTION("""COMPUTED_VALUE"""),599.0)</f>
        <v>599</v>
      </c>
      <c r="N373" s="23">
        <f>IFERROR(__xludf.DUMMYFUNCTION("""COMPUTED_VALUE"""),1399.0)</f>
        <v>1399</v>
      </c>
      <c r="O373" s="24">
        <f>IFERROR(__xludf.DUMMYFUNCTION("""COMPUTED_VALUE"""),0.57)</f>
        <v>0.57</v>
      </c>
      <c r="P373" s="17">
        <f>IFERROR(__xludf.DUMMYFUNCTION("""COMPUTED_VALUE"""),4.1)</f>
        <v>4.1</v>
      </c>
      <c r="Q373" s="25">
        <f>IFERROR(__xludf.DUMMYFUNCTION("""COMPUTED_VALUE"""),14560.0)</f>
        <v>14560</v>
      </c>
    </row>
    <row r="374">
      <c r="A374" s="7" t="s">
        <v>372</v>
      </c>
      <c r="B374" s="7" t="s">
        <v>373</v>
      </c>
      <c r="C374" s="8">
        <v>1799.0</v>
      </c>
      <c r="D374" s="8">
        <v>19999.0</v>
      </c>
      <c r="E374" s="19">
        <v>0.91</v>
      </c>
      <c r="F374" s="10">
        <v>4.2</v>
      </c>
      <c r="G374" s="11">
        <v>13937.0</v>
      </c>
      <c r="K374" s="17" t="str">
        <f>IFERROR(__xludf.DUMMYFUNCTION("""COMPUTED_VALUE"""),"Ambrane 27000mAh Power Bank, 20W Fast Charging, Triple Output, Type C PD (Input &amp; Output), Quick Charge, Li-Polymer, Multi-Layer Protection for iPhone, Smartphones &amp; Other Devices (Stylo Pro, Black)")</f>
        <v>Ambrane 27000mAh Power Bank, 20W Fast Charging, Triple Output, Type C PD (Input &amp; Output), Quick Charge, Li-Polymer, Multi-Layer Protection for iPhone, Smartphones &amp; Other Devices (Stylo Pro, Black)</v>
      </c>
      <c r="L374" s="17" t="str">
        <f>IFERROR(__xludf.DUMMYFUNCTION("""COMPUTED_VALUE"""),"Electronics|Mobiles&amp;Accessories|MobileAccessories|Chargers|PowerBanks")</f>
        <v>Electronics|Mobiles&amp;Accessories|MobileAccessories|Chargers|PowerBanks</v>
      </c>
      <c r="M374" s="23">
        <f>IFERROR(__xludf.DUMMYFUNCTION("""COMPUTED_VALUE"""),2499.0)</f>
        <v>2499</v>
      </c>
      <c r="N374" s="23">
        <f>IFERROR(__xludf.DUMMYFUNCTION("""COMPUTED_VALUE"""),2999.0)</f>
        <v>2999</v>
      </c>
      <c r="O374" s="24">
        <f>IFERROR(__xludf.DUMMYFUNCTION("""COMPUTED_VALUE"""),0.17)</f>
        <v>0.17</v>
      </c>
      <c r="P374" s="17">
        <f>IFERROR(__xludf.DUMMYFUNCTION("""COMPUTED_VALUE"""),4.1)</f>
        <v>4.1</v>
      </c>
      <c r="Q374" s="25">
        <f>IFERROR(__xludf.DUMMYFUNCTION("""COMPUTED_VALUE"""),3156.0)</f>
        <v>3156</v>
      </c>
    </row>
    <row r="375">
      <c r="A375" s="7" t="s">
        <v>421</v>
      </c>
      <c r="B375" s="7" t="s">
        <v>380</v>
      </c>
      <c r="C375" s="8">
        <v>8999.0</v>
      </c>
      <c r="D375" s="8">
        <v>11999.0</v>
      </c>
      <c r="E375" s="19">
        <v>0.25</v>
      </c>
      <c r="F375" s="10">
        <v>4.0</v>
      </c>
      <c r="G375" s="11">
        <v>12796.0</v>
      </c>
      <c r="K375" s="17" t="str">
        <f>IFERROR(__xludf.DUMMYFUNCTION("""COMPUTED_VALUE"""),"STRIFF Wall Mount Phone Holder Wall Mount with Adhesive Strips, Charging Holder Compatible with iPhone, Smartphone and Mini Tablet (Pack of 1) (White)")</f>
        <v>STRIFF Wall Mount Phone Holder Wall Mount with Adhesive Strips, Charging Holder Compatible with iPhone, Smartphone and Mini Tablet (Pack of 1) (White)</v>
      </c>
      <c r="L375" s="17" t="str">
        <f>IFERROR(__xludf.DUMMYFUNCTION("""COMPUTED_VALUE"""),"Electronics|Mobiles&amp;Accessories|MobileAccessories|Mounts|Shower&amp;WallMounts")</f>
        <v>Electronics|Mobiles&amp;Accessories|MobileAccessories|Mounts|Shower&amp;WallMounts</v>
      </c>
      <c r="M375" s="23">
        <f>IFERROR(__xludf.DUMMYFUNCTION("""COMPUTED_VALUE"""),89.0)</f>
        <v>89</v>
      </c>
      <c r="N375" s="23">
        <f>IFERROR(__xludf.DUMMYFUNCTION("""COMPUTED_VALUE"""),499.0)</f>
        <v>499</v>
      </c>
      <c r="O375" s="24">
        <f>IFERROR(__xludf.DUMMYFUNCTION("""COMPUTED_VALUE"""),0.82)</f>
        <v>0.82</v>
      </c>
      <c r="P375" s="17">
        <f>IFERROR(__xludf.DUMMYFUNCTION("""COMPUTED_VALUE"""),4.1)</f>
        <v>4.1</v>
      </c>
      <c r="Q375" s="25">
        <f>IFERROR(__xludf.DUMMYFUNCTION("""COMPUTED_VALUE"""),9340.0)</f>
        <v>9340</v>
      </c>
    </row>
    <row r="376">
      <c r="A376" s="7" t="s">
        <v>422</v>
      </c>
      <c r="B376" s="7" t="s">
        <v>423</v>
      </c>
      <c r="C376" s="8">
        <v>139.0</v>
      </c>
      <c r="D376" s="8">
        <v>495.0</v>
      </c>
      <c r="E376" s="19">
        <v>0.72</v>
      </c>
      <c r="F376" s="10">
        <v>4.3</v>
      </c>
      <c r="G376" s="11">
        <v>14185.0</v>
      </c>
      <c r="K376" s="17" t="str">
        <f>IFERROR(__xludf.DUMMYFUNCTION("""COMPUTED_VALUE"""),"Fire-Boltt Tank 1.85"" Bluetooth Calling Smart Watch, 123 Sports Mode, 8 UI Interactions, Built in Speaker &amp; Mic, 7 Days Battery &amp; Fire-Boltt Health Suite")</f>
        <v>Fire-Boltt Tank 1.85" Bluetooth Calling Smart Watch, 123 Sports Mode, 8 UI Interactions, Built in Speaker &amp; Mic, 7 Days Battery &amp; Fire-Boltt Health Suite</v>
      </c>
      <c r="L376" s="17" t="str">
        <f>IFERROR(__xludf.DUMMYFUNCTION("""COMPUTED_VALUE"""),"Electronics|WearableTechnology|SmartWatches")</f>
        <v>Electronics|WearableTechnology|SmartWatches</v>
      </c>
      <c r="M376" s="23">
        <f>IFERROR(__xludf.DUMMYFUNCTION("""COMPUTED_VALUE"""),2999.0)</f>
        <v>2999</v>
      </c>
      <c r="N376" s="23">
        <f>IFERROR(__xludf.DUMMYFUNCTION("""COMPUTED_VALUE"""),11999.0)</f>
        <v>11999</v>
      </c>
      <c r="O376" s="24">
        <f>IFERROR(__xludf.DUMMYFUNCTION("""COMPUTED_VALUE"""),0.75)</f>
        <v>0.75</v>
      </c>
      <c r="P376" s="17">
        <f>IFERROR(__xludf.DUMMYFUNCTION("""COMPUTED_VALUE"""),4.4)</f>
        <v>4.4</v>
      </c>
      <c r="Q376" s="17">
        <f>IFERROR(__xludf.DUMMYFUNCTION("""COMPUTED_VALUE"""),768.0)</f>
        <v>768</v>
      </c>
    </row>
    <row r="377">
      <c r="A377" s="7" t="s">
        <v>424</v>
      </c>
      <c r="B377" s="7" t="s">
        <v>373</v>
      </c>
      <c r="C377" s="8">
        <v>3999.0</v>
      </c>
      <c r="D377" s="8">
        <v>16999.0</v>
      </c>
      <c r="E377" s="19">
        <v>0.76</v>
      </c>
      <c r="F377" s="10">
        <v>4.3</v>
      </c>
      <c r="G377" s="11">
        <v>17159.0</v>
      </c>
      <c r="K377" s="17" t="str">
        <f>IFERROR(__xludf.DUMMYFUNCTION("""COMPUTED_VALUE"""),"Elv Aluminium Adjustable Mobile Phone Foldable Holder Tabletop Stand Dock Mount for All Smartphones, Tabs, Kindle, iPad (Moonlight Silver)")</f>
        <v>Elv Aluminium Adjustable Mobile Phone Foldable Holder Tabletop Stand Dock Mount for All Smartphones, Tabs, Kindle, iPad (Moonlight Silver)</v>
      </c>
      <c r="L377" s="17" t="str">
        <f>IFERROR(__xludf.DUMMYFUNCTION("""COMPUTED_VALUE"""),"Electronics|Mobiles&amp;Accessories|MobileAccessories|Stands")</f>
        <v>Electronics|Mobiles&amp;Accessories|MobileAccessories|Stands</v>
      </c>
      <c r="M377" s="23">
        <f>IFERROR(__xludf.DUMMYFUNCTION("""COMPUTED_VALUE"""),314.0)</f>
        <v>314</v>
      </c>
      <c r="N377" s="23">
        <f>IFERROR(__xludf.DUMMYFUNCTION("""COMPUTED_VALUE"""),1499.0)</f>
        <v>1499</v>
      </c>
      <c r="O377" s="24">
        <f>IFERROR(__xludf.DUMMYFUNCTION("""COMPUTED_VALUE"""),0.79)</f>
        <v>0.79</v>
      </c>
      <c r="P377" s="17">
        <f>IFERROR(__xludf.DUMMYFUNCTION("""COMPUTED_VALUE"""),4.5)</f>
        <v>4.5</v>
      </c>
      <c r="Q377" s="25">
        <f>IFERROR(__xludf.DUMMYFUNCTION("""COMPUTED_VALUE"""),28978.0)</f>
        <v>28978</v>
      </c>
    </row>
    <row r="378">
      <c r="A378" s="7" t="s">
        <v>425</v>
      </c>
      <c r="B378" s="7" t="s">
        <v>373</v>
      </c>
      <c r="C378" s="8">
        <v>2998.0</v>
      </c>
      <c r="D378" s="8">
        <v>5999.0</v>
      </c>
      <c r="E378" s="19">
        <v>0.5</v>
      </c>
      <c r="F378" s="10">
        <v>4.1</v>
      </c>
      <c r="G378" s="11">
        <v>5179.0</v>
      </c>
      <c r="K378" s="17" t="str">
        <f>IFERROR(__xludf.DUMMYFUNCTION("""COMPUTED_VALUE"""),"Samsung Galaxy M13 5G (Stardust Brown, 6GB, 128GB Storage) | 5000mAh Battery | Upto 12GB RAM with RAM Plus")</f>
        <v>Samsung Galaxy M13 5G (Stardust Brown, 6GB, 128GB Storage) | 5000mAh Battery | Upto 12GB RAM with RAM Plus</v>
      </c>
      <c r="L378" s="17" t="str">
        <f>IFERROR(__xludf.DUMMYFUNCTION("""COMPUTED_VALUE"""),"Electronics|Mobiles&amp;Accessories|Smartphones&amp;BasicMobiles|Smartphones")</f>
        <v>Electronics|Mobiles&amp;Accessories|Smartphones&amp;BasicMobiles|Smartphones</v>
      </c>
      <c r="M378" s="23">
        <f>IFERROR(__xludf.DUMMYFUNCTION("""COMPUTED_VALUE"""),13999.0)</f>
        <v>13999</v>
      </c>
      <c r="N378" s="23">
        <f>IFERROR(__xludf.DUMMYFUNCTION("""COMPUTED_VALUE"""),19499.0)</f>
        <v>19499</v>
      </c>
      <c r="O378" s="24">
        <f>IFERROR(__xludf.DUMMYFUNCTION("""COMPUTED_VALUE"""),0.28)</f>
        <v>0.28</v>
      </c>
      <c r="P378" s="17">
        <f>IFERROR(__xludf.DUMMYFUNCTION("""COMPUTED_VALUE"""),4.1)</f>
        <v>4.1</v>
      </c>
      <c r="Q378" s="25">
        <f>IFERROR(__xludf.DUMMYFUNCTION("""COMPUTED_VALUE"""),18998.0)</f>
        <v>18998</v>
      </c>
    </row>
    <row r="379">
      <c r="A379" s="7" t="s">
        <v>17</v>
      </c>
      <c r="B379" s="7" t="s">
        <v>15</v>
      </c>
      <c r="C379" s="8">
        <v>199.0</v>
      </c>
      <c r="D379" s="8">
        <v>349.0</v>
      </c>
      <c r="E379" s="19">
        <v>0.43</v>
      </c>
      <c r="F379" s="10">
        <v>4.0</v>
      </c>
      <c r="G379" s="11">
        <v>43993.0</v>
      </c>
      <c r="K379" s="17" t="str">
        <f>IFERROR(__xludf.DUMMYFUNCTION("""COMPUTED_VALUE"""),"DYAZO USB 3.0 Type C Female to USB A Male Connector/Converter/Adapter Compatible for Samsung Galaxy Note s 20 10 Plus Ultra,Google Pixel 4 5 3 2 &amp; Other Type-c Devices")</f>
        <v>DYAZO USB 3.0 Type C Female to USB A Male Connector/Converter/Adapter Compatible for Samsung Galaxy Note s 20 10 Plus Ultra,Google Pixel 4 5 3 2 &amp; Other Type-c Devices</v>
      </c>
      <c r="L379" s="17" t="str">
        <f>IFERROR(__xludf.DUMMYFUNCTION("""COMPUTED_VALUE"""),"Electronics|Mobiles&amp;Accessories|MobileAccessories|Cables&amp;Adapters|OTGAdapters")</f>
        <v>Electronics|Mobiles&amp;Accessories|MobileAccessories|Cables&amp;Adapters|OTGAdapters</v>
      </c>
      <c r="M379" s="23">
        <f>IFERROR(__xludf.DUMMYFUNCTION("""COMPUTED_VALUE"""),139.0)</f>
        <v>139</v>
      </c>
      <c r="N379" s="23">
        <f>IFERROR(__xludf.DUMMYFUNCTION("""COMPUTED_VALUE"""),499.0)</f>
        <v>499</v>
      </c>
      <c r="O379" s="24">
        <f>IFERROR(__xludf.DUMMYFUNCTION("""COMPUTED_VALUE"""),0.72)</f>
        <v>0.72</v>
      </c>
      <c r="P379" s="17">
        <f>IFERROR(__xludf.DUMMYFUNCTION("""COMPUTED_VALUE"""),4.2)</f>
        <v>4.2</v>
      </c>
      <c r="Q379" s="25">
        <f>IFERROR(__xludf.DUMMYFUNCTION("""COMPUTED_VALUE"""),4971.0)</f>
        <v>4971</v>
      </c>
    </row>
    <row r="380">
      <c r="A380" s="7" t="s">
        <v>426</v>
      </c>
      <c r="B380" s="7" t="s">
        <v>380</v>
      </c>
      <c r="C380" s="8">
        <v>15499.0</v>
      </c>
      <c r="D380" s="8">
        <v>18999.0</v>
      </c>
      <c r="E380" s="19">
        <v>0.18</v>
      </c>
      <c r="F380" s="10">
        <v>4.1</v>
      </c>
      <c r="G380" s="11">
        <v>19252.0</v>
      </c>
      <c r="K380" s="17" t="str">
        <f>IFERROR(__xludf.DUMMYFUNCTION("""COMPUTED_VALUE"""),"KINGONE Wireless Charging Pencil (2nd Generation) for iPad with Magnetic and Tilt Sensitive, Palm Rejection, Compatible with Apple iPad Pro 11 inch 1/2/3/4, iPad Pro 12.9 Inch 3/4/5/6, iPad Air 4/5, mini6")</f>
        <v>KINGONE Wireless Charging Pencil (2nd Generation) for iPad with Magnetic and Tilt Sensitive, Palm Rejection, Compatible with Apple iPad Pro 11 inch 1/2/3/4, iPad Pro 12.9 Inch 3/4/5/6, iPad Air 4/5, mini6</v>
      </c>
      <c r="L380" s="17" t="str">
        <f>IFERROR(__xludf.DUMMYFUNCTION("""COMPUTED_VALUE"""),"Electronics|Mobiles&amp;Accessories|MobileAccessories|StylusPens")</f>
        <v>Electronics|Mobiles&amp;Accessories|MobileAccessories|StylusPens</v>
      </c>
      <c r="M380" s="23">
        <f>IFERROR(__xludf.DUMMYFUNCTION("""COMPUTED_VALUE"""),2599.0)</f>
        <v>2599</v>
      </c>
      <c r="N380" s="23">
        <f>IFERROR(__xludf.DUMMYFUNCTION("""COMPUTED_VALUE"""),6999.0)</f>
        <v>6999</v>
      </c>
      <c r="O380" s="24">
        <f>IFERROR(__xludf.DUMMYFUNCTION("""COMPUTED_VALUE"""),0.63)</f>
        <v>0.63</v>
      </c>
      <c r="P380" s="17">
        <f>IFERROR(__xludf.DUMMYFUNCTION("""COMPUTED_VALUE"""),4.5)</f>
        <v>4.5</v>
      </c>
      <c r="Q380" s="25">
        <f>IFERROR(__xludf.DUMMYFUNCTION("""COMPUTED_VALUE"""),1526.0)</f>
        <v>1526</v>
      </c>
    </row>
    <row r="381">
      <c r="A381" s="7" t="s">
        <v>18</v>
      </c>
      <c r="B381" s="7" t="s">
        <v>15</v>
      </c>
      <c r="C381" s="8">
        <v>199.0</v>
      </c>
      <c r="D381" s="8">
        <v>999.0</v>
      </c>
      <c r="E381" s="19">
        <v>0.8</v>
      </c>
      <c r="F381" s="10">
        <v>3.9</v>
      </c>
      <c r="G381" s="11">
        <v>7928.0</v>
      </c>
      <c r="K381" s="17" t="str">
        <f>IFERROR(__xludf.DUMMYFUNCTION("""COMPUTED_VALUE"""),"boAt BassHeads 100 in-Ear Wired Headphones with Mic (Black)")</f>
        <v>boAt BassHeads 100 in-Ear Wired Headphones with Mic (Black)</v>
      </c>
      <c r="L381" s="17" t="str">
        <f>IFERROR(__xludf.DUMMYFUNCTION("""COMPUTED_VALUE"""),"Electronics|Headphones,Earbuds&amp;Accessories|Headphones|In-Ear")</f>
        <v>Electronics|Headphones,Earbuds&amp;Accessories|Headphones|In-Ear</v>
      </c>
      <c r="M381" s="23">
        <f>IFERROR(__xludf.DUMMYFUNCTION("""COMPUTED_VALUE"""),365.0)</f>
        <v>365</v>
      </c>
      <c r="N381" s="23">
        <f>IFERROR(__xludf.DUMMYFUNCTION("""COMPUTED_VALUE"""),999.0)</f>
        <v>999</v>
      </c>
      <c r="O381" s="24">
        <f>IFERROR(__xludf.DUMMYFUNCTION("""COMPUTED_VALUE"""),0.63)</f>
        <v>0.63</v>
      </c>
      <c r="P381" s="17">
        <f>IFERROR(__xludf.DUMMYFUNCTION("""COMPUTED_VALUE"""),4.1)</f>
        <v>4.1</v>
      </c>
      <c r="Q381" s="17" t="str">
        <f>IFERROR(__xludf.DUMMYFUNCTION("""COMPUTED_VALUE"""),"3,63,711")</f>
        <v>3,63,711</v>
      </c>
    </row>
    <row r="382">
      <c r="A382" s="7" t="s">
        <v>372</v>
      </c>
      <c r="B382" s="7" t="s">
        <v>373</v>
      </c>
      <c r="C382" s="8">
        <v>1799.0</v>
      </c>
      <c r="D382" s="8">
        <v>19999.0</v>
      </c>
      <c r="E382" s="19">
        <v>0.91</v>
      </c>
      <c r="F382" s="10">
        <v>4.2</v>
      </c>
      <c r="G382" s="11">
        <v>13937.0</v>
      </c>
      <c r="K382" s="17" t="str">
        <f>IFERROR(__xludf.DUMMYFUNCTION("""COMPUTED_VALUE"""),"Fire-Boltt Phoenix Smart Watch with Bluetooth Calling 1.3"",120+ Sports Modes, 240*240 PX High Res with SpO2, Heart Rate Monitoring &amp; IP67 Rating")</f>
        <v>Fire-Boltt Phoenix Smart Watch with Bluetooth Calling 1.3",120+ Sports Modes, 240*240 PX High Res with SpO2, Heart Rate Monitoring &amp; IP67 Rating</v>
      </c>
      <c r="L382" s="17" t="str">
        <f>IFERROR(__xludf.DUMMYFUNCTION("""COMPUTED_VALUE"""),"Electronics|WearableTechnology|SmartWatches")</f>
        <v>Electronics|WearableTechnology|SmartWatches</v>
      </c>
      <c r="M382" s="23">
        <f>IFERROR(__xludf.DUMMYFUNCTION("""COMPUTED_VALUE"""),1998.0)</f>
        <v>1998</v>
      </c>
      <c r="N382" s="23">
        <f>IFERROR(__xludf.DUMMYFUNCTION("""COMPUTED_VALUE"""),9999.0)</f>
        <v>9999</v>
      </c>
      <c r="O382" s="24">
        <f>IFERROR(__xludf.DUMMYFUNCTION("""COMPUTED_VALUE"""),0.8)</f>
        <v>0.8</v>
      </c>
      <c r="P382" s="17">
        <f>IFERROR(__xludf.DUMMYFUNCTION("""COMPUTED_VALUE"""),4.3)</f>
        <v>4.3</v>
      </c>
      <c r="Q382" s="25">
        <f>IFERROR(__xludf.DUMMYFUNCTION("""COMPUTED_VALUE"""),27709.0)</f>
        <v>27709</v>
      </c>
    </row>
    <row r="383">
      <c r="A383" s="7" t="s">
        <v>427</v>
      </c>
      <c r="B383" s="7" t="s">
        <v>380</v>
      </c>
      <c r="C383" s="8">
        <v>8999.0</v>
      </c>
      <c r="D383" s="8">
        <v>11999.0</v>
      </c>
      <c r="E383" s="19">
        <v>0.25</v>
      </c>
      <c r="F383" s="10">
        <v>4.0</v>
      </c>
      <c r="G383" s="11">
        <v>12796.0</v>
      </c>
      <c r="K383" s="17" t="str">
        <f>IFERROR(__xludf.DUMMYFUNCTION("""COMPUTED_VALUE"""),"SanDisk Cruzer Blade 32GB USB Flash Drive")</f>
        <v>SanDisk Cruzer Blade 32GB USB Flash Drive</v>
      </c>
      <c r="L383" s="17" t="str">
        <f>IFERROR(__xludf.DUMMYFUNCTION("""COMPUTED_VALUE"""),"Computers&amp;Accessories|ExternalDevices&amp;DataStorage|PenDrives")</f>
        <v>Computers&amp;Accessories|ExternalDevices&amp;DataStorage|PenDrives</v>
      </c>
      <c r="M383" s="23">
        <f>IFERROR(__xludf.DUMMYFUNCTION("""COMPUTED_VALUE"""),289.0)</f>
        <v>289</v>
      </c>
      <c r="N383" s="23">
        <f>IFERROR(__xludf.DUMMYFUNCTION("""COMPUTED_VALUE"""),650.0)</f>
        <v>650</v>
      </c>
      <c r="O383" s="24">
        <f>IFERROR(__xludf.DUMMYFUNCTION("""COMPUTED_VALUE"""),0.56)</f>
        <v>0.56</v>
      </c>
      <c r="P383" s="17">
        <f>IFERROR(__xludf.DUMMYFUNCTION("""COMPUTED_VALUE"""),4.3)</f>
        <v>4.3</v>
      </c>
      <c r="Q383" s="17" t="str">
        <f>IFERROR(__xludf.DUMMYFUNCTION("""COMPUTED_VALUE"""),"2,53,105")</f>
        <v>2,53,105</v>
      </c>
    </row>
    <row r="384">
      <c r="A384" s="7" t="s">
        <v>428</v>
      </c>
      <c r="B384" s="7" t="s">
        <v>399</v>
      </c>
      <c r="C384" s="8">
        <v>873.0</v>
      </c>
      <c r="D384" s="8">
        <v>1699.0</v>
      </c>
      <c r="E384" s="19">
        <v>0.49</v>
      </c>
      <c r="F384" s="10">
        <v>4.4</v>
      </c>
      <c r="G384" s="11">
        <v>1680.0</v>
      </c>
      <c r="K384" s="17" t="str">
        <f>IFERROR(__xludf.DUMMYFUNCTION("""COMPUTED_VALUE"""),"Logitech B170 Wireless Mouse, 2.4 GHz with USB Nano Receiver, Optical Tracking, 12-Months Battery Life, Ambidextrous, PC/Mac/Laptop - Black")</f>
        <v>Logitech B170 Wireless Mouse, 2.4 GHz with USB Nano Receiver, Optical Tracking, 12-Months Battery Life, Ambidextrous, PC/Mac/Laptop - Black</v>
      </c>
      <c r="L384" s="17" t="str">
        <f>IFERROR(__xludf.DUMMYFUNCTION("""COMPUTED_VALUE"""),"Computers&amp;Accessories|Accessories&amp;Peripherals|Keyboards,Mice&amp;InputDevices|Mice")</f>
        <v>Computers&amp;Accessories|Accessories&amp;Peripherals|Keyboards,Mice&amp;InputDevices|Mice</v>
      </c>
      <c r="M384" s="23">
        <f>IFERROR(__xludf.DUMMYFUNCTION("""COMPUTED_VALUE"""),599.0)</f>
        <v>599</v>
      </c>
      <c r="N384" s="23">
        <f>IFERROR(__xludf.DUMMYFUNCTION("""COMPUTED_VALUE"""),895.0)</f>
        <v>895</v>
      </c>
      <c r="O384" s="24">
        <f>IFERROR(__xludf.DUMMYFUNCTION("""COMPUTED_VALUE"""),0.33)</f>
        <v>0.33</v>
      </c>
      <c r="P384" s="17">
        <f>IFERROR(__xludf.DUMMYFUNCTION("""COMPUTED_VALUE"""),4.4)</f>
        <v>4.4</v>
      </c>
      <c r="Q384" s="25">
        <f>IFERROR(__xludf.DUMMYFUNCTION("""COMPUTED_VALUE"""),61314.0)</f>
        <v>61314</v>
      </c>
    </row>
    <row r="385">
      <c r="A385" s="7" t="s">
        <v>429</v>
      </c>
      <c r="B385" s="7" t="s">
        <v>380</v>
      </c>
      <c r="C385" s="8">
        <v>12999.0</v>
      </c>
      <c r="D385" s="8">
        <v>15999.0</v>
      </c>
      <c r="E385" s="19">
        <v>0.19</v>
      </c>
      <c r="F385" s="10">
        <v>4.2</v>
      </c>
      <c r="G385" s="11">
        <v>13246.0</v>
      </c>
      <c r="K385" s="17" t="str">
        <f>IFERROR(__xludf.DUMMYFUNCTION("""COMPUTED_VALUE"""),"SanDisk Ultra® microSDXC™ UHS-I Card, 64GB, 140MB/s R, 10 Y Warranty, for Smartphones")</f>
        <v>SanDisk Ultra® microSDXC™ UHS-I Card, 64GB, 140MB/s R, 10 Y Warranty, for Smartphones</v>
      </c>
      <c r="L385" s="17" t="str">
        <f>IFERROR(__xludf.DUMMYFUNCTION("""COMPUTED_VALUE"""),"Electronics|Accessories|MemoryCards|MicroSD")</f>
        <v>Electronics|Accessories|MemoryCards|MicroSD</v>
      </c>
      <c r="M385" s="23">
        <f>IFERROR(__xludf.DUMMYFUNCTION("""COMPUTED_VALUE"""),569.0)</f>
        <v>569</v>
      </c>
      <c r="N385" s="23">
        <f>IFERROR(__xludf.DUMMYFUNCTION("""COMPUTED_VALUE"""),1000.0)</f>
        <v>1000</v>
      </c>
      <c r="O385" s="24">
        <f>IFERROR(__xludf.DUMMYFUNCTION("""COMPUTED_VALUE"""),0.43)</f>
        <v>0.43</v>
      </c>
      <c r="P385" s="17">
        <f>IFERROR(__xludf.DUMMYFUNCTION("""COMPUTED_VALUE"""),4.4)</f>
        <v>4.4</v>
      </c>
      <c r="Q385" s="25">
        <f>IFERROR(__xludf.DUMMYFUNCTION("""COMPUTED_VALUE"""),67262.0)</f>
        <v>67262</v>
      </c>
    </row>
    <row r="386">
      <c r="A386" s="7" t="s">
        <v>430</v>
      </c>
      <c r="B386" s="7" t="s">
        <v>431</v>
      </c>
      <c r="C386" s="8">
        <v>539.0</v>
      </c>
      <c r="D386" s="8">
        <v>1599.0</v>
      </c>
      <c r="E386" s="19">
        <v>0.66</v>
      </c>
      <c r="F386" s="10">
        <v>3.8</v>
      </c>
      <c r="G386" s="11">
        <v>14648.0</v>
      </c>
      <c r="K386" s="17" t="str">
        <f>IFERROR(__xludf.DUMMYFUNCTION("""COMPUTED_VALUE"""),"Noise Pulse Go Buzz Smart Watch Bluetooth Calling with 1.69"" Display, 550 NITS, 150+ Cloud Watch Face, SPo2, Heart Rate Tracking, 100 Sports Mode with Auto Detection, Longer Battery (Jet Black)")</f>
        <v>Noise Pulse Go Buzz Smart Watch Bluetooth Calling with 1.69" Display, 550 NITS, 150+ Cloud Watch Face, SPo2, Heart Rate Tracking, 100 Sports Mode with Auto Detection, Longer Battery (Jet Black)</v>
      </c>
      <c r="L386" s="17" t="str">
        <f>IFERROR(__xludf.DUMMYFUNCTION("""COMPUTED_VALUE"""),"Electronics|WearableTechnology|SmartWatches")</f>
        <v>Electronics|WearableTechnology|SmartWatches</v>
      </c>
      <c r="M386" s="23">
        <f>IFERROR(__xludf.DUMMYFUNCTION("""COMPUTED_VALUE"""),1999.0)</f>
        <v>1999</v>
      </c>
      <c r="N386" s="23">
        <f>IFERROR(__xludf.DUMMYFUNCTION("""COMPUTED_VALUE"""),4999.0)</f>
        <v>4999</v>
      </c>
      <c r="O386" s="24">
        <f>IFERROR(__xludf.DUMMYFUNCTION("""COMPUTED_VALUE"""),0.6)</f>
        <v>0.6</v>
      </c>
      <c r="P386" s="17">
        <f>IFERROR(__xludf.DUMMYFUNCTION("""COMPUTED_VALUE"""),4.1)</f>
        <v>4.1</v>
      </c>
      <c r="Q386" s="25">
        <f>IFERROR(__xludf.DUMMYFUNCTION("""COMPUTED_VALUE"""),10689.0)</f>
        <v>10689</v>
      </c>
    </row>
    <row r="387">
      <c r="A387" s="7" t="s">
        <v>374</v>
      </c>
      <c r="B387" s="7" t="s">
        <v>373</v>
      </c>
      <c r="C387" s="8">
        <v>1999.0</v>
      </c>
      <c r="D387" s="8">
        <v>9999.0</v>
      </c>
      <c r="E387" s="19">
        <v>0.8</v>
      </c>
      <c r="F387" s="10">
        <v>4.3</v>
      </c>
      <c r="G387" s="11">
        <v>27696.0</v>
      </c>
      <c r="K387" s="17" t="str">
        <f>IFERROR(__xludf.DUMMYFUNCTION("""COMPUTED_VALUE"""),"boAt Rockerz 255 Pro+ in-Ear Bluetooth Neckband with Upto 40 Hours Playback, ASAP  Charge, IPX7, Dual Pairing, BT v5.0, with Mic (Active Black)")</f>
        <v>boAt Rockerz 255 Pro+ in-Ear Bluetooth Neckband with Upto 40 Hours Playback, ASAP  Charge, IPX7, Dual Pairing, BT v5.0, with Mic (Active Black)</v>
      </c>
      <c r="L387" s="17" t="str">
        <f>IFERROR(__xludf.DUMMYFUNCTION("""COMPUTED_VALUE"""),"Electronics|Headphones,Earbuds&amp;Accessories|Headphones|In-Ear")</f>
        <v>Electronics|Headphones,Earbuds&amp;Accessories|Headphones|In-Ear</v>
      </c>
      <c r="M387" s="23">
        <f>IFERROR(__xludf.DUMMYFUNCTION("""COMPUTED_VALUE"""),1399.0)</f>
        <v>1399</v>
      </c>
      <c r="N387" s="23">
        <f>IFERROR(__xludf.DUMMYFUNCTION("""COMPUTED_VALUE"""),3990.0)</f>
        <v>3990</v>
      </c>
      <c r="O387" s="24">
        <f>IFERROR(__xludf.DUMMYFUNCTION("""COMPUTED_VALUE"""),0.65)</f>
        <v>0.65</v>
      </c>
      <c r="P387" s="17">
        <f>IFERROR(__xludf.DUMMYFUNCTION("""COMPUTED_VALUE"""),4.1)</f>
        <v>4.1</v>
      </c>
      <c r="Q387" s="17" t="str">
        <f>IFERROR(__xludf.DUMMYFUNCTION("""COMPUTED_VALUE"""),"1,41,841")</f>
        <v>1,41,841</v>
      </c>
    </row>
    <row r="388">
      <c r="A388" s="7" t="s">
        <v>432</v>
      </c>
      <c r="B388" s="7" t="s">
        <v>380</v>
      </c>
      <c r="C388" s="8">
        <v>15490.0</v>
      </c>
      <c r="D388" s="8">
        <v>20990.0</v>
      </c>
      <c r="E388" s="19">
        <v>0.26</v>
      </c>
      <c r="F388" s="10">
        <v>4.2</v>
      </c>
      <c r="G388" s="11">
        <v>32916.0</v>
      </c>
      <c r="K388" s="17" t="str">
        <f>IFERROR(__xludf.DUMMYFUNCTION("""COMPUTED_VALUE"""),"STRIFF Adjustable Laptop Tabletop Stand Patented Riser Ventilated Portable Foldable Compatible with MacBook Notebook Tablet Tray Desk Table Book with Free Phone Stand (Black)")</f>
        <v>STRIFF Adjustable Laptop Tabletop Stand Patented Riser Ventilated Portable Foldable Compatible with MacBook Notebook Tablet Tray Desk Table Book with Free Phone Stand (Black)</v>
      </c>
      <c r="L388" s="17" t="str">
        <f>IFERROR(__xludf.DUMMYFUNCTION("""COMPUTED_VALUE"""),"Computers&amp;Accessories|Accessories&amp;Peripherals|LaptopAccessories|NotebookComputerStands")</f>
        <v>Computers&amp;Accessories|Accessories&amp;Peripherals|LaptopAccessories|NotebookComputerStands</v>
      </c>
      <c r="M388" s="23">
        <f>IFERROR(__xludf.DUMMYFUNCTION("""COMPUTED_VALUE"""),349.0)</f>
        <v>349</v>
      </c>
      <c r="N388" s="23">
        <f>IFERROR(__xludf.DUMMYFUNCTION("""COMPUTED_VALUE"""),1499.0)</f>
        <v>1499</v>
      </c>
      <c r="O388" s="24">
        <f>IFERROR(__xludf.DUMMYFUNCTION("""COMPUTED_VALUE"""),0.77)</f>
        <v>0.77</v>
      </c>
      <c r="P388" s="17">
        <f>IFERROR(__xludf.DUMMYFUNCTION("""COMPUTED_VALUE"""),4.3)</f>
        <v>4.3</v>
      </c>
      <c r="Q388" s="25">
        <f>IFERROR(__xludf.DUMMYFUNCTION("""COMPUTED_VALUE"""),24791.0)</f>
        <v>24791</v>
      </c>
    </row>
    <row r="389">
      <c r="A389" s="7" t="s">
        <v>433</v>
      </c>
      <c r="B389" s="7" t="s">
        <v>380</v>
      </c>
      <c r="C389" s="8">
        <v>19999.0</v>
      </c>
      <c r="D389" s="8">
        <v>24999.0</v>
      </c>
      <c r="E389" s="19">
        <v>0.2</v>
      </c>
      <c r="F389" s="10">
        <v>3.9</v>
      </c>
      <c r="G389" s="11">
        <v>25824.0</v>
      </c>
      <c r="K389" s="17" t="str">
        <f>IFERROR(__xludf.DUMMYFUNCTION("""COMPUTED_VALUE"""),"JBL C100SI Wired In Ear Headphones with Mic, JBL Pure Bass Sound, One Button Multi-function Remote, Angled Buds for Comfort fit (Black)")</f>
        <v>JBL C100SI Wired In Ear Headphones with Mic, JBL Pure Bass Sound, One Button Multi-function Remote, Angled Buds for Comfort fit (Black)</v>
      </c>
      <c r="L389" s="17" t="str">
        <f>IFERROR(__xludf.DUMMYFUNCTION("""COMPUTED_VALUE"""),"Electronics|Headphones,Earbuds&amp;Accessories|Headphones|In-Ear")</f>
        <v>Electronics|Headphones,Earbuds&amp;Accessories|Headphones|In-Ear</v>
      </c>
      <c r="M389" s="23">
        <f>IFERROR(__xludf.DUMMYFUNCTION("""COMPUTED_VALUE"""),599.0)</f>
        <v>599</v>
      </c>
      <c r="N389" s="23">
        <f>IFERROR(__xludf.DUMMYFUNCTION("""COMPUTED_VALUE"""),999.0)</f>
        <v>999</v>
      </c>
      <c r="O389" s="24">
        <f>IFERROR(__xludf.DUMMYFUNCTION("""COMPUTED_VALUE"""),0.4)</f>
        <v>0.4</v>
      </c>
      <c r="P389" s="17">
        <f>IFERROR(__xludf.DUMMYFUNCTION("""COMPUTED_VALUE"""),4.1)</f>
        <v>4.1</v>
      </c>
      <c r="Q389" s="17" t="str">
        <f>IFERROR(__xludf.DUMMYFUNCTION("""COMPUTED_VALUE"""),"1,92,587")</f>
        <v>1,92,587</v>
      </c>
    </row>
    <row r="390">
      <c r="A390" s="7" t="s">
        <v>434</v>
      </c>
      <c r="B390" s="7" t="s">
        <v>409</v>
      </c>
      <c r="C390" s="8">
        <v>1075.0</v>
      </c>
      <c r="D390" s="8">
        <v>1699.0</v>
      </c>
      <c r="E390" s="19">
        <v>0.37</v>
      </c>
      <c r="F390" s="10">
        <v>4.4</v>
      </c>
      <c r="G390" s="11">
        <v>7462.0</v>
      </c>
      <c r="K390" s="17" t="str">
        <f>IFERROR(__xludf.DUMMYFUNCTION("""COMPUTED_VALUE"""),"boAt Rockerz 450 Bluetooth On Ear Headphones with Mic, Upto 15 Hours Playback, 40MM Drivers, Padded Ear Cushions, Integrated Controls and Dual Modes(Luscious Black)")</f>
        <v>boAt Rockerz 450 Bluetooth On Ear Headphones with Mic, Upto 15 Hours Playback, 40MM Drivers, Padded Ear Cushions, Integrated Controls and Dual Modes(Luscious Black)</v>
      </c>
      <c r="L390" s="17" t="str">
        <f>IFERROR(__xludf.DUMMYFUNCTION("""COMPUTED_VALUE"""),"Electronics|Headphones,Earbuds&amp;Accessories|Headphones|On-Ear")</f>
        <v>Electronics|Headphones,Earbuds&amp;Accessories|Headphones|On-Ear</v>
      </c>
      <c r="M390" s="23">
        <f>IFERROR(__xludf.DUMMYFUNCTION("""COMPUTED_VALUE"""),1220.0)</f>
        <v>1220</v>
      </c>
      <c r="N390" s="23">
        <f>IFERROR(__xludf.DUMMYFUNCTION("""COMPUTED_VALUE"""),3990.0)</f>
        <v>3990</v>
      </c>
      <c r="O390" s="24">
        <f>IFERROR(__xludf.DUMMYFUNCTION("""COMPUTED_VALUE"""),0.69)</f>
        <v>0.69</v>
      </c>
      <c r="P390" s="17">
        <f>IFERROR(__xludf.DUMMYFUNCTION("""COMPUTED_VALUE"""),4.1)</f>
        <v>4.1</v>
      </c>
      <c r="Q390" s="17" t="str">
        <f>IFERROR(__xludf.DUMMYFUNCTION("""COMPUTED_VALUE"""),"1,07,151")</f>
        <v>1,07,151</v>
      </c>
    </row>
    <row r="391">
      <c r="A391" s="7" t="s">
        <v>435</v>
      </c>
      <c r="B391" s="7" t="s">
        <v>393</v>
      </c>
      <c r="C391" s="8">
        <v>399.0</v>
      </c>
      <c r="D391" s="8">
        <v>699.0</v>
      </c>
      <c r="E391" s="19">
        <v>0.43</v>
      </c>
      <c r="F391" s="10">
        <v>4.0</v>
      </c>
      <c r="G391" s="11">
        <v>37817.0</v>
      </c>
      <c r="K391" s="17" t="str">
        <f>IFERROR(__xludf.DUMMYFUNCTION("""COMPUTED_VALUE"""),"LAPSTER Spiral Charger Spiral Charger Cable Protectors for Wires Data Cable Saver Charging Cord Protective Cable Cover Set of 3 (12 Pieces)")</f>
        <v>LAPSTER Spiral Charger Spiral Charger Cable Protectors for Wires Data Cable Saver Charging Cord Protective Cable Cover Set of 3 (12 Pieces)</v>
      </c>
      <c r="L391" s="17" t="str">
        <f>IFERROR(__xludf.DUMMYFUNCTION("""COMPUTED_VALUE"""),"Computers&amp;Accessories|Accessories&amp;Peripherals|Cables&amp;Accessories|CableConnectionProtectors")</f>
        <v>Computers&amp;Accessories|Accessories&amp;Peripherals|Cables&amp;Accessories|CableConnectionProtectors</v>
      </c>
      <c r="M391" s="23">
        <f>IFERROR(__xludf.DUMMYFUNCTION("""COMPUTED_VALUE"""),99.0)</f>
        <v>99</v>
      </c>
      <c r="N391" s="23">
        <f>IFERROR(__xludf.DUMMYFUNCTION("""COMPUTED_VALUE"""),999.0)</f>
        <v>999</v>
      </c>
      <c r="O391" s="24">
        <f>IFERROR(__xludf.DUMMYFUNCTION("""COMPUTED_VALUE"""),0.9)</f>
        <v>0.9</v>
      </c>
      <c r="P391" s="17">
        <f>IFERROR(__xludf.DUMMYFUNCTION("""COMPUTED_VALUE"""),4.1)</f>
        <v>4.1</v>
      </c>
      <c r="Q391" s="25">
        <f>IFERROR(__xludf.DUMMYFUNCTION("""COMPUTED_VALUE"""),8751.0)</f>
        <v>8751</v>
      </c>
    </row>
    <row r="392">
      <c r="A392" s="7" t="s">
        <v>436</v>
      </c>
      <c r="B392" s="7" t="s">
        <v>373</v>
      </c>
      <c r="C392" s="8">
        <v>1999.0</v>
      </c>
      <c r="D392" s="8">
        <v>3990.0</v>
      </c>
      <c r="E392" s="19">
        <v>0.5</v>
      </c>
      <c r="F392" s="10">
        <v>4.0</v>
      </c>
      <c r="G392" s="11">
        <v>30254.0</v>
      </c>
      <c r="K392" s="17" t="str">
        <f>IFERROR(__xludf.DUMMYFUNCTION("""COMPUTED_VALUE"""),"HP v236w USB 2.0 64GB Pen Drive, Metal")</f>
        <v>HP v236w USB 2.0 64GB Pen Drive, Metal</v>
      </c>
      <c r="L392" s="17" t="str">
        <f>IFERROR(__xludf.DUMMYFUNCTION("""COMPUTED_VALUE"""),"Computers&amp;Accessories|ExternalDevices&amp;DataStorage|PenDrives")</f>
        <v>Computers&amp;Accessories|ExternalDevices&amp;DataStorage|PenDrives</v>
      </c>
      <c r="M392" s="23">
        <f>IFERROR(__xludf.DUMMYFUNCTION("""COMPUTED_VALUE"""),475.0)</f>
        <v>475</v>
      </c>
      <c r="N392" s="23">
        <f>IFERROR(__xludf.DUMMYFUNCTION("""COMPUTED_VALUE"""),1500.0)</f>
        <v>1500</v>
      </c>
      <c r="O392" s="24">
        <f>IFERROR(__xludf.DUMMYFUNCTION("""COMPUTED_VALUE"""),0.68)</f>
        <v>0.68</v>
      </c>
      <c r="P392" s="17">
        <f>IFERROR(__xludf.DUMMYFUNCTION("""COMPUTED_VALUE"""),4.2)</f>
        <v>4.2</v>
      </c>
      <c r="Q392" s="25">
        <f>IFERROR(__xludf.DUMMYFUNCTION("""COMPUTED_VALUE"""),64273.0)</f>
        <v>64273</v>
      </c>
    </row>
    <row r="393">
      <c r="A393" s="7" t="s">
        <v>437</v>
      </c>
      <c r="B393" s="7" t="s">
        <v>373</v>
      </c>
      <c r="C393" s="8">
        <v>1999.0</v>
      </c>
      <c r="D393" s="8">
        <v>7990.0</v>
      </c>
      <c r="E393" s="19">
        <v>0.75</v>
      </c>
      <c r="F393" s="10">
        <v>3.8</v>
      </c>
      <c r="G393" s="11">
        <v>17831.0</v>
      </c>
      <c r="K393" s="17" t="str">
        <f>IFERROR(__xludf.DUMMYFUNCTION("""COMPUTED_VALUE"""),"HP X1000 Wired USB Mouse with 3 Handy Buttons, Fast-Moving Scroll Wheel and Optical Sensor works on most Surfaces (H2C21AA, Black/Grey)")</f>
        <v>HP X1000 Wired USB Mouse with 3 Handy Buttons, Fast-Moving Scroll Wheel and Optical Sensor works on most Surfaces (H2C21AA, Black/Grey)</v>
      </c>
      <c r="L393" s="17" t="str">
        <f>IFERROR(__xludf.DUMMYFUNCTION("""COMPUTED_VALUE"""),"Computers&amp;Accessories|Accessories&amp;Peripherals|Keyboards,Mice&amp;InputDevices|Mice")</f>
        <v>Computers&amp;Accessories|Accessories&amp;Peripherals|Keyboards,Mice&amp;InputDevices|Mice</v>
      </c>
      <c r="M393" s="23">
        <f>IFERROR(__xludf.DUMMYFUNCTION("""COMPUTED_VALUE"""),269.0)</f>
        <v>269</v>
      </c>
      <c r="N393" s="23">
        <f>IFERROR(__xludf.DUMMYFUNCTION("""COMPUTED_VALUE"""),649.0)</f>
        <v>649</v>
      </c>
      <c r="O393" s="24">
        <f>IFERROR(__xludf.DUMMYFUNCTION("""COMPUTED_VALUE"""),0.59)</f>
        <v>0.59</v>
      </c>
      <c r="P393" s="17">
        <f>IFERROR(__xludf.DUMMYFUNCTION("""COMPUTED_VALUE"""),4.3)</f>
        <v>4.3</v>
      </c>
      <c r="Q393" s="25">
        <f>IFERROR(__xludf.DUMMYFUNCTION("""COMPUTED_VALUE"""),54315.0)</f>
        <v>54315</v>
      </c>
    </row>
    <row r="394">
      <c r="A394" s="7" t="s">
        <v>19</v>
      </c>
      <c r="B394" s="7" t="s">
        <v>15</v>
      </c>
      <c r="C394" s="8">
        <v>329.0</v>
      </c>
      <c r="D394" s="8">
        <v>699.0</v>
      </c>
      <c r="E394" s="19">
        <v>0.53</v>
      </c>
      <c r="F394" s="10">
        <v>4.2</v>
      </c>
      <c r="G394" s="11">
        <v>94364.0</v>
      </c>
      <c r="K394" s="17" t="str">
        <f>IFERROR(__xludf.DUMMYFUNCTION("""COMPUTED_VALUE"""),"Portronics Toad 23 Wireless Optical Mouse with 2.4GHz, USB Nano Dongle, Optical Orientation, Click Wheel, Adjustable DPI(Black)")</f>
        <v>Portronics Toad 23 Wireless Optical Mouse with 2.4GHz, USB Nano Dongle, Optical Orientation, Click Wheel, Adjustable DPI(Black)</v>
      </c>
      <c r="L394" s="17" t="str">
        <f>IFERROR(__xludf.DUMMYFUNCTION("""COMPUTED_VALUE"""),"Computers&amp;Accessories|Accessories&amp;Peripherals|Keyboards,Mice&amp;InputDevices|Mice")</f>
        <v>Computers&amp;Accessories|Accessories&amp;Peripherals|Keyboards,Mice&amp;InputDevices|Mice</v>
      </c>
      <c r="M394" s="23">
        <f>IFERROR(__xludf.DUMMYFUNCTION("""COMPUTED_VALUE"""),299.0)</f>
        <v>299</v>
      </c>
      <c r="N394" s="23">
        <f>IFERROR(__xludf.DUMMYFUNCTION("""COMPUTED_VALUE"""),599.0)</f>
        <v>599</v>
      </c>
      <c r="O394" s="24">
        <f>IFERROR(__xludf.DUMMYFUNCTION("""COMPUTED_VALUE"""),0.5)</f>
        <v>0.5</v>
      </c>
      <c r="P394" s="17">
        <f>IFERROR(__xludf.DUMMYFUNCTION("""COMPUTED_VALUE"""),4.1)</f>
        <v>4.1</v>
      </c>
      <c r="Q394" s="25">
        <f>IFERROR(__xludf.DUMMYFUNCTION("""COMPUTED_VALUE"""),1597.0)</f>
        <v>1597</v>
      </c>
    </row>
    <row r="395">
      <c r="A395" s="7" t="s">
        <v>20</v>
      </c>
      <c r="B395" s="7" t="s">
        <v>15</v>
      </c>
      <c r="C395" s="8">
        <v>154.0</v>
      </c>
      <c r="D395" s="8">
        <v>399.0</v>
      </c>
      <c r="E395" s="19">
        <v>0.61</v>
      </c>
      <c r="F395" s="10">
        <v>4.2</v>
      </c>
      <c r="G395" s="11">
        <v>16905.0</v>
      </c>
      <c r="K395" s="17" t="str">
        <f>IFERROR(__xludf.DUMMYFUNCTION("""COMPUTED_VALUE"""),"Fire-Boltt Ninja 3 Smartwatch Full Touch 1.69 &amp; 60 Sports Modes with IP68, Sp02 Tracking, Over 100 Cloud based watch faces - Black")</f>
        <v>Fire-Boltt Ninja 3 Smartwatch Full Touch 1.69 &amp; 60 Sports Modes with IP68, Sp02 Tracking, Over 100 Cloud based watch faces - Black</v>
      </c>
      <c r="L395" s="17" t="str">
        <f>IFERROR(__xludf.DUMMYFUNCTION("""COMPUTED_VALUE"""),"Electronics|WearableTechnology|SmartWatches")</f>
        <v>Electronics|WearableTechnology|SmartWatches</v>
      </c>
      <c r="M395" s="23">
        <f>IFERROR(__xludf.DUMMYFUNCTION("""COMPUTED_VALUE"""),1499.0)</f>
        <v>1499</v>
      </c>
      <c r="N395" s="23">
        <f>IFERROR(__xludf.DUMMYFUNCTION("""COMPUTED_VALUE"""),7999.0)</f>
        <v>7999</v>
      </c>
      <c r="O395" s="24">
        <f>IFERROR(__xludf.DUMMYFUNCTION("""COMPUTED_VALUE"""),0.81)</f>
        <v>0.81</v>
      </c>
      <c r="P395" s="17">
        <f>IFERROR(__xludf.DUMMYFUNCTION("""COMPUTED_VALUE"""),4.2)</f>
        <v>4.2</v>
      </c>
      <c r="Q395" s="25">
        <f>IFERROR(__xludf.DUMMYFUNCTION("""COMPUTED_VALUE"""),22638.0)</f>
        <v>22638</v>
      </c>
    </row>
    <row r="396">
      <c r="A396" s="7" t="s">
        <v>438</v>
      </c>
      <c r="B396" s="7" t="s">
        <v>380</v>
      </c>
      <c r="C396" s="8">
        <v>28999.0</v>
      </c>
      <c r="D396" s="8">
        <v>34999.0</v>
      </c>
      <c r="E396" s="19">
        <v>0.17</v>
      </c>
      <c r="F396" s="10">
        <v>4.4</v>
      </c>
      <c r="G396" s="11">
        <v>20311.0</v>
      </c>
      <c r="K396" s="17" t="str">
        <f>IFERROR(__xludf.DUMMYFUNCTION("""COMPUTED_VALUE"""),"Dell KB216 Wired Multimedia USB Keyboard with Super Quite Plunger Keys with Spill-Resistant – Black")</f>
        <v>Dell KB216 Wired Multimedia USB Keyboard with Super Quite Plunger Keys with Spill-Resistant – Black</v>
      </c>
      <c r="L396" s="17" t="str">
        <f>IFERROR(__xludf.DUMMYFUNCTION("""COMPUTED_VALUE"""),"Computers&amp;Accessories|Accessories&amp;Peripherals|Keyboards,Mice&amp;InputDevices|Keyboards")</f>
        <v>Computers&amp;Accessories|Accessories&amp;Peripherals|Keyboards,Mice&amp;InputDevices|Keyboards</v>
      </c>
      <c r="M396" s="23">
        <f>IFERROR(__xludf.DUMMYFUNCTION("""COMPUTED_VALUE"""),549.0)</f>
        <v>549</v>
      </c>
      <c r="N396" s="23">
        <f>IFERROR(__xludf.DUMMYFUNCTION("""COMPUTED_VALUE"""),1799.0)</f>
        <v>1799</v>
      </c>
      <c r="O396" s="24">
        <f>IFERROR(__xludf.DUMMYFUNCTION("""COMPUTED_VALUE"""),0.69)</f>
        <v>0.69</v>
      </c>
      <c r="P396" s="17">
        <f>IFERROR(__xludf.DUMMYFUNCTION("""COMPUTED_VALUE"""),4.3)</f>
        <v>4.3</v>
      </c>
      <c r="Q396" s="25">
        <f>IFERROR(__xludf.DUMMYFUNCTION("""COMPUTED_VALUE"""),28829.0)</f>
        <v>28829</v>
      </c>
    </row>
    <row r="397">
      <c r="A397" s="7" t="s">
        <v>439</v>
      </c>
      <c r="B397" s="7" t="s">
        <v>373</v>
      </c>
      <c r="C397" s="8">
        <v>2299.0</v>
      </c>
      <c r="D397" s="8">
        <v>7990.0</v>
      </c>
      <c r="E397" s="19">
        <v>0.71</v>
      </c>
      <c r="F397" s="10">
        <v>4.2</v>
      </c>
      <c r="G397" s="11">
        <v>69622.0</v>
      </c>
      <c r="K397" s="17" t="str">
        <f>IFERROR(__xludf.DUMMYFUNCTION("""COMPUTED_VALUE"""),"Fire-Boltt India's No 1 Smartwatch Brand Talk 2 Bluetooth Calling Smartwatch with Dual Button, Hands On Voice Assistance, 60 Sports Modes, in Built Mic &amp; Speaker with IP68 Rating")</f>
        <v>Fire-Boltt India's No 1 Smartwatch Brand Talk 2 Bluetooth Calling Smartwatch with Dual Button, Hands On Voice Assistance, 60 Sports Modes, in Built Mic &amp; Speaker with IP68 Rating</v>
      </c>
      <c r="L397" s="17" t="str">
        <f>IFERROR(__xludf.DUMMYFUNCTION("""COMPUTED_VALUE"""),"Electronics|WearableTechnology|SmartWatches")</f>
        <v>Electronics|WearableTechnology|SmartWatches</v>
      </c>
      <c r="M397" s="23">
        <f>IFERROR(__xludf.DUMMYFUNCTION("""COMPUTED_VALUE"""),2199.0)</f>
        <v>2199</v>
      </c>
      <c r="N397" s="23">
        <f>IFERROR(__xludf.DUMMYFUNCTION("""COMPUTED_VALUE"""),9999.0)</f>
        <v>9999</v>
      </c>
      <c r="O397" s="24">
        <f>IFERROR(__xludf.DUMMYFUNCTION("""COMPUTED_VALUE"""),0.78)</f>
        <v>0.78</v>
      </c>
      <c r="P397" s="17">
        <f>IFERROR(__xludf.DUMMYFUNCTION("""COMPUTED_VALUE"""),4.2)</f>
        <v>4.2</v>
      </c>
      <c r="Q397" s="25">
        <f>IFERROR(__xludf.DUMMYFUNCTION("""COMPUTED_VALUE"""),29478.0)</f>
        <v>29478</v>
      </c>
    </row>
    <row r="398">
      <c r="A398" s="7" t="s">
        <v>440</v>
      </c>
      <c r="B398" s="7" t="s">
        <v>441</v>
      </c>
      <c r="C398" s="8">
        <v>399.0</v>
      </c>
      <c r="D398" s="8">
        <v>1999.0</v>
      </c>
      <c r="E398" s="19">
        <v>0.8</v>
      </c>
      <c r="F398" s="10">
        <v>4.0</v>
      </c>
      <c r="G398" s="11">
        <v>3382.0</v>
      </c>
      <c r="K398" s="17" t="str">
        <f>IFERROR(__xludf.DUMMYFUNCTION("""COMPUTED_VALUE"""),"Dell MS116 1000Dpi USB Wired Optical Mouse, Led Tracking, Scrolling Wheel, Plug and Play.")</f>
        <v>Dell MS116 1000Dpi USB Wired Optical Mouse, Led Tracking, Scrolling Wheel, Plug and Play.</v>
      </c>
      <c r="L398" s="17" t="str">
        <f>IFERROR(__xludf.DUMMYFUNCTION("""COMPUTED_VALUE"""),"Computers&amp;Accessories|Accessories&amp;Peripherals|Keyboards,Mice&amp;InputDevices|Mice")</f>
        <v>Computers&amp;Accessories|Accessories&amp;Peripherals|Keyboards,Mice&amp;InputDevices|Mice</v>
      </c>
      <c r="M398" s="23">
        <f>IFERROR(__xludf.DUMMYFUNCTION("""COMPUTED_VALUE"""),299.0)</f>
        <v>299</v>
      </c>
      <c r="N398" s="23">
        <f>IFERROR(__xludf.DUMMYFUNCTION("""COMPUTED_VALUE"""),650.0)</f>
        <v>650</v>
      </c>
      <c r="O398" s="24">
        <f>IFERROR(__xludf.DUMMYFUNCTION("""COMPUTED_VALUE"""),0.54)</f>
        <v>0.54</v>
      </c>
      <c r="P398" s="17">
        <f>IFERROR(__xludf.DUMMYFUNCTION("""COMPUTED_VALUE"""),4.5)</f>
        <v>4.5</v>
      </c>
      <c r="Q398" s="25">
        <f>IFERROR(__xludf.DUMMYFUNCTION("""COMPUTED_VALUE"""),33176.0)</f>
        <v>33176</v>
      </c>
    </row>
    <row r="399">
      <c r="A399" s="7" t="s">
        <v>442</v>
      </c>
      <c r="B399" s="7" t="s">
        <v>386</v>
      </c>
      <c r="C399" s="8">
        <v>1149.0</v>
      </c>
      <c r="D399" s="8">
        <v>3999.0</v>
      </c>
      <c r="E399" s="19">
        <v>0.71</v>
      </c>
      <c r="F399" s="10">
        <v>4.3</v>
      </c>
      <c r="G399" s="7" t="s">
        <v>443</v>
      </c>
      <c r="K399" s="17" t="str">
        <f>IFERROR(__xludf.DUMMYFUNCTION("""COMPUTED_VALUE"""),"Wayona Nylon Braided USB to Lightning Fast Charging and Data Sync Cable Compatible for iPhone 13, 12,11, X, 8, 7, 6, 5, iPad Air, Pro, Mini (3 FT Pack of 1, Grey)")</f>
        <v>Wayona Nylon Braided USB to Lightning Fast Charging and Data Sync Cable Compatible for iPhone 13, 12,11, X, 8, 7, 6, 5, iPad Air, Pro, Mini (3 FT Pack of 1, Grey)</v>
      </c>
      <c r="L399" s="17" t="str">
        <f>IFERROR(__xludf.DUMMYFUNCTION("""COMPUTED_VALUE"""),"Computers&amp;Accessories|Accessories&amp;Peripherals|Cables&amp;Accessories|Cables|USBCables")</f>
        <v>Computers&amp;Accessories|Accessories&amp;Peripherals|Cables&amp;Accessories|Cables|USBCables</v>
      </c>
      <c r="M399" s="23">
        <f>IFERROR(__xludf.DUMMYFUNCTION("""COMPUTED_VALUE"""),399.0)</f>
        <v>399</v>
      </c>
      <c r="N399" s="23">
        <f>IFERROR(__xludf.DUMMYFUNCTION("""COMPUTED_VALUE"""),1099.0)</f>
        <v>1099</v>
      </c>
      <c r="O399" s="24">
        <f>IFERROR(__xludf.DUMMYFUNCTION("""COMPUTED_VALUE"""),0.64)</f>
        <v>0.64</v>
      </c>
      <c r="P399" s="17">
        <f>IFERROR(__xludf.DUMMYFUNCTION("""COMPUTED_VALUE"""),4.2)</f>
        <v>4.2</v>
      </c>
      <c r="Q399" s="25">
        <f>IFERROR(__xludf.DUMMYFUNCTION("""COMPUTED_VALUE"""),24269.0)</f>
        <v>24269</v>
      </c>
    </row>
    <row r="400">
      <c r="A400" s="7" t="s">
        <v>444</v>
      </c>
      <c r="B400" s="7" t="s">
        <v>409</v>
      </c>
      <c r="C400" s="8">
        <v>529.0</v>
      </c>
      <c r="D400" s="8">
        <v>1499.0</v>
      </c>
      <c r="E400" s="19">
        <v>0.65</v>
      </c>
      <c r="F400" s="10">
        <v>4.1</v>
      </c>
      <c r="G400" s="11">
        <v>8599.0</v>
      </c>
      <c r="K400" s="17" t="str">
        <f>IFERROR(__xludf.DUMMYFUNCTION("""COMPUTED_VALUE"""),"Duracell Ultra Alkaline AA Battery, 8 Pcs")</f>
        <v>Duracell Ultra Alkaline AA Battery, 8 Pcs</v>
      </c>
      <c r="L400" s="17" t="str">
        <f>IFERROR(__xludf.DUMMYFUNCTION("""COMPUTED_VALUE"""),"Electronics|GeneralPurposeBatteries&amp;BatteryChargers|DisposableBatteries")</f>
        <v>Electronics|GeneralPurposeBatteries&amp;BatteryChargers|DisposableBatteries</v>
      </c>
      <c r="M400" s="23">
        <f>IFERROR(__xludf.DUMMYFUNCTION("""COMPUTED_VALUE"""),266.0)</f>
        <v>266</v>
      </c>
      <c r="N400" s="23">
        <f>IFERROR(__xludf.DUMMYFUNCTION("""COMPUTED_VALUE"""),315.0)</f>
        <v>315</v>
      </c>
      <c r="O400" s="24">
        <f>IFERROR(__xludf.DUMMYFUNCTION("""COMPUTED_VALUE"""),0.16)</f>
        <v>0.16</v>
      </c>
      <c r="P400" s="17">
        <f>IFERROR(__xludf.DUMMYFUNCTION("""COMPUTED_VALUE"""),4.5)</f>
        <v>4.5</v>
      </c>
      <c r="Q400" s="25">
        <f>IFERROR(__xludf.DUMMYFUNCTION("""COMPUTED_VALUE"""),28030.0)</f>
        <v>28030</v>
      </c>
    </row>
    <row r="401">
      <c r="A401" s="7" t="s">
        <v>445</v>
      </c>
      <c r="B401" s="7" t="s">
        <v>380</v>
      </c>
      <c r="C401" s="8">
        <v>13999.0</v>
      </c>
      <c r="D401" s="8">
        <v>19499.0</v>
      </c>
      <c r="E401" s="19">
        <v>0.28</v>
      </c>
      <c r="F401" s="10">
        <v>4.1</v>
      </c>
      <c r="G401" s="11">
        <v>18998.0</v>
      </c>
      <c r="K401" s="17" t="str">
        <f>IFERROR(__xludf.DUMMYFUNCTION("""COMPUTED_VALUE"""),"Classmate Octane Neon- Blue Gel Pens(Pack of 5)|Smooth Writing Pen|Attractive body colour for Boys &amp; Girls|Waterproof ink for smudge free writing|Preferred by Students for Exam|Study at home essential")</f>
        <v>Classmate Octane Neon- Blue Gel Pens(Pack of 5)|Smooth Writing Pen|Attractive body colour for Boys &amp; Girls|Waterproof ink for smudge free writing|Preferred by Students for Exam|Study at home essential</v>
      </c>
      <c r="L401" s="17" t="str">
        <f>IFERROR(__xludf.DUMMYFUNCTION("""COMPUTED_VALUE"""),"OfficeProducts|OfficePaperProducts|Paper|Stationery|Pens,Pencils&amp;WritingSupplies|Pens&amp;Refills|GelInkRollerballPens")</f>
        <v>OfficeProducts|OfficePaperProducts|Paper|Stationery|Pens,Pencils&amp;WritingSupplies|Pens&amp;Refills|GelInkRollerballPens</v>
      </c>
      <c r="M401" s="23">
        <f>IFERROR(__xludf.DUMMYFUNCTION("""COMPUTED_VALUE"""),50.0)</f>
        <v>50</v>
      </c>
      <c r="N401" s="23">
        <f>IFERROR(__xludf.DUMMYFUNCTION("""COMPUTED_VALUE"""),50.0)</f>
        <v>50</v>
      </c>
      <c r="O401" s="24">
        <f>IFERROR(__xludf.DUMMYFUNCTION("""COMPUTED_VALUE"""),0.0)</f>
        <v>0</v>
      </c>
      <c r="P401" s="17">
        <f>IFERROR(__xludf.DUMMYFUNCTION("""COMPUTED_VALUE"""),4.3)</f>
        <v>4.3</v>
      </c>
      <c r="Q401" s="25">
        <f>IFERROR(__xludf.DUMMYFUNCTION("""COMPUTED_VALUE"""),5792.0)</f>
        <v>5792</v>
      </c>
    </row>
    <row r="402">
      <c r="A402" s="7" t="s">
        <v>446</v>
      </c>
      <c r="B402" s="7" t="s">
        <v>393</v>
      </c>
      <c r="C402" s="8">
        <v>379.0</v>
      </c>
      <c r="D402" s="8">
        <v>999.0</v>
      </c>
      <c r="E402" s="19">
        <v>0.62</v>
      </c>
      <c r="F402" s="10">
        <v>4.1</v>
      </c>
      <c r="G402" s="7" t="s">
        <v>401</v>
      </c>
      <c r="K402" s="17" t="str">
        <f>IFERROR(__xludf.DUMMYFUNCTION("""COMPUTED_VALUE"""),"boAt Bassheads 152 in Ear Wired Earphones with Mic(Active Black)")</f>
        <v>boAt Bassheads 152 in Ear Wired Earphones with Mic(Active Black)</v>
      </c>
      <c r="L402" s="17" t="str">
        <f>IFERROR(__xludf.DUMMYFUNCTION("""COMPUTED_VALUE"""),"Electronics|Headphones,Earbuds&amp;Accessories|Headphones|In-Ear")</f>
        <v>Electronics|Headphones,Earbuds&amp;Accessories|Headphones|In-Ear</v>
      </c>
      <c r="M402" s="23">
        <f>IFERROR(__xludf.DUMMYFUNCTION("""COMPUTED_VALUE"""),449.0)</f>
        <v>449</v>
      </c>
      <c r="N402" s="23">
        <f>IFERROR(__xludf.DUMMYFUNCTION("""COMPUTED_VALUE"""),1290.0)</f>
        <v>1290</v>
      </c>
      <c r="O402" s="24">
        <f>IFERROR(__xludf.DUMMYFUNCTION("""COMPUTED_VALUE"""),0.65)</f>
        <v>0.65</v>
      </c>
      <c r="P402" s="17">
        <f>IFERROR(__xludf.DUMMYFUNCTION("""COMPUTED_VALUE"""),4.1)</f>
        <v>4.1</v>
      </c>
      <c r="Q402" s="25">
        <f>IFERROR(__xludf.DUMMYFUNCTION("""COMPUTED_VALUE"""),91770.0)</f>
        <v>91770</v>
      </c>
    </row>
    <row r="403">
      <c r="A403" s="7" t="s">
        <v>447</v>
      </c>
      <c r="B403" s="7" t="s">
        <v>380</v>
      </c>
      <c r="C403" s="8">
        <v>13999.0</v>
      </c>
      <c r="D403" s="8">
        <v>19999.0</v>
      </c>
      <c r="E403" s="19">
        <v>0.3</v>
      </c>
      <c r="F403" s="10">
        <v>4.1</v>
      </c>
      <c r="G403" s="11">
        <v>19252.0</v>
      </c>
      <c r="K403" s="17" t="str">
        <f>IFERROR(__xludf.DUMMYFUNCTION("""COMPUTED_VALUE"""),"Fire-Boltt Visionary 1.78"" AMOLED Bluetooth Calling Smartwatch with 368*448 Pixel Resolution 100+ Sports Mode, TWS Connection, Voice Assistance, SPO2 &amp; Heart Rate Monitoring")</f>
        <v>Fire-Boltt Visionary 1.78" AMOLED Bluetooth Calling Smartwatch with 368*448 Pixel Resolution 100+ Sports Mode, TWS Connection, Voice Assistance, SPO2 &amp; Heart Rate Monitoring</v>
      </c>
      <c r="L403" s="17" t="str">
        <f>IFERROR(__xludf.DUMMYFUNCTION("""COMPUTED_VALUE"""),"Electronics|WearableTechnology|SmartWatches")</f>
        <v>Electronics|WearableTechnology|SmartWatches</v>
      </c>
      <c r="M403" s="23">
        <f>IFERROR(__xludf.DUMMYFUNCTION("""COMPUTED_VALUE"""),3999.0)</f>
        <v>3999</v>
      </c>
      <c r="N403" s="23">
        <f>IFERROR(__xludf.DUMMYFUNCTION("""COMPUTED_VALUE"""),16999.0)</f>
        <v>16999</v>
      </c>
      <c r="O403" s="24">
        <f>IFERROR(__xludf.DUMMYFUNCTION("""COMPUTED_VALUE"""),0.76)</f>
        <v>0.76</v>
      </c>
      <c r="P403" s="17">
        <f>IFERROR(__xludf.DUMMYFUNCTION("""COMPUTED_VALUE"""),4.3)</f>
        <v>4.3</v>
      </c>
      <c r="Q403" s="25">
        <f>IFERROR(__xludf.DUMMYFUNCTION("""COMPUTED_VALUE"""),17162.0)</f>
        <v>17162</v>
      </c>
    </row>
    <row r="404">
      <c r="A404" s="7" t="s">
        <v>448</v>
      </c>
      <c r="B404" s="7" t="s">
        <v>373</v>
      </c>
      <c r="C404" s="8">
        <v>3999.0</v>
      </c>
      <c r="D404" s="8">
        <v>9999.0</v>
      </c>
      <c r="E404" s="19">
        <v>0.6</v>
      </c>
      <c r="F404" s="10">
        <v>4.4</v>
      </c>
      <c r="G404" s="10">
        <v>73.0</v>
      </c>
      <c r="K404" s="17" t="str">
        <f>IFERROR(__xludf.DUMMYFUNCTION("""COMPUTED_VALUE"""),"boAt BassHeads 122 Wired Earphones with Heavy Bass, Integrated Controls and Mic (Gun Metal)")</f>
        <v>boAt BassHeads 122 Wired Earphones with Heavy Bass, Integrated Controls and Mic (Gun Metal)</v>
      </c>
      <c r="L404" s="17" t="str">
        <f>IFERROR(__xludf.DUMMYFUNCTION("""COMPUTED_VALUE"""),"Electronics|Headphones,Earbuds&amp;Accessories|Headphones|In-Ear")</f>
        <v>Electronics|Headphones,Earbuds&amp;Accessories|Headphones|In-Ear</v>
      </c>
      <c r="M404" s="23">
        <f>IFERROR(__xludf.DUMMYFUNCTION("""COMPUTED_VALUE"""),399.0)</f>
        <v>399</v>
      </c>
      <c r="N404" s="23">
        <f>IFERROR(__xludf.DUMMYFUNCTION("""COMPUTED_VALUE"""),1290.0)</f>
        <v>1290</v>
      </c>
      <c r="O404" s="24">
        <f>IFERROR(__xludf.DUMMYFUNCTION("""COMPUTED_VALUE"""),0.69)</f>
        <v>0.69</v>
      </c>
      <c r="P404" s="17">
        <f>IFERROR(__xludf.DUMMYFUNCTION("""COMPUTED_VALUE"""),4.2)</f>
        <v>4.2</v>
      </c>
      <c r="Q404" s="17">
        <f>IFERROR(__xludf.DUMMYFUNCTION("""COMPUTED_VALUE"""),206.0)</f>
        <v>206</v>
      </c>
    </row>
    <row r="405">
      <c r="A405" s="7" t="s">
        <v>21</v>
      </c>
      <c r="B405" s="7" t="s">
        <v>15</v>
      </c>
      <c r="C405" s="8">
        <v>149.0</v>
      </c>
      <c r="D405" s="8">
        <v>1000.0</v>
      </c>
      <c r="E405" s="19">
        <v>0.85</v>
      </c>
      <c r="F405" s="10">
        <v>3.9</v>
      </c>
      <c r="G405" s="11">
        <v>24870.0</v>
      </c>
      <c r="K405" s="17" t="str">
        <f>IFERROR(__xludf.DUMMYFUNCTION("""COMPUTED_VALUE"""),"Dell USB Wireless Keyboard and Mouse Set- KM3322W, Anti-Fade &amp; Spill-Resistant Keys, up to 36 Month Battery Life, 3Y Advance Exchange Warranty, Black")</f>
        <v>Dell USB Wireless Keyboard and Mouse Set- KM3322W, Anti-Fade &amp; Spill-Resistant Keys, up to 36 Month Battery Life, 3Y Advance Exchange Warranty, Black</v>
      </c>
      <c r="L405" s="17" t="str">
        <f>IFERROR(__xludf.DUMMYFUNCTION("""COMPUTED_VALUE"""),"Computers&amp;Accessories|Accessories&amp;Peripherals|Keyboards,Mice&amp;InputDevices|Keyboard&amp;MouseSets")</f>
        <v>Computers&amp;Accessories|Accessories&amp;Peripherals|Keyboards,Mice&amp;InputDevices|Keyboard&amp;MouseSets</v>
      </c>
      <c r="M405" s="23">
        <f>IFERROR(__xludf.DUMMYFUNCTION("""COMPUTED_VALUE"""),1399.0)</f>
        <v>1399</v>
      </c>
      <c r="N405" s="23">
        <f>IFERROR(__xludf.DUMMYFUNCTION("""COMPUTED_VALUE"""),2498.0)</f>
        <v>2498</v>
      </c>
      <c r="O405" s="24">
        <f>IFERROR(__xludf.DUMMYFUNCTION("""COMPUTED_VALUE"""),0.44)</f>
        <v>0.44</v>
      </c>
      <c r="P405" s="17">
        <f>IFERROR(__xludf.DUMMYFUNCTION("""COMPUTED_VALUE"""),4.2)</f>
        <v>4.2</v>
      </c>
      <c r="Q405" s="25">
        <f>IFERROR(__xludf.DUMMYFUNCTION("""COMPUTED_VALUE"""),33717.0)</f>
        <v>33717</v>
      </c>
    </row>
    <row r="406">
      <c r="A406" s="7" t="s">
        <v>449</v>
      </c>
      <c r="B406" s="7" t="s">
        <v>450</v>
      </c>
      <c r="C406" s="8">
        <v>99.0</v>
      </c>
      <c r="D406" s="8">
        <v>499.0</v>
      </c>
      <c r="E406" s="19">
        <v>0.8</v>
      </c>
      <c r="F406" s="10">
        <v>4.3</v>
      </c>
      <c r="G406" s="11">
        <v>42641.0</v>
      </c>
      <c r="K406" s="17" t="str">
        <f>IFERROR(__xludf.DUMMYFUNCTION("""COMPUTED_VALUE"""),"Noise ColorFit Pro 4 Advanced Bluetooth Calling Smart Watch with 1.72"" TruView Display, Fully-Functional Digital Crown, 311 PPI, 60Hz Refresh Rate, 500 NITS Brightness (Charcoal Black)")</f>
        <v>Noise ColorFit Pro 4 Advanced Bluetooth Calling Smart Watch with 1.72" TruView Display, Fully-Functional Digital Crown, 311 PPI, 60Hz Refresh Rate, 500 NITS Brightness (Charcoal Black)</v>
      </c>
      <c r="L406" s="17" t="str">
        <f>IFERROR(__xludf.DUMMYFUNCTION("""COMPUTED_VALUE"""),"Electronics|WearableTechnology|SmartWatches")</f>
        <v>Electronics|WearableTechnology|SmartWatches</v>
      </c>
      <c r="M406" s="23">
        <f>IFERROR(__xludf.DUMMYFUNCTION("""COMPUTED_VALUE"""),2998.0)</f>
        <v>2998</v>
      </c>
      <c r="N406" s="23">
        <f>IFERROR(__xludf.DUMMYFUNCTION("""COMPUTED_VALUE"""),5999.0)</f>
        <v>5999</v>
      </c>
      <c r="O406" s="24">
        <f>IFERROR(__xludf.DUMMYFUNCTION("""COMPUTED_VALUE"""),0.5)</f>
        <v>0.5</v>
      </c>
      <c r="P406" s="17">
        <f>IFERROR(__xludf.DUMMYFUNCTION("""COMPUTED_VALUE"""),4.1)</f>
        <v>4.1</v>
      </c>
      <c r="Q406" s="25">
        <f>IFERROR(__xludf.DUMMYFUNCTION("""COMPUTED_VALUE"""),5179.0)</f>
        <v>5179</v>
      </c>
    </row>
    <row r="407">
      <c r="A407" s="7" t="s">
        <v>451</v>
      </c>
      <c r="B407" s="7" t="s">
        <v>393</v>
      </c>
      <c r="C407" s="8">
        <v>4790.0</v>
      </c>
      <c r="D407" s="8">
        <v>15990.0</v>
      </c>
      <c r="E407" s="19">
        <v>0.7</v>
      </c>
      <c r="F407" s="10">
        <v>4.0</v>
      </c>
      <c r="G407" s="11">
        <v>4390.0</v>
      </c>
      <c r="K407" s="17" t="str">
        <f>IFERROR(__xludf.DUMMYFUNCTION("""COMPUTED_VALUE"""),"Seagate Expansion 1TB External HDD - USB 3.0 for Windows and Mac with 3 yr Data Recovery Services, Portable Hard Drive (STKM1000400)")</f>
        <v>Seagate Expansion 1TB External HDD - USB 3.0 for Windows and Mac with 3 yr Data Recovery Services, Portable Hard Drive (STKM1000400)</v>
      </c>
      <c r="L407" s="17" t="str">
        <f>IFERROR(__xludf.DUMMYFUNCTION("""COMPUTED_VALUE"""),"Computers&amp;Accessories|ExternalDevices&amp;DataStorage|ExternalHardDisks")</f>
        <v>Computers&amp;Accessories|ExternalDevices&amp;DataStorage|ExternalHardDisks</v>
      </c>
      <c r="M407" s="23">
        <f>IFERROR(__xludf.DUMMYFUNCTION("""COMPUTED_VALUE"""),4098.0)</f>
        <v>4098</v>
      </c>
      <c r="N407" s="23">
        <f>IFERROR(__xludf.DUMMYFUNCTION("""COMPUTED_VALUE"""),4999.0)</f>
        <v>4999</v>
      </c>
      <c r="O407" s="24">
        <f>IFERROR(__xludf.DUMMYFUNCTION("""COMPUTED_VALUE"""),0.18)</f>
        <v>0.18</v>
      </c>
      <c r="P407" s="17">
        <f>IFERROR(__xludf.DUMMYFUNCTION("""COMPUTED_VALUE"""),4.5)</f>
        <v>4.5</v>
      </c>
      <c r="Q407" s="25">
        <f>IFERROR(__xludf.DUMMYFUNCTION("""COMPUTED_VALUE"""),50810.0)</f>
        <v>50810</v>
      </c>
    </row>
    <row r="408">
      <c r="A408" s="7" t="s">
        <v>452</v>
      </c>
      <c r="B408" s="7" t="s">
        <v>380</v>
      </c>
      <c r="C408" s="8">
        <v>33999.0</v>
      </c>
      <c r="D408" s="8">
        <v>33999.0</v>
      </c>
      <c r="E408" s="19">
        <v>0.0</v>
      </c>
      <c r="F408" s="10">
        <v>4.3</v>
      </c>
      <c r="G408" s="11">
        <v>17415.0</v>
      </c>
      <c r="K408" s="17" t="str">
        <f>IFERROR(__xludf.DUMMYFUNCTION("""COMPUTED_VALUE"""),"boAt Deuce USB 300 2 in 1 Type-C &amp; Micro USB Stress Resistant, Tangle-Free, Sturdy Cable with 3A Fast Charging &amp; 480mbps Data Transmission, 10000+ Bends Lifespan and Extended 1.5m Length(Martian Red)")</f>
        <v>boAt Deuce USB 300 2 in 1 Type-C &amp; Micro USB Stress Resistant, Tangle-Free, Sturdy Cable with 3A Fast Charging &amp; 480mbps Data Transmission, 10000+ Bends Lifespan and Extended 1.5m Length(Martian Red)</v>
      </c>
      <c r="L408" s="17" t="str">
        <f>IFERROR(__xludf.DUMMYFUNCTION("""COMPUTED_VALUE"""),"Computers&amp;Accessories|Accessories&amp;Peripherals|Cables&amp;Accessories|Cables|USBCables")</f>
        <v>Computers&amp;Accessories|Accessories&amp;Peripherals|Cables&amp;Accessories|Cables|USBCables</v>
      </c>
      <c r="M408" s="23">
        <f>IFERROR(__xludf.DUMMYFUNCTION("""COMPUTED_VALUE"""),329.0)</f>
        <v>329</v>
      </c>
      <c r="N408" s="23">
        <f>IFERROR(__xludf.DUMMYFUNCTION("""COMPUTED_VALUE"""),699.0)</f>
        <v>699</v>
      </c>
      <c r="O408" s="24">
        <f>IFERROR(__xludf.DUMMYFUNCTION("""COMPUTED_VALUE"""),0.53)</f>
        <v>0.53</v>
      </c>
      <c r="P408" s="17">
        <f>IFERROR(__xludf.DUMMYFUNCTION("""COMPUTED_VALUE"""),4.2)</f>
        <v>4.2</v>
      </c>
      <c r="Q408" s="25">
        <f>IFERROR(__xludf.DUMMYFUNCTION("""COMPUTED_VALUE"""),94364.0)</f>
        <v>94364</v>
      </c>
    </row>
    <row r="409">
      <c r="A409" s="7" t="s">
        <v>453</v>
      </c>
      <c r="B409" s="7" t="s">
        <v>454</v>
      </c>
      <c r="C409" s="8">
        <v>99.0</v>
      </c>
      <c r="D409" s="8">
        <v>999.0</v>
      </c>
      <c r="E409" s="19">
        <v>0.9</v>
      </c>
      <c r="F409" s="10">
        <v>4.0</v>
      </c>
      <c r="G409" s="11">
        <v>1396.0</v>
      </c>
      <c r="K409" s="17" t="str">
        <f>IFERROR(__xludf.DUMMYFUNCTION("""COMPUTED_VALUE"""),"SYVO WT 3130 Aluminum Tripod (133CM), Universal Lightweight Tripod with Mobile Phone Holder Mount &amp; Carry Bag for All Smart Phones, Gopro, Cameras - Brown")</f>
        <v>SYVO WT 3130 Aluminum Tripod (133CM), Universal Lightweight Tripod with Mobile Phone Holder Mount &amp; Carry Bag for All Smart Phones, Gopro, Cameras - Brown</v>
      </c>
      <c r="L409" s="17" t="str">
        <f>IFERROR(__xludf.DUMMYFUNCTION("""COMPUTED_VALUE"""),"Electronics|Cameras&amp;Photography|Accessories|Tripods&amp;Monopods|Tabletop&amp;TravelTripods")</f>
        <v>Electronics|Cameras&amp;Photography|Accessories|Tripods&amp;Monopods|Tabletop&amp;TravelTripods</v>
      </c>
      <c r="M409" s="23">
        <f>IFERROR(__xludf.DUMMYFUNCTION("""COMPUTED_VALUE"""),799.0)</f>
        <v>799</v>
      </c>
      <c r="N409" s="23">
        <f>IFERROR(__xludf.DUMMYFUNCTION("""COMPUTED_VALUE"""),3990.0)</f>
        <v>3990</v>
      </c>
      <c r="O409" s="24">
        <f>IFERROR(__xludf.DUMMYFUNCTION("""COMPUTED_VALUE"""),0.8)</f>
        <v>0.8</v>
      </c>
      <c r="P409" s="17">
        <f>IFERROR(__xludf.DUMMYFUNCTION("""COMPUTED_VALUE"""),4.3)</f>
        <v>4.3</v>
      </c>
      <c r="Q409" s="25">
        <f>IFERROR(__xludf.DUMMYFUNCTION("""COMPUTED_VALUE"""),27139.0)</f>
        <v>27139</v>
      </c>
    </row>
    <row r="410">
      <c r="A410" s="7" t="s">
        <v>455</v>
      </c>
      <c r="B410" s="7" t="s">
        <v>393</v>
      </c>
      <c r="C410" s="8">
        <v>299.0</v>
      </c>
      <c r="D410" s="8">
        <v>1900.0</v>
      </c>
      <c r="E410" s="19">
        <v>0.84</v>
      </c>
      <c r="F410" s="10">
        <v>3.6</v>
      </c>
      <c r="G410" s="11">
        <v>18202.0</v>
      </c>
      <c r="K410" s="17" t="str">
        <f>IFERROR(__xludf.DUMMYFUNCTION("""COMPUTED_VALUE"""),"Portronics Konnect L 1.2M Fast Charging 3A 8 Pin USB Cable with Charge &amp; Sync Function for iPhone, iPad (Grey)")</f>
        <v>Portronics Konnect L 1.2M Fast Charging 3A 8 Pin USB Cable with Charge &amp; Sync Function for iPhone, iPad (Grey)</v>
      </c>
      <c r="L410" s="17" t="str">
        <f>IFERROR(__xludf.DUMMYFUNCTION("""COMPUTED_VALUE"""),"Computers&amp;Accessories|Accessories&amp;Peripherals|Cables&amp;Accessories|Cables|USBCables")</f>
        <v>Computers&amp;Accessories|Accessories&amp;Peripherals|Cables&amp;Accessories|Cables|USBCables</v>
      </c>
      <c r="M410" s="23">
        <f>IFERROR(__xludf.DUMMYFUNCTION("""COMPUTED_VALUE"""),154.0)</f>
        <v>154</v>
      </c>
      <c r="N410" s="23">
        <f>IFERROR(__xludf.DUMMYFUNCTION("""COMPUTED_VALUE"""),399.0)</f>
        <v>399</v>
      </c>
      <c r="O410" s="24">
        <f>IFERROR(__xludf.DUMMYFUNCTION("""COMPUTED_VALUE"""),0.61)</f>
        <v>0.61</v>
      </c>
      <c r="P410" s="17">
        <f>IFERROR(__xludf.DUMMYFUNCTION("""COMPUTED_VALUE"""),4.2)</f>
        <v>4.2</v>
      </c>
      <c r="Q410" s="25">
        <f>IFERROR(__xludf.DUMMYFUNCTION("""COMPUTED_VALUE"""),16905.0)</f>
        <v>16905</v>
      </c>
    </row>
    <row r="411">
      <c r="A411" s="7" t="s">
        <v>456</v>
      </c>
      <c r="B411" s="7" t="s">
        <v>380</v>
      </c>
      <c r="C411" s="8">
        <v>10999.0</v>
      </c>
      <c r="D411" s="8">
        <v>14999.0</v>
      </c>
      <c r="E411" s="19">
        <v>0.27</v>
      </c>
      <c r="F411" s="10">
        <v>4.1</v>
      </c>
      <c r="G411" s="11">
        <v>18998.0</v>
      </c>
      <c r="K411" s="17" t="str">
        <f>IFERROR(__xludf.DUMMYFUNCTION("""COMPUTED_VALUE"""),"SanDisk Ultra Flair 64GB USB 3.0 Pen Drive, Multicolor")</f>
        <v>SanDisk Ultra Flair 64GB USB 3.0 Pen Drive, Multicolor</v>
      </c>
      <c r="L411" s="17" t="str">
        <f>IFERROR(__xludf.DUMMYFUNCTION("""COMPUTED_VALUE"""),"Computers&amp;Accessories|ExternalDevices&amp;DataStorage|PenDrives")</f>
        <v>Computers&amp;Accessories|ExternalDevices&amp;DataStorage|PenDrives</v>
      </c>
      <c r="M411" s="23">
        <f>IFERROR(__xludf.DUMMYFUNCTION("""COMPUTED_VALUE"""),519.0)</f>
        <v>519</v>
      </c>
      <c r="N411" s="23">
        <f>IFERROR(__xludf.DUMMYFUNCTION("""COMPUTED_VALUE"""),1350.0)</f>
        <v>1350</v>
      </c>
      <c r="O411" s="24">
        <f>IFERROR(__xludf.DUMMYFUNCTION("""COMPUTED_VALUE"""),0.62)</f>
        <v>0.62</v>
      </c>
      <c r="P411" s="17">
        <f>IFERROR(__xludf.DUMMYFUNCTION("""COMPUTED_VALUE"""),4.3)</f>
        <v>4.3</v>
      </c>
      <c r="Q411" s="25">
        <f>IFERROR(__xludf.DUMMYFUNCTION("""COMPUTED_VALUE"""),30058.0)</f>
        <v>30058</v>
      </c>
    </row>
    <row r="412">
      <c r="A412" s="7" t="s">
        <v>457</v>
      </c>
      <c r="B412" s="7" t="s">
        <v>380</v>
      </c>
      <c r="C412" s="8">
        <v>34999.0</v>
      </c>
      <c r="D412" s="8">
        <v>38999.0</v>
      </c>
      <c r="E412" s="19">
        <v>0.1</v>
      </c>
      <c r="F412" s="10">
        <v>4.2</v>
      </c>
      <c r="G412" s="11">
        <v>11029.0</v>
      </c>
      <c r="K412" s="17" t="str">
        <f>IFERROR(__xludf.DUMMYFUNCTION("""COMPUTED_VALUE"""),"boAt Xtend Smartwatch with Alexa Built-in, 1.69” HD Display, Multiple Watch Faces, Stress Monitor, Heart &amp; SpO2 Monitoring, 14 Sports Modes, Sleep Monitor, 5 ATM &amp; 7 Days Battery(Charcoal Black)")</f>
        <v>boAt Xtend Smartwatch with Alexa Built-in, 1.69” HD Display, Multiple Watch Faces, Stress Monitor, Heart &amp; SpO2 Monitoring, 14 Sports Modes, Sleep Monitor, 5 ATM &amp; 7 Days Battery(Charcoal Black)</v>
      </c>
      <c r="L412" s="17" t="str">
        <f>IFERROR(__xludf.DUMMYFUNCTION("""COMPUTED_VALUE"""),"Electronics|WearableTechnology|SmartWatches")</f>
        <v>Electronics|WearableTechnology|SmartWatches</v>
      </c>
      <c r="M412" s="23">
        <f>IFERROR(__xludf.DUMMYFUNCTION("""COMPUTED_VALUE"""),2299.0)</f>
        <v>2299</v>
      </c>
      <c r="N412" s="23">
        <f>IFERROR(__xludf.DUMMYFUNCTION("""COMPUTED_VALUE"""),7990.0)</f>
        <v>7990</v>
      </c>
      <c r="O412" s="24">
        <f>IFERROR(__xludf.DUMMYFUNCTION("""COMPUTED_VALUE"""),0.71)</f>
        <v>0.71</v>
      </c>
      <c r="P412" s="17">
        <f>IFERROR(__xludf.DUMMYFUNCTION("""COMPUTED_VALUE"""),4.2)</f>
        <v>4.2</v>
      </c>
      <c r="Q412" s="25">
        <f>IFERROR(__xludf.DUMMYFUNCTION("""COMPUTED_VALUE"""),69619.0)</f>
        <v>69619</v>
      </c>
    </row>
    <row r="413">
      <c r="A413" s="7" t="s">
        <v>416</v>
      </c>
      <c r="B413" s="7" t="s">
        <v>380</v>
      </c>
      <c r="C413" s="8">
        <v>16999.0</v>
      </c>
      <c r="D413" s="8">
        <v>24999.0</v>
      </c>
      <c r="E413" s="19">
        <v>0.32</v>
      </c>
      <c r="F413" s="10">
        <v>4.1</v>
      </c>
      <c r="G413" s="11">
        <v>22318.0</v>
      </c>
      <c r="K413" s="17" t="str">
        <f>IFERROR(__xludf.DUMMYFUNCTION("""COMPUTED_VALUE"""),"boAt Rockerz 330 in-Ear Bluetooth Neckband with Upto 30 Hours Playtime, ASAP  Charge, Signature Sound, Dual Pairing &amp; IPX5 with Mic (Active Black)")</f>
        <v>boAt Rockerz 330 in-Ear Bluetooth Neckband with Upto 30 Hours Playtime, ASAP  Charge, Signature Sound, Dual Pairing &amp; IPX5 with Mic (Active Black)</v>
      </c>
      <c r="L413" s="17" t="str">
        <f>IFERROR(__xludf.DUMMYFUNCTION("""COMPUTED_VALUE"""),"Electronics|Headphones,Earbuds&amp;Accessories|Headphones|In-Ear")</f>
        <v>Electronics|Headphones,Earbuds&amp;Accessories|Headphones|In-Ear</v>
      </c>
      <c r="M413" s="23">
        <f>IFERROR(__xludf.DUMMYFUNCTION("""COMPUTED_VALUE"""),1499.0)</f>
        <v>1499</v>
      </c>
      <c r="N413" s="23">
        <f>IFERROR(__xludf.DUMMYFUNCTION("""COMPUTED_VALUE"""),3990.0)</f>
        <v>3990</v>
      </c>
      <c r="O413" s="24">
        <f>IFERROR(__xludf.DUMMYFUNCTION("""COMPUTED_VALUE"""),0.62)</f>
        <v>0.62</v>
      </c>
      <c r="P413" s="17">
        <f>IFERROR(__xludf.DUMMYFUNCTION("""COMPUTED_VALUE"""),4.1)</f>
        <v>4.1</v>
      </c>
      <c r="Q413" s="17" t="str">
        <f>IFERROR(__xludf.DUMMYFUNCTION("""COMPUTED_VALUE"""),"1,09,864")</f>
        <v>1,09,864</v>
      </c>
    </row>
    <row r="414">
      <c r="A414" s="7" t="s">
        <v>458</v>
      </c>
      <c r="B414" s="7" t="s">
        <v>450</v>
      </c>
      <c r="C414" s="8">
        <v>199.0</v>
      </c>
      <c r="D414" s="8">
        <v>499.0</v>
      </c>
      <c r="E414" s="19">
        <v>0.6</v>
      </c>
      <c r="F414" s="10">
        <v>4.1</v>
      </c>
      <c r="G414" s="11">
        <v>1786.0</v>
      </c>
      <c r="K414" s="17" t="str">
        <f>IFERROR(__xludf.DUMMYFUNCTION("""COMPUTED_VALUE"""),"Casio FX-991ES Plus-2nd Edition Scientific Calculator, Black")</f>
        <v>Casio FX-991ES Plus-2nd Edition Scientific Calculator, Black</v>
      </c>
      <c r="L414" s="17" t="str">
        <f>IFERROR(__xludf.DUMMYFUNCTION("""COMPUTED_VALUE"""),"OfficeProducts|OfficeElectronics|Calculators|Scientific")</f>
        <v>OfficeProducts|OfficeElectronics|Calculators|Scientific</v>
      </c>
      <c r="M414" s="23">
        <f>IFERROR(__xludf.DUMMYFUNCTION("""COMPUTED_VALUE"""),1295.0)</f>
        <v>1295</v>
      </c>
      <c r="N414" s="23">
        <f>IFERROR(__xludf.DUMMYFUNCTION("""COMPUTED_VALUE"""),1295.0)</f>
        <v>1295</v>
      </c>
      <c r="O414" s="24">
        <f>IFERROR(__xludf.DUMMYFUNCTION("""COMPUTED_VALUE"""),0.0)</f>
        <v>0</v>
      </c>
      <c r="P414" s="17">
        <f>IFERROR(__xludf.DUMMYFUNCTION("""COMPUTED_VALUE"""),4.5)</f>
        <v>4.5</v>
      </c>
      <c r="Q414" s="25">
        <f>IFERROR(__xludf.DUMMYFUNCTION("""COMPUTED_VALUE"""),5760.0)</f>
        <v>5760</v>
      </c>
    </row>
    <row r="415">
      <c r="A415" s="7" t="s">
        <v>459</v>
      </c>
      <c r="B415" s="7" t="s">
        <v>377</v>
      </c>
      <c r="C415" s="8">
        <v>999.0</v>
      </c>
      <c r="D415" s="8">
        <v>1599.0</v>
      </c>
      <c r="E415" s="19">
        <v>0.38</v>
      </c>
      <c r="F415" s="10">
        <v>4.0</v>
      </c>
      <c r="G415" s="11">
        <v>7222.0</v>
      </c>
      <c r="K415" s="17" t="str">
        <f>IFERROR(__xludf.DUMMYFUNCTION("""COMPUTED_VALUE"""),"TP-Link AC750 Wifi Range Extender | Up to 750Mbps | Dual Band WiFi Extender, Repeater, Wifi Signal Booster, Access Point| Easy Set-Up | Extends Wifi to Smart Home &amp; Alexa Devices (RE200)")</f>
        <v>TP-Link AC750 Wifi Range Extender | Up to 750Mbps | Dual Band WiFi Extender, Repeater, Wifi Signal Booster, Access Point| Easy Set-Up | Extends Wifi to Smart Home &amp; Alexa Devices (RE200)</v>
      </c>
      <c r="L415" s="17" t="str">
        <f>IFERROR(__xludf.DUMMYFUNCTION("""COMPUTED_VALUE"""),"Computers&amp;Accessories|NetworkingDevices|Repeaters&amp;Extenders")</f>
        <v>Computers&amp;Accessories|NetworkingDevices|Repeaters&amp;Extenders</v>
      </c>
      <c r="M415" s="23">
        <f>IFERROR(__xludf.DUMMYFUNCTION("""COMPUTED_VALUE"""),1889.0)</f>
        <v>1889</v>
      </c>
      <c r="N415" s="23">
        <f>IFERROR(__xludf.DUMMYFUNCTION("""COMPUTED_VALUE"""),5499.0)</f>
        <v>5499</v>
      </c>
      <c r="O415" s="24">
        <f>IFERROR(__xludf.DUMMYFUNCTION("""COMPUTED_VALUE"""),0.66)</f>
        <v>0.66</v>
      </c>
      <c r="P415" s="17">
        <f>IFERROR(__xludf.DUMMYFUNCTION("""COMPUTED_VALUE"""),4.2)</f>
        <v>4.2</v>
      </c>
      <c r="Q415" s="25">
        <f>IFERROR(__xludf.DUMMYFUNCTION("""COMPUTED_VALUE"""),49551.0)</f>
        <v>49551</v>
      </c>
    </row>
    <row r="416">
      <c r="A416" s="7" t="s">
        <v>460</v>
      </c>
      <c r="B416" s="7" t="s">
        <v>389</v>
      </c>
      <c r="C416" s="8">
        <v>1299.0</v>
      </c>
      <c r="D416" s="8">
        <v>1599.0</v>
      </c>
      <c r="E416" s="19">
        <v>0.19</v>
      </c>
      <c r="F416" s="10">
        <v>4.0</v>
      </c>
      <c r="G416" s="7" t="s">
        <v>390</v>
      </c>
      <c r="K416" s="17" t="str">
        <f>IFERROR(__xludf.DUMMYFUNCTION("""COMPUTED_VALUE"""),"boAt Bassheads 242 in Ear Wired Earphones with Mic(Blue)")</f>
        <v>boAt Bassheads 242 in Ear Wired Earphones with Mic(Blue)</v>
      </c>
      <c r="L416" s="17" t="str">
        <f>IFERROR(__xludf.DUMMYFUNCTION("""COMPUTED_VALUE"""),"Electronics|Headphones,Earbuds&amp;Accessories|Headphones|In-Ear")</f>
        <v>Electronics|Headphones,Earbuds&amp;Accessories|Headphones|In-Ear</v>
      </c>
      <c r="M416" s="23">
        <f>IFERROR(__xludf.DUMMYFUNCTION("""COMPUTED_VALUE"""),455.0)</f>
        <v>455</v>
      </c>
      <c r="N416" s="23">
        <f>IFERROR(__xludf.DUMMYFUNCTION("""COMPUTED_VALUE"""),1490.0)</f>
        <v>1490</v>
      </c>
      <c r="O416" s="24">
        <f>IFERROR(__xludf.DUMMYFUNCTION("""COMPUTED_VALUE"""),0.69)</f>
        <v>0.69</v>
      </c>
      <c r="P416" s="17">
        <f>IFERROR(__xludf.DUMMYFUNCTION("""COMPUTED_VALUE"""),4.1)</f>
        <v>4.1</v>
      </c>
      <c r="Q416" s="17" t="str">
        <f>IFERROR(__xludf.DUMMYFUNCTION("""COMPUTED_VALUE"""),"1,61,677")</f>
        <v>1,61,677</v>
      </c>
    </row>
    <row r="417">
      <c r="A417" s="7" t="s">
        <v>461</v>
      </c>
      <c r="B417" s="7" t="s">
        <v>393</v>
      </c>
      <c r="C417" s="8">
        <v>599.0</v>
      </c>
      <c r="D417" s="8">
        <v>1800.0</v>
      </c>
      <c r="E417" s="19">
        <v>0.67</v>
      </c>
      <c r="F417" s="10">
        <v>3.5</v>
      </c>
      <c r="G417" s="11">
        <v>83996.0</v>
      </c>
      <c r="K417" s="17" t="str">
        <f>IFERROR(__xludf.DUMMYFUNCTION("""COMPUTED_VALUE"""),"Samsung EVO Plus 128GB microSDXC UHS-I U3 130MB/s Full HD &amp; 4K UHD Memory Card with Adapter (MB-MC128KA), Blue")</f>
        <v>Samsung EVO Plus 128GB microSDXC UHS-I U3 130MB/s Full HD &amp; 4K UHD Memory Card with Adapter (MB-MC128KA), Blue</v>
      </c>
      <c r="L417" s="17" t="str">
        <f>IFERROR(__xludf.DUMMYFUNCTION("""COMPUTED_VALUE"""),"Electronics|Accessories|MemoryCards|MicroSD")</f>
        <v>Electronics|Accessories|MemoryCards|MicroSD</v>
      </c>
      <c r="M417" s="23">
        <f>IFERROR(__xludf.DUMMYFUNCTION("""COMPUTED_VALUE"""),1059.0)</f>
        <v>1059</v>
      </c>
      <c r="N417" s="23">
        <f>IFERROR(__xludf.DUMMYFUNCTION("""COMPUTED_VALUE"""),3999.0)</f>
        <v>3999</v>
      </c>
      <c r="O417" s="24">
        <f>IFERROR(__xludf.DUMMYFUNCTION("""COMPUTED_VALUE"""),0.74)</f>
        <v>0.74</v>
      </c>
      <c r="P417" s="17">
        <f>IFERROR(__xludf.DUMMYFUNCTION("""COMPUTED_VALUE"""),4.3)</f>
        <v>4.3</v>
      </c>
      <c r="Q417" s="17" t="str">
        <f>IFERROR(__xludf.DUMMYFUNCTION("""COMPUTED_VALUE"""),"1,40,035")</f>
        <v>1,40,035</v>
      </c>
    </row>
    <row r="418">
      <c r="A418" s="7" t="s">
        <v>462</v>
      </c>
      <c r="B418" s="7" t="s">
        <v>386</v>
      </c>
      <c r="C418" s="8">
        <v>599.0</v>
      </c>
      <c r="D418" s="8">
        <v>1899.0</v>
      </c>
      <c r="E418" s="19">
        <v>0.68</v>
      </c>
      <c r="F418" s="10">
        <v>4.3</v>
      </c>
      <c r="G418" s="7" t="s">
        <v>443</v>
      </c>
      <c r="K418" s="17" t="str">
        <f>IFERROR(__xludf.DUMMYFUNCTION("""COMPUTED_VALUE"""),"SanDisk Ultra 128 GB USB 3.0 Pen Drive (Black)")</f>
        <v>SanDisk Ultra 128 GB USB 3.0 Pen Drive (Black)</v>
      </c>
      <c r="L418" s="17" t="str">
        <f>IFERROR(__xludf.DUMMYFUNCTION("""COMPUTED_VALUE"""),"Computers&amp;Accessories|ExternalDevices&amp;DataStorage|PenDrives")</f>
        <v>Computers&amp;Accessories|ExternalDevices&amp;DataStorage|PenDrives</v>
      </c>
      <c r="M418" s="23">
        <f>IFERROR(__xludf.DUMMYFUNCTION("""COMPUTED_VALUE"""),889.0)</f>
        <v>889</v>
      </c>
      <c r="N418" s="23">
        <f>IFERROR(__xludf.DUMMYFUNCTION("""COMPUTED_VALUE"""),2500.0)</f>
        <v>2500</v>
      </c>
      <c r="O418" s="24">
        <f>IFERROR(__xludf.DUMMYFUNCTION("""COMPUTED_VALUE"""),0.64)</f>
        <v>0.64</v>
      </c>
      <c r="P418" s="17">
        <f>IFERROR(__xludf.DUMMYFUNCTION("""COMPUTED_VALUE"""),4.3)</f>
        <v>4.3</v>
      </c>
      <c r="Q418" s="25">
        <f>IFERROR(__xludf.DUMMYFUNCTION("""COMPUTED_VALUE"""),55747.0)</f>
        <v>55747</v>
      </c>
    </row>
    <row r="419">
      <c r="A419" s="7" t="s">
        <v>463</v>
      </c>
      <c r="B419" s="7" t="s">
        <v>377</v>
      </c>
      <c r="C419" s="8">
        <v>1799.0</v>
      </c>
      <c r="D419" s="8">
        <v>2499.0</v>
      </c>
      <c r="E419" s="19">
        <v>0.28</v>
      </c>
      <c r="F419" s="10">
        <v>4.1</v>
      </c>
      <c r="G419" s="11">
        <v>18678.0</v>
      </c>
      <c r="K419" s="17" t="str">
        <f>IFERROR(__xludf.DUMMYFUNCTION("""COMPUTED_VALUE"""),"Dell WM118 Wireless Mouse, 2.4 Ghz with USB Nano Receiver, Optical Tracking, 12-Months Battery Life, Ambidextrous, Pc/Mac/Laptop - Black.")</f>
        <v>Dell WM118 Wireless Mouse, 2.4 Ghz with USB Nano Receiver, Optical Tracking, 12-Months Battery Life, Ambidextrous, Pc/Mac/Laptop - Black.</v>
      </c>
      <c r="L419" s="17" t="str">
        <f>IFERROR(__xludf.DUMMYFUNCTION("""COMPUTED_VALUE"""),"Computers&amp;Accessories|Accessories&amp;Peripherals|Keyboards,Mice&amp;InputDevices|Mice")</f>
        <v>Computers&amp;Accessories|Accessories&amp;Peripherals|Keyboards,Mice&amp;InputDevices|Mice</v>
      </c>
      <c r="M419" s="23">
        <f>IFERROR(__xludf.DUMMYFUNCTION("""COMPUTED_VALUE"""),569.0)</f>
        <v>569</v>
      </c>
      <c r="N419" s="23">
        <f>IFERROR(__xludf.DUMMYFUNCTION("""COMPUTED_VALUE"""),1299.0)</f>
        <v>1299</v>
      </c>
      <c r="O419" s="24">
        <f>IFERROR(__xludf.DUMMYFUNCTION("""COMPUTED_VALUE"""),0.56)</f>
        <v>0.56</v>
      </c>
      <c r="P419" s="17">
        <f>IFERROR(__xludf.DUMMYFUNCTION("""COMPUTED_VALUE"""),4.4)</f>
        <v>4.4</v>
      </c>
      <c r="Q419" s="25">
        <f>IFERROR(__xludf.DUMMYFUNCTION("""COMPUTED_VALUE"""),9275.0)</f>
        <v>9275</v>
      </c>
    </row>
    <row r="420">
      <c r="A420" s="7" t="s">
        <v>22</v>
      </c>
      <c r="B420" s="7" t="s">
        <v>15</v>
      </c>
      <c r="C420" s="8">
        <v>176.63</v>
      </c>
      <c r="D420" s="8">
        <v>499.0</v>
      </c>
      <c r="E420" s="19">
        <v>0.65</v>
      </c>
      <c r="F420" s="10">
        <v>4.1</v>
      </c>
      <c r="G420" s="11">
        <v>15189.0</v>
      </c>
      <c r="K420" s="17" t="str">
        <f>IFERROR(__xludf.DUMMYFUNCTION("""COMPUTED_VALUE"""),"Eveready 1015 Carbon Zinc AA Battery - 10 Pieces")</f>
        <v>Eveready 1015 Carbon Zinc AA Battery - 10 Pieces</v>
      </c>
      <c r="L420" s="17" t="str">
        <f>IFERROR(__xludf.DUMMYFUNCTION("""COMPUTED_VALUE"""),"Electronics|GeneralPurposeBatteries&amp;BatteryChargers|DisposableBatteries")</f>
        <v>Electronics|GeneralPurposeBatteries&amp;BatteryChargers|DisposableBatteries</v>
      </c>
      <c r="M420" s="23">
        <f>IFERROR(__xludf.DUMMYFUNCTION("""COMPUTED_VALUE"""),149.0)</f>
        <v>149</v>
      </c>
      <c r="N420" s="23">
        <f>IFERROR(__xludf.DUMMYFUNCTION("""COMPUTED_VALUE"""),180.0)</f>
        <v>180</v>
      </c>
      <c r="O420" s="24">
        <f>IFERROR(__xludf.DUMMYFUNCTION("""COMPUTED_VALUE"""),0.17)</f>
        <v>0.17</v>
      </c>
      <c r="P420" s="17">
        <f>IFERROR(__xludf.DUMMYFUNCTION("""COMPUTED_VALUE"""),4.4)</f>
        <v>4.4</v>
      </c>
      <c r="Q420" s="17">
        <f>IFERROR(__xludf.DUMMYFUNCTION("""COMPUTED_VALUE"""),644.0)</f>
        <v>644</v>
      </c>
    </row>
    <row r="421">
      <c r="A421" s="7" t="s">
        <v>464</v>
      </c>
      <c r="B421" s="7" t="s">
        <v>380</v>
      </c>
      <c r="C421" s="8">
        <v>10999.0</v>
      </c>
      <c r="D421" s="8">
        <v>14999.0</v>
      </c>
      <c r="E421" s="19">
        <v>0.27</v>
      </c>
      <c r="F421" s="10">
        <v>4.1</v>
      </c>
      <c r="G421" s="11">
        <v>18998.0</v>
      </c>
      <c r="K421" s="17" t="str">
        <f>IFERROR(__xludf.DUMMYFUNCTION("""COMPUTED_VALUE"""),"Zebronics Zeb-Transformer-M Optical USB Gaming Mouse with LED Effect(Black)")</f>
        <v>Zebronics Zeb-Transformer-M Optical USB Gaming Mouse with LED Effect(Black)</v>
      </c>
      <c r="L421" s="17" t="str">
        <f>IFERROR(__xludf.DUMMYFUNCTION("""COMPUTED_VALUE"""),"Computers&amp;Accessories|Accessories&amp;Peripherals|PCGamingPeripherals|GamingMice")</f>
        <v>Computers&amp;Accessories|Accessories&amp;Peripherals|PCGamingPeripherals|GamingMice</v>
      </c>
      <c r="M421" s="23">
        <f>IFERROR(__xludf.DUMMYFUNCTION("""COMPUTED_VALUE"""),399.0)</f>
        <v>399</v>
      </c>
      <c r="N421" s="23">
        <f>IFERROR(__xludf.DUMMYFUNCTION("""COMPUTED_VALUE"""),549.0)</f>
        <v>549</v>
      </c>
      <c r="O421" s="24">
        <f>IFERROR(__xludf.DUMMYFUNCTION("""COMPUTED_VALUE"""),0.27)</f>
        <v>0.27</v>
      </c>
      <c r="P421" s="17">
        <f>IFERROR(__xludf.DUMMYFUNCTION("""COMPUTED_VALUE"""),4.4)</f>
        <v>4.4</v>
      </c>
      <c r="Q421" s="25">
        <f>IFERROR(__xludf.DUMMYFUNCTION("""COMPUTED_VALUE"""),18139.0)</f>
        <v>18139</v>
      </c>
    </row>
    <row r="422">
      <c r="A422" s="7" t="s">
        <v>465</v>
      </c>
      <c r="B422" s="7" t="s">
        <v>373</v>
      </c>
      <c r="C422" s="8">
        <v>2999.0</v>
      </c>
      <c r="D422" s="8">
        <v>7990.0</v>
      </c>
      <c r="E422" s="19">
        <v>0.62</v>
      </c>
      <c r="F422" s="10">
        <v>4.1</v>
      </c>
      <c r="G422" s="11">
        <v>48449.0</v>
      </c>
      <c r="K422" s="17" t="str">
        <f>IFERROR(__xludf.DUMMYFUNCTION("""COMPUTED_VALUE"""),"PIDILITE Fevicryl Acrylic Colours Sunflower Kit (10 Colors x 15 ml) DIY Paint, Rich Pigment, Non-Craking Paint for Canvas, Wood, Leather, Earthenware, Metal, Diwali Gifts for Diwali")</f>
        <v>PIDILITE Fevicryl Acrylic Colours Sunflower Kit (10 Colors x 15 ml) DIY Paint, Rich Pigment, Non-Craking Paint for Canvas, Wood, Leather, Earthenware, Metal, Diwali Gifts for Diwali</v>
      </c>
      <c r="L422" s="17" t="str">
        <f>IFERROR(__xludf.DUMMYFUNCTION("""COMPUTED_VALUE"""),"Home&amp;Kitchen|CraftMaterials|PaintingMaterials|Paints")</f>
        <v>Home&amp;Kitchen|CraftMaterials|PaintingMaterials|Paints</v>
      </c>
      <c r="M422" s="23">
        <f>IFERROR(__xludf.DUMMYFUNCTION("""COMPUTED_VALUE"""),191.0)</f>
        <v>191</v>
      </c>
      <c r="N422" s="23">
        <f>IFERROR(__xludf.DUMMYFUNCTION("""COMPUTED_VALUE"""),225.0)</f>
        <v>225</v>
      </c>
      <c r="O422" s="24">
        <f>IFERROR(__xludf.DUMMYFUNCTION("""COMPUTED_VALUE"""),0.15)</f>
        <v>0.15</v>
      </c>
      <c r="P422" s="17">
        <f>IFERROR(__xludf.DUMMYFUNCTION("""COMPUTED_VALUE"""),4.4)</f>
        <v>4.4</v>
      </c>
      <c r="Q422" s="25">
        <f>IFERROR(__xludf.DUMMYFUNCTION("""COMPUTED_VALUE"""),7203.0)</f>
        <v>7203</v>
      </c>
    </row>
    <row r="423">
      <c r="A423" s="7" t="s">
        <v>466</v>
      </c>
      <c r="B423" s="7" t="s">
        <v>373</v>
      </c>
      <c r="C423" s="8">
        <v>1999.0</v>
      </c>
      <c r="D423" s="8">
        <v>7990.0</v>
      </c>
      <c r="E423" s="19">
        <v>0.75</v>
      </c>
      <c r="F423" s="10">
        <v>3.8</v>
      </c>
      <c r="G423" s="11">
        <v>17831.0</v>
      </c>
      <c r="K423" s="17" t="str">
        <f>IFERROR(__xludf.DUMMYFUNCTION("""COMPUTED_VALUE"""),"STRIFF Mpad Mouse Mat 230X190X3mm Gaming Mouse Pad, Non-Slip Rubber Base, Waterproof Surface, Premium-Textured, Compatible with Laser and Optical Mice(Universe Black)")</f>
        <v>STRIFF Mpad Mouse Mat 230X190X3mm Gaming Mouse Pad, Non-Slip Rubber Base, Waterproof Surface, Premium-Textured, Compatible with Laser and Optical Mice(Universe Black)</v>
      </c>
      <c r="L423"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423" s="23">
        <f>IFERROR(__xludf.DUMMYFUNCTION("""COMPUTED_VALUE"""),129.0)</f>
        <v>129</v>
      </c>
      <c r="N423" s="23">
        <f>IFERROR(__xludf.DUMMYFUNCTION("""COMPUTED_VALUE"""),999.0)</f>
        <v>999</v>
      </c>
      <c r="O423" s="24">
        <f>IFERROR(__xludf.DUMMYFUNCTION("""COMPUTED_VALUE"""),0.87)</f>
        <v>0.87</v>
      </c>
      <c r="P423" s="17">
        <f>IFERROR(__xludf.DUMMYFUNCTION("""COMPUTED_VALUE"""),4.2)</f>
        <v>4.2</v>
      </c>
      <c r="Q423" s="17">
        <f>IFERROR(__xludf.DUMMYFUNCTION("""COMPUTED_VALUE"""),491.0)</f>
        <v>491</v>
      </c>
    </row>
    <row r="424">
      <c r="A424" s="7" t="s">
        <v>23</v>
      </c>
      <c r="B424" s="7" t="s">
        <v>15</v>
      </c>
      <c r="C424" s="8">
        <v>229.0</v>
      </c>
      <c r="D424" s="8">
        <v>299.0</v>
      </c>
      <c r="E424" s="19">
        <v>0.23</v>
      </c>
      <c r="F424" s="10">
        <v>4.3</v>
      </c>
      <c r="G424" s="11">
        <v>30411.0</v>
      </c>
      <c r="K424" s="17" t="str">
        <f>IFERROR(__xludf.DUMMYFUNCTION("""COMPUTED_VALUE"""),"Gizga Essentials Hard Drive Case Shell, 6.35cm/2.5-inch, Portable Storage Organizer Bag for Earphone USB Cable Power Bank Mobile Charger Digital Gadget Hard Disk, Water Resistance Material, Black")</f>
        <v>Gizga Essentials Hard Drive Case Shell, 6.35cm/2.5-inch, Portable Storage Organizer Bag for Earphone USB Cable Power Bank Mobile Charger Digital Gadget Hard Disk, Water Resistance Material, Black</v>
      </c>
      <c r="L424" s="17" t="str">
        <f>IFERROR(__xludf.DUMMYFUNCTION("""COMPUTED_VALUE"""),"Computers&amp;Accessories|Accessories&amp;Peripherals|HardDiskBags")</f>
        <v>Computers&amp;Accessories|Accessories&amp;Peripherals|HardDiskBags</v>
      </c>
      <c r="M424" s="23">
        <f>IFERROR(__xludf.DUMMYFUNCTION("""COMPUTED_VALUE"""),199.0)</f>
        <v>199</v>
      </c>
      <c r="N424" s="23">
        <f>IFERROR(__xludf.DUMMYFUNCTION("""COMPUTED_VALUE"""),599.0)</f>
        <v>599</v>
      </c>
      <c r="O424" s="24">
        <f>IFERROR(__xludf.DUMMYFUNCTION("""COMPUTED_VALUE"""),0.67)</f>
        <v>0.67</v>
      </c>
      <c r="P424" s="17">
        <f>IFERROR(__xludf.DUMMYFUNCTION("""COMPUTED_VALUE"""),4.5)</f>
        <v>4.5</v>
      </c>
      <c r="Q424" s="25">
        <f>IFERROR(__xludf.DUMMYFUNCTION("""COMPUTED_VALUE"""),13568.0)</f>
        <v>13568</v>
      </c>
    </row>
    <row r="425">
      <c r="A425" s="7" t="s">
        <v>27</v>
      </c>
      <c r="B425" s="7" t="s">
        <v>15</v>
      </c>
      <c r="C425" s="8">
        <v>199.0</v>
      </c>
      <c r="D425" s="8">
        <v>299.0</v>
      </c>
      <c r="E425" s="19">
        <v>0.33</v>
      </c>
      <c r="F425" s="10">
        <v>4.0</v>
      </c>
      <c r="G425" s="11">
        <v>43994.0</v>
      </c>
      <c r="K425" s="17" t="str">
        <f>IFERROR(__xludf.DUMMYFUNCTION("""COMPUTED_VALUE"""),"Ambrane 20000mAh Power Bank with 20W Fast Charging, Triple Output, Power Delivery, Type C Input, Made in India, Multi-Layer Protection, Li-Polymer + Type C Cable (Stylo-20k, Black)")</f>
        <v>Ambrane 20000mAh Power Bank with 20W Fast Charging, Triple Output, Power Delivery, Type C Input, Made in India, Multi-Layer Protection, Li-Polymer + Type C Cable (Stylo-20k, Black)</v>
      </c>
      <c r="L425" s="17" t="str">
        <f>IFERROR(__xludf.DUMMYFUNCTION("""COMPUTED_VALUE"""),"Electronics|Mobiles&amp;Accessories|MobileAccessories|Chargers|PowerBanks")</f>
        <v>Electronics|Mobiles&amp;Accessories|MobileAccessories|Chargers|PowerBanks</v>
      </c>
      <c r="M425" s="23">
        <f>IFERROR(__xludf.DUMMYFUNCTION("""COMPUTED_VALUE"""),1799.0)</f>
        <v>1799</v>
      </c>
      <c r="N425" s="23">
        <f>IFERROR(__xludf.DUMMYFUNCTION("""COMPUTED_VALUE"""),2499.0)</f>
        <v>2499</v>
      </c>
      <c r="O425" s="24">
        <f>IFERROR(__xludf.DUMMYFUNCTION("""COMPUTED_VALUE"""),0.28)</f>
        <v>0.28</v>
      </c>
      <c r="P425" s="17">
        <f>IFERROR(__xludf.DUMMYFUNCTION("""COMPUTED_VALUE"""),4.1)</f>
        <v>4.1</v>
      </c>
      <c r="Q425" s="25">
        <f>IFERROR(__xludf.DUMMYFUNCTION("""COMPUTED_VALUE"""),18678.0)</f>
        <v>18678</v>
      </c>
    </row>
    <row r="426">
      <c r="A426" s="7" t="s">
        <v>467</v>
      </c>
      <c r="B426" s="7" t="s">
        <v>409</v>
      </c>
      <c r="C426" s="8">
        <v>649.0</v>
      </c>
      <c r="D426" s="8">
        <v>999.0</v>
      </c>
      <c r="E426" s="19">
        <v>0.35</v>
      </c>
      <c r="F426" s="10">
        <v>4.2</v>
      </c>
      <c r="G426" s="11">
        <v>1315.0</v>
      </c>
      <c r="K426" s="17" t="str">
        <f>IFERROR(__xludf.DUMMYFUNCTION("""COMPUTED_VALUE"""),"boAt Micro USB 55 Tangle-free, Sturdy Micro USB Cable with 3A Fast Charging &amp; 480mbps Data Transmission (Black)")</f>
        <v>boAt Micro USB 55 Tangle-free, Sturdy Micro USB Cable with 3A Fast Charging &amp; 480mbps Data Transmission (Black)</v>
      </c>
      <c r="L426" s="17" t="str">
        <f>IFERROR(__xludf.DUMMYFUNCTION("""COMPUTED_VALUE"""),"Computers&amp;Accessories|Accessories&amp;Peripherals|Cables&amp;Accessories|Cables|USBCables")</f>
        <v>Computers&amp;Accessories|Accessories&amp;Peripherals|Cables&amp;Accessories|Cables|USBCables</v>
      </c>
      <c r="M426" s="23">
        <f>IFERROR(__xludf.DUMMYFUNCTION("""COMPUTED_VALUE"""),176.63)</f>
        <v>176.63</v>
      </c>
      <c r="N426" s="23">
        <f>IFERROR(__xludf.DUMMYFUNCTION("""COMPUTED_VALUE"""),499.0)</f>
        <v>499</v>
      </c>
      <c r="O426" s="24">
        <f>IFERROR(__xludf.DUMMYFUNCTION("""COMPUTED_VALUE"""),0.65)</f>
        <v>0.65</v>
      </c>
      <c r="P426" s="17">
        <f>IFERROR(__xludf.DUMMYFUNCTION("""COMPUTED_VALUE"""),4.1)</f>
        <v>4.1</v>
      </c>
      <c r="Q426" s="25">
        <f>IFERROR(__xludf.DUMMYFUNCTION("""COMPUTED_VALUE"""),15189.0)</f>
        <v>15189</v>
      </c>
    </row>
    <row r="427">
      <c r="A427" s="7" t="s">
        <v>445</v>
      </c>
      <c r="B427" s="7" t="s">
        <v>380</v>
      </c>
      <c r="C427" s="8">
        <v>13999.0</v>
      </c>
      <c r="D427" s="8">
        <v>19499.0</v>
      </c>
      <c r="E427" s="19">
        <v>0.28</v>
      </c>
      <c r="F427" s="10">
        <v>4.1</v>
      </c>
      <c r="G427" s="11">
        <v>18998.0</v>
      </c>
      <c r="K427" s="17" t="str">
        <f>IFERROR(__xludf.DUMMYFUNCTION("""COMPUTED_VALUE"""),"Casio FX-82MS 2nd Gen Non-Programmable Scientific Calculator, 240 Functions and 2-line Display, Black")</f>
        <v>Casio FX-82MS 2nd Gen Non-Programmable Scientific Calculator, 240 Functions and 2-line Display, Black</v>
      </c>
      <c r="L427" s="17" t="str">
        <f>IFERROR(__xludf.DUMMYFUNCTION("""COMPUTED_VALUE"""),"OfficeProducts|OfficeElectronics|Calculators|Scientific")</f>
        <v>OfficeProducts|OfficeElectronics|Calculators|Scientific</v>
      </c>
      <c r="M427" s="23">
        <f>IFERROR(__xludf.DUMMYFUNCTION("""COMPUTED_VALUE"""),522.0)</f>
        <v>522</v>
      </c>
      <c r="N427" s="23">
        <f>IFERROR(__xludf.DUMMYFUNCTION("""COMPUTED_VALUE"""),550.0)</f>
        <v>550</v>
      </c>
      <c r="O427" s="24">
        <f>IFERROR(__xludf.DUMMYFUNCTION("""COMPUTED_VALUE"""),0.05)</f>
        <v>0.05</v>
      </c>
      <c r="P427" s="17">
        <f>IFERROR(__xludf.DUMMYFUNCTION("""COMPUTED_VALUE"""),4.4)</f>
        <v>4.4</v>
      </c>
      <c r="Q427" s="25">
        <f>IFERROR(__xludf.DUMMYFUNCTION("""COMPUTED_VALUE"""),12179.0)</f>
        <v>12179</v>
      </c>
    </row>
    <row r="428">
      <c r="A428" s="7" t="s">
        <v>468</v>
      </c>
      <c r="B428" s="7" t="s">
        <v>469</v>
      </c>
      <c r="C428" s="8">
        <v>119.0</v>
      </c>
      <c r="D428" s="8">
        <v>299.0</v>
      </c>
      <c r="E428" s="19">
        <v>0.6</v>
      </c>
      <c r="F428" s="10">
        <v>4.1</v>
      </c>
      <c r="G428" s="11">
        <v>5999.0</v>
      </c>
      <c r="K428" s="17" t="str">
        <f>IFERROR(__xludf.DUMMYFUNCTION("""COMPUTED_VALUE"""),"HP X200 Wireless Mouse with 2.4 GHz Wireless connectivity, Adjustable DPI up to 1600, ambidextrous Design, and 18-Month Long Battery Life. 3-Years Warranty (6VY95AA)")</f>
        <v>HP X200 Wireless Mouse with 2.4 GHz Wireless connectivity, Adjustable DPI up to 1600, ambidextrous Design, and 18-Month Long Battery Life. 3-Years Warranty (6VY95AA)</v>
      </c>
      <c r="L428" s="17" t="str">
        <f>IFERROR(__xludf.DUMMYFUNCTION("""COMPUTED_VALUE"""),"Computers&amp;Accessories|Accessories&amp;Peripherals|Keyboards,Mice&amp;InputDevices|Mice")</f>
        <v>Computers&amp;Accessories|Accessories&amp;Peripherals|Keyboards,Mice&amp;InputDevices|Mice</v>
      </c>
      <c r="M428" s="23">
        <f>IFERROR(__xludf.DUMMYFUNCTION("""COMPUTED_VALUE"""),681.0)</f>
        <v>681</v>
      </c>
      <c r="N428" s="23">
        <f>IFERROR(__xludf.DUMMYFUNCTION("""COMPUTED_VALUE"""),1199.0)</f>
        <v>1199</v>
      </c>
      <c r="O428" s="24">
        <f>IFERROR(__xludf.DUMMYFUNCTION("""COMPUTED_VALUE"""),0.43)</f>
        <v>0.43</v>
      </c>
      <c r="P428" s="17">
        <f>IFERROR(__xludf.DUMMYFUNCTION("""COMPUTED_VALUE"""),4.2)</f>
        <v>4.2</v>
      </c>
      <c r="Q428" s="25">
        <f>IFERROR(__xludf.DUMMYFUNCTION("""COMPUTED_VALUE"""),8258.0)</f>
        <v>8258</v>
      </c>
    </row>
    <row r="429">
      <c r="A429" s="7" t="s">
        <v>470</v>
      </c>
      <c r="B429" s="7" t="s">
        <v>380</v>
      </c>
      <c r="C429" s="8">
        <v>12999.0</v>
      </c>
      <c r="D429" s="8">
        <v>17999.0</v>
      </c>
      <c r="E429" s="19">
        <v>0.28</v>
      </c>
      <c r="F429" s="10">
        <v>4.1</v>
      </c>
      <c r="G429" s="11">
        <v>50772.0</v>
      </c>
      <c r="K429" s="17" t="str">
        <f>IFERROR(__xludf.DUMMYFUNCTION("""COMPUTED_VALUE"""),"Oakter Mini UPS for 12V WiFi Router Broadband Modem | Backup Upto 4 Hours | WiFi Router UPS Power Backup During Power Cuts | UPS for 12V Router Broadband Modem | Current Surge &amp; Deep Discharge Protection")</f>
        <v>Oakter Mini UPS for 12V WiFi Router Broadband Modem | Backup Upto 4 Hours | WiFi Router UPS Power Backup During Power Cuts | UPS for 12V Router Broadband Modem | Current Surge &amp; Deep Discharge Protection</v>
      </c>
      <c r="L429" s="17" t="str">
        <f>IFERROR(__xludf.DUMMYFUNCTION("""COMPUTED_VALUE"""),"Computers&amp;Accessories|NetworkingDevices")</f>
        <v>Computers&amp;Accessories|NetworkingDevices</v>
      </c>
      <c r="M429" s="23">
        <f>IFERROR(__xludf.DUMMYFUNCTION("""COMPUTED_VALUE"""),1199.0)</f>
        <v>1199</v>
      </c>
      <c r="N429" s="23">
        <f>IFERROR(__xludf.DUMMYFUNCTION("""COMPUTED_VALUE"""),3490.0)</f>
        <v>3490</v>
      </c>
      <c r="O429" s="24">
        <f>IFERROR(__xludf.DUMMYFUNCTION("""COMPUTED_VALUE"""),0.66)</f>
        <v>0.66</v>
      </c>
      <c r="P429" s="17">
        <f>IFERROR(__xludf.DUMMYFUNCTION("""COMPUTED_VALUE"""),4.1)</f>
        <v>4.1</v>
      </c>
      <c r="Q429" s="25">
        <f>IFERROR(__xludf.DUMMYFUNCTION("""COMPUTED_VALUE"""),11716.0)</f>
        <v>11716</v>
      </c>
    </row>
    <row r="430">
      <c r="A430" s="7" t="s">
        <v>28</v>
      </c>
      <c r="B430" s="7" t="s">
        <v>15</v>
      </c>
      <c r="C430" s="8">
        <v>154.0</v>
      </c>
      <c r="D430" s="8">
        <v>339.0</v>
      </c>
      <c r="E430" s="19">
        <v>0.55</v>
      </c>
      <c r="F430" s="10">
        <v>4.3</v>
      </c>
      <c r="G430" s="11">
        <v>13391.0</v>
      </c>
      <c r="K430" s="17" t="str">
        <f>IFERROR(__xludf.DUMMYFUNCTION("""COMPUTED_VALUE"""),"TP-Link Archer AC1200 Archer C6 Wi-Fi Speed Up to 867 Mbps/5 GHz + 400 Mbps/2.4 GHz, 5 Gigabit Ports, 4 External Antennas, MU-MIMO, Dual Band, WiFi Coverage with Access Point Mode, Black")</f>
        <v>TP-Link Archer AC1200 Archer C6 Wi-Fi Speed Up to 867 Mbps/5 GHz + 400 Mbps/2.4 GHz, 5 Gigabit Ports, 4 External Antennas, MU-MIMO, Dual Band, WiFi Coverage with Access Point Mode, Black</v>
      </c>
      <c r="L430" s="17" t="str">
        <f>IFERROR(__xludf.DUMMYFUNCTION("""COMPUTED_VALUE"""),"Computers&amp;Accessories|NetworkingDevices|Routers")</f>
        <v>Computers&amp;Accessories|NetworkingDevices|Routers</v>
      </c>
      <c r="M430" s="23">
        <f>IFERROR(__xludf.DUMMYFUNCTION("""COMPUTED_VALUE"""),2499.0)</f>
        <v>2499</v>
      </c>
      <c r="N430" s="23">
        <f>IFERROR(__xludf.DUMMYFUNCTION("""COMPUTED_VALUE"""),4999.0)</f>
        <v>4999</v>
      </c>
      <c r="O430" s="24">
        <f>IFERROR(__xludf.DUMMYFUNCTION("""COMPUTED_VALUE"""),0.5)</f>
        <v>0.5</v>
      </c>
      <c r="P430" s="17">
        <f>IFERROR(__xludf.DUMMYFUNCTION("""COMPUTED_VALUE"""),4.4)</f>
        <v>4.4</v>
      </c>
      <c r="Q430" s="25">
        <f>IFERROR(__xludf.DUMMYFUNCTION("""COMPUTED_VALUE"""),35024.0)</f>
        <v>35024</v>
      </c>
    </row>
    <row r="431">
      <c r="A431" s="7" t="s">
        <v>471</v>
      </c>
      <c r="B431" s="7" t="s">
        <v>380</v>
      </c>
      <c r="C431" s="8">
        <v>20999.0</v>
      </c>
      <c r="D431" s="8">
        <v>26999.0</v>
      </c>
      <c r="E431" s="19">
        <v>0.22</v>
      </c>
      <c r="F431" s="10">
        <v>3.9</v>
      </c>
      <c r="G431" s="11">
        <v>25824.0</v>
      </c>
      <c r="K431" s="17" t="str">
        <f>IFERROR(__xludf.DUMMYFUNCTION("""COMPUTED_VALUE"""),"boAt Rockerz 550 Over Ear Bluetooth Headphones with Upto 20 Hours Playback, 50MM Drivers, Soft Padded Ear Cushions and Physical Noise Isolation, Without Mic (Black)")</f>
        <v>boAt Rockerz 550 Over Ear Bluetooth Headphones with Upto 20 Hours Playback, 50MM Drivers, Soft Padded Ear Cushions and Physical Noise Isolation, Without Mic (Black)</v>
      </c>
      <c r="L431" s="17" t="str">
        <f>IFERROR(__xludf.DUMMYFUNCTION("""COMPUTED_VALUE"""),"Electronics|Headphones,Earbuds&amp;Accessories|Headphones|Over-Ear")</f>
        <v>Electronics|Headphones,Earbuds&amp;Accessories|Headphones|Over-Ear</v>
      </c>
      <c r="M431" s="23">
        <f>IFERROR(__xludf.DUMMYFUNCTION("""COMPUTED_VALUE"""),1799.0)</f>
        <v>1799</v>
      </c>
      <c r="N431" s="23">
        <f>IFERROR(__xludf.DUMMYFUNCTION("""COMPUTED_VALUE"""),4999.0)</f>
        <v>4999</v>
      </c>
      <c r="O431" s="24">
        <f>IFERROR(__xludf.DUMMYFUNCTION("""COMPUTED_VALUE"""),0.64)</f>
        <v>0.64</v>
      </c>
      <c r="P431" s="17">
        <f>IFERROR(__xludf.DUMMYFUNCTION("""COMPUTED_VALUE"""),4.1)</f>
        <v>4.1</v>
      </c>
      <c r="Q431" s="25">
        <f>IFERROR(__xludf.DUMMYFUNCTION("""COMPUTED_VALUE"""),55192.0)</f>
        <v>55192</v>
      </c>
    </row>
    <row r="432">
      <c r="A432" s="7" t="s">
        <v>472</v>
      </c>
      <c r="B432" s="7" t="s">
        <v>409</v>
      </c>
      <c r="C432" s="8">
        <v>249.0</v>
      </c>
      <c r="D432" s="8">
        <v>649.0</v>
      </c>
      <c r="E432" s="19">
        <v>0.62</v>
      </c>
      <c r="F432" s="10">
        <v>4.0</v>
      </c>
      <c r="G432" s="11">
        <v>14404.0</v>
      </c>
      <c r="K432" s="17" t="str">
        <f>IFERROR(__xludf.DUMMYFUNCTION("""COMPUTED_VALUE"""),"Xiaomi Mi Wired in Ear Earphones with Mic Basic with Ultra Deep Bass &amp; Aluminum Alloy Sound Chamber (Black)")</f>
        <v>Xiaomi Mi Wired in Ear Earphones with Mic Basic with Ultra Deep Bass &amp; Aluminum Alloy Sound Chamber (Black)</v>
      </c>
      <c r="L432" s="17" t="str">
        <f>IFERROR(__xludf.DUMMYFUNCTION("""COMPUTED_VALUE"""),"Electronics|Headphones,Earbuds&amp;Accessories|Headphones|In-Ear")</f>
        <v>Electronics|Headphones,Earbuds&amp;Accessories|Headphones|In-Ear</v>
      </c>
      <c r="M432" s="23">
        <f>IFERROR(__xludf.DUMMYFUNCTION("""COMPUTED_VALUE"""),429.0)</f>
        <v>429</v>
      </c>
      <c r="N432" s="23">
        <f>IFERROR(__xludf.DUMMYFUNCTION("""COMPUTED_VALUE"""),599.0)</f>
        <v>599</v>
      </c>
      <c r="O432" s="24">
        <f>IFERROR(__xludf.DUMMYFUNCTION("""COMPUTED_VALUE"""),0.28)</f>
        <v>0.28</v>
      </c>
      <c r="P432" s="17">
        <f>IFERROR(__xludf.DUMMYFUNCTION("""COMPUTED_VALUE"""),4.1)</f>
        <v>4.1</v>
      </c>
      <c r="Q432" s="17" t="str">
        <f>IFERROR(__xludf.DUMMYFUNCTION("""COMPUTED_VALUE"""),"1,19,466")</f>
        <v>1,19,466</v>
      </c>
    </row>
    <row r="433">
      <c r="A433" s="7" t="s">
        <v>473</v>
      </c>
      <c r="B433" s="7" t="s">
        <v>409</v>
      </c>
      <c r="C433" s="8">
        <v>99.0</v>
      </c>
      <c r="D433" s="8">
        <v>171.0</v>
      </c>
      <c r="E433" s="19">
        <v>0.42</v>
      </c>
      <c r="F433" s="10">
        <v>4.5</v>
      </c>
      <c r="G433" s="11">
        <v>11339.0</v>
      </c>
      <c r="K433" s="17" t="str">
        <f>IFERROR(__xludf.DUMMYFUNCTION("""COMPUTED_VALUE"""),"MI Usb Type-C Cable Smartphone (Black)")</f>
        <v>MI Usb Type-C Cable Smartphone (Black)</v>
      </c>
      <c r="L433" s="17" t="str">
        <f>IFERROR(__xludf.DUMMYFUNCTION("""COMPUTED_VALUE"""),"Computers&amp;Accessories|Accessories&amp;Peripherals|Cables&amp;Accessories|Cables|USBCables")</f>
        <v>Computers&amp;Accessories|Accessories&amp;Peripherals|Cables&amp;Accessories|Cables|USBCables</v>
      </c>
      <c r="M433" s="23">
        <f>IFERROR(__xludf.DUMMYFUNCTION("""COMPUTED_VALUE"""),229.0)</f>
        <v>229</v>
      </c>
      <c r="N433" s="23">
        <f>IFERROR(__xludf.DUMMYFUNCTION("""COMPUTED_VALUE"""),299.0)</f>
        <v>299</v>
      </c>
      <c r="O433" s="24">
        <f>IFERROR(__xludf.DUMMYFUNCTION("""COMPUTED_VALUE"""),0.23)</f>
        <v>0.23</v>
      </c>
      <c r="P433" s="17">
        <f>IFERROR(__xludf.DUMMYFUNCTION("""COMPUTED_VALUE"""),4.3)</f>
        <v>4.3</v>
      </c>
      <c r="Q433" s="25">
        <f>IFERROR(__xludf.DUMMYFUNCTION("""COMPUTED_VALUE"""),30411.0)</f>
        <v>30411</v>
      </c>
    </row>
    <row r="434">
      <c r="A434" s="7" t="s">
        <v>474</v>
      </c>
      <c r="B434" s="7" t="s">
        <v>407</v>
      </c>
      <c r="C434" s="8">
        <v>489.0</v>
      </c>
      <c r="D434" s="8">
        <v>1999.0</v>
      </c>
      <c r="E434" s="19">
        <v>0.76</v>
      </c>
      <c r="F434" s="10">
        <v>4.0</v>
      </c>
      <c r="G434" s="11">
        <v>3626.0</v>
      </c>
      <c r="K434" s="17" t="str">
        <f>IFERROR(__xludf.DUMMYFUNCTION("""COMPUTED_VALUE"""),"Gizga Essentials Spiral Cable Protector Cord Saver for Mac Charger, iPhone Charger, Wire Protector, Lightweight Durable Flexible Wire Winder for Charging Cables, Data Cables, Earphones, Pack of 10")</f>
        <v>Gizga Essentials Spiral Cable Protector Cord Saver for Mac Charger, iPhone Charger, Wire Protector, Lightweight Durable Flexible Wire Winder for Charging Cables, Data Cables, Earphones, Pack of 10</v>
      </c>
      <c r="L434" s="17" t="str">
        <f>IFERROR(__xludf.DUMMYFUNCTION("""COMPUTED_VALUE"""),"Electronics|Mobiles&amp;Accessories|MobileAccessories|Décor")</f>
        <v>Electronics|Mobiles&amp;Accessories|MobileAccessories|Décor</v>
      </c>
      <c r="M434" s="23">
        <f>IFERROR(__xludf.DUMMYFUNCTION("""COMPUTED_VALUE"""),119.0)</f>
        <v>119</v>
      </c>
      <c r="N434" s="23">
        <f>IFERROR(__xludf.DUMMYFUNCTION("""COMPUTED_VALUE"""),299.0)</f>
        <v>299</v>
      </c>
      <c r="O434" s="24">
        <f>IFERROR(__xludf.DUMMYFUNCTION("""COMPUTED_VALUE"""),0.6)</f>
        <v>0.6</v>
      </c>
      <c r="P434" s="17">
        <f>IFERROR(__xludf.DUMMYFUNCTION("""COMPUTED_VALUE"""),4.1)</f>
        <v>4.1</v>
      </c>
      <c r="Q434" s="25">
        <f>IFERROR(__xludf.DUMMYFUNCTION("""COMPUTED_VALUE"""),5999.0)</f>
        <v>5999</v>
      </c>
    </row>
    <row r="435">
      <c r="A435" s="7" t="s">
        <v>475</v>
      </c>
      <c r="B435" s="7" t="s">
        <v>386</v>
      </c>
      <c r="C435" s="8">
        <v>369.0</v>
      </c>
      <c r="D435" s="8">
        <v>1600.0</v>
      </c>
      <c r="E435" s="19">
        <v>0.77</v>
      </c>
      <c r="F435" s="10">
        <v>4.0</v>
      </c>
      <c r="G435" s="11">
        <v>32625.0</v>
      </c>
      <c r="K435" s="17" t="str">
        <f>IFERROR(__xludf.DUMMYFUNCTION("""COMPUTED_VALUE"""),"Portronics Konnect L POR-1081 Fast Charging 3A Type-C Cable 1.2Meter with Charge &amp; Sync Function for All Type-C Devices (Grey)")</f>
        <v>Portronics Konnect L POR-1081 Fast Charging 3A Type-C Cable 1.2Meter with Charge &amp; Sync Function for All Type-C Devices (Grey)</v>
      </c>
      <c r="L435" s="17" t="str">
        <f>IFERROR(__xludf.DUMMYFUNCTION("""COMPUTED_VALUE"""),"Computers&amp;Accessories|Accessories&amp;Peripherals|Cables&amp;Accessories|Cables|USBCables")</f>
        <v>Computers&amp;Accessories|Accessories&amp;Peripherals|Cables&amp;Accessories|Cables|USBCables</v>
      </c>
      <c r="M435" s="23">
        <f>IFERROR(__xludf.DUMMYFUNCTION("""COMPUTED_VALUE"""),154.0)</f>
        <v>154</v>
      </c>
      <c r="N435" s="23">
        <f>IFERROR(__xludf.DUMMYFUNCTION("""COMPUTED_VALUE"""),339.0)</f>
        <v>339</v>
      </c>
      <c r="O435" s="24">
        <f>IFERROR(__xludf.DUMMYFUNCTION("""COMPUTED_VALUE"""),0.55)</f>
        <v>0.55</v>
      </c>
      <c r="P435" s="17">
        <f>IFERROR(__xludf.DUMMYFUNCTION("""COMPUTED_VALUE"""),4.3)</f>
        <v>4.3</v>
      </c>
      <c r="Q435" s="25">
        <f>IFERROR(__xludf.DUMMYFUNCTION("""COMPUTED_VALUE"""),13391.0)</f>
        <v>13391</v>
      </c>
    </row>
    <row r="436">
      <c r="A436" s="7" t="s">
        <v>476</v>
      </c>
      <c r="B436" s="7" t="s">
        <v>380</v>
      </c>
      <c r="C436" s="8">
        <v>15499.0</v>
      </c>
      <c r="D436" s="8">
        <v>20999.0</v>
      </c>
      <c r="E436" s="19">
        <v>0.26</v>
      </c>
      <c r="F436" s="10">
        <v>4.1</v>
      </c>
      <c r="G436" s="11">
        <v>19252.0</v>
      </c>
      <c r="K436" s="17" t="str">
        <f>IFERROR(__xludf.DUMMYFUNCTION("""COMPUTED_VALUE"""),"Panasonic CR-2032/5BE Lithium Coin Battery - Pack of 5")</f>
        <v>Panasonic CR-2032/5BE Lithium Coin Battery - Pack of 5</v>
      </c>
      <c r="L436" s="17" t="str">
        <f>IFERROR(__xludf.DUMMYFUNCTION("""COMPUTED_VALUE"""),"Electronics|GeneralPurposeBatteries&amp;BatteryChargers")</f>
        <v>Electronics|GeneralPurposeBatteries&amp;BatteryChargers</v>
      </c>
      <c r="M436" s="23">
        <f>IFERROR(__xludf.DUMMYFUNCTION("""COMPUTED_VALUE"""),225.0)</f>
        <v>225</v>
      </c>
      <c r="N436" s="23">
        <f>IFERROR(__xludf.DUMMYFUNCTION("""COMPUTED_VALUE"""),250.0)</f>
        <v>250</v>
      </c>
      <c r="O436" s="24">
        <f>IFERROR(__xludf.DUMMYFUNCTION("""COMPUTED_VALUE"""),0.1)</f>
        <v>0.1</v>
      </c>
      <c r="P436" s="17">
        <f>IFERROR(__xludf.DUMMYFUNCTION("""COMPUTED_VALUE"""),4.4)</f>
        <v>4.4</v>
      </c>
      <c r="Q436" s="25">
        <f>IFERROR(__xludf.DUMMYFUNCTION("""COMPUTED_VALUE"""),26556.0)</f>
        <v>26556</v>
      </c>
    </row>
    <row r="437">
      <c r="A437" s="7" t="s">
        <v>477</v>
      </c>
      <c r="B437" s="7" t="s">
        <v>380</v>
      </c>
      <c r="C437" s="8">
        <v>15499.0</v>
      </c>
      <c r="D437" s="8">
        <v>18999.0</v>
      </c>
      <c r="E437" s="19">
        <v>0.18</v>
      </c>
      <c r="F437" s="10">
        <v>4.1</v>
      </c>
      <c r="G437" s="11">
        <v>19252.0</v>
      </c>
      <c r="K437" s="17" t="str">
        <f>IFERROR(__xludf.DUMMYFUNCTION("""COMPUTED_VALUE"""),"MemeHo® Smart Standard Multi-Purpose Laptop Table with Dock Stand/Study Table/Bed Table/Foldable and Portable/Ergonomic &amp; Rounded Edges/Non-Slip Legs/Engineered Wood with Cup Holder (Black)")</f>
        <v>MemeHo® Smart Standard Multi-Purpose Laptop Table with Dock Stand/Study Table/Bed Table/Foldable and Portable/Ergonomic &amp; Rounded Edges/Non-Slip Legs/Engineered Wood with Cup Holder (Black)</v>
      </c>
      <c r="L437" s="17" t="str">
        <f>IFERROR(__xludf.DUMMYFUNCTION("""COMPUTED_VALUE"""),"Computers&amp;Accessories|Accessories&amp;Peripherals|LaptopAccessories|Lapdesks")</f>
        <v>Computers&amp;Accessories|Accessories&amp;Peripherals|LaptopAccessories|Lapdesks</v>
      </c>
      <c r="M437" s="23">
        <f>IFERROR(__xludf.DUMMYFUNCTION("""COMPUTED_VALUE"""),656.0)</f>
        <v>656</v>
      </c>
      <c r="N437" s="23">
        <f>IFERROR(__xludf.DUMMYFUNCTION("""COMPUTED_VALUE"""),1499.0)</f>
        <v>1499</v>
      </c>
      <c r="O437" s="24">
        <f>IFERROR(__xludf.DUMMYFUNCTION("""COMPUTED_VALUE"""),0.56)</f>
        <v>0.56</v>
      </c>
      <c r="P437" s="17">
        <f>IFERROR(__xludf.DUMMYFUNCTION("""COMPUTED_VALUE"""),4.3)</f>
        <v>4.3</v>
      </c>
      <c r="Q437" s="25">
        <f>IFERROR(__xludf.DUMMYFUNCTION("""COMPUTED_VALUE"""),25903.0)</f>
        <v>25903</v>
      </c>
    </row>
    <row r="438">
      <c r="A438" s="7" t="s">
        <v>478</v>
      </c>
      <c r="B438" s="7" t="s">
        <v>380</v>
      </c>
      <c r="C438" s="8">
        <v>22999.0</v>
      </c>
      <c r="D438" s="8">
        <v>28999.0</v>
      </c>
      <c r="E438" s="19">
        <v>0.21</v>
      </c>
      <c r="F438" s="10">
        <v>3.9</v>
      </c>
      <c r="G438" s="11">
        <v>25824.0</v>
      </c>
      <c r="K438" s="17" t="str">
        <f>IFERROR(__xludf.DUMMYFUNCTION("""COMPUTED_VALUE"""),"SanDisk Ultra Dual Drive Go USB Type C Pendrive for Mobile (Black, 128 GB, 5Y - SDDDC3-128G-I35)")</f>
        <v>SanDisk Ultra Dual Drive Go USB Type C Pendrive for Mobile (Black, 128 GB, 5Y - SDDDC3-128G-I35)</v>
      </c>
      <c r="L438" s="17" t="str">
        <f>IFERROR(__xludf.DUMMYFUNCTION("""COMPUTED_VALUE"""),"Computers&amp;Accessories|ExternalDevices&amp;DataStorage|PenDrives")</f>
        <v>Computers&amp;Accessories|ExternalDevices&amp;DataStorage|PenDrives</v>
      </c>
      <c r="M438" s="23">
        <f>IFERROR(__xludf.DUMMYFUNCTION("""COMPUTED_VALUE"""),1109.0)</f>
        <v>1109</v>
      </c>
      <c r="N438" s="23">
        <f>IFERROR(__xludf.DUMMYFUNCTION("""COMPUTED_VALUE"""),2800.0)</f>
        <v>2800</v>
      </c>
      <c r="O438" s="24">
        <f>IFERROR(__xludf.DUMMYFUNCTION("""COMPUTED_VALUE"""),0.6)</f>
        <v>0.6</v>
      </c>
      <c r="P438" s="17">
        <f>IFERROR(__xludf.DUMMYFUNCTION("""COMPUTED_VALUE"""),4.3)</f>
        <v>4.3</v>
      </c>
      <c r="Q438" s="25">
        <f>IFERROR(__xludf.DUMMYFUNCTION("""COMPUTED_VALUE"""),53464.0)</f>
        <v>53464</v>
      </c>
    </row>
    <row r="439">
      <c r="A439" s="7" t="s">
        <v>479</v>
      </c>
      <c r="B439" s="7" t="s">
        <v>393</v>
      </c>
      <c r="C439" s="8">
        <v>599.0</v>
      </c>
      <c r="D439" s="8">
        <v>1490.0</v>
      </c>
      <c r="E439" s="19">
        <v>0.6</v>
      </c>
      <c r="F439" s="10">
        <v>4.1</v>
      </c>
      <c r="G439" s="7" t="s">
        <v>480</v>
      </c>
      <c r="K439" s="17" t="str">
        <f>IFERROR(__xludf.DUMMYFUNCTION("""COMPUTED_VALUE"""),"boAt Xtend Smartwatch with Alexa Built-in, 1.69” HD Display, Multiple Watch Faces, Stress Monitor, Heart &amp; SpO2 Monitoring, 14 Sports Modes, Sleep Monitor, 5 ATM &amp; 7 Days Battery(Pitch Black)")</f>
        <v>boAt Xtend Smartwatch with Alexa Built-in, 1.69” HD Display, Multiple Watch Faces, Stress Monitor, Heart &amp; SpO2 Monitoring, 14 Sports Modes, Sleep Monitor, 5 ATM &amp; 7 Days Battery(Pitch Black)</v>
      </c>
      <c r="L439" s="17" t="str">
        <f>IFERROR(__xludf.DUMMYFUNCTION("""COMPUTED_VALUE"""),"Electronics|WearableTechnology|SmartWatches")</f>
        <v>Electronics|WearableTechnology|SmartWatches</v>
      </c>
      <c r="M439" s="23">
        <f>IFERROR(__xludf.DUMMYFUNCTION("""COMPUTED_VALUE"""),2999.0)</f>
        <v>2999</v>
      </c>
      <c r="N439" s="23">
        <f>IFERROR(__xludf.DUMMYFUNCTION("""COMPUTED_VALUE"""),7990.0)</f>
        <v>7990</v>
      </c>
      <c r="O439" s="24">
        <f>IFERROR(__xludf.DUMMYFUNCTION("""COMPUTED_VALUE"""),0.62)</f>
        <v>0.62</v>
      </c>
      <c r="P439" s="17">
        <f>IFERROR(__xludf.DUMMYFUNCTION("""COMPUTED_VALUE"""),4.1)</f>
        <v>4.1</v>
      </c>
      <c r="Q439" s="25">
        <f>IFERROR(__xludf.DUMMYFUNCTION("""COMPUTED_VALUE"""),48448.0)</f>
        <v>48448</v>
      </c>
    </row>
    <row r="440">
      <c r="A440" s="7" t="s">
        <v>481</v>
      </c>
      <c r="B440" s="7" t="s">
        <v>450</v>
      </c>
      <c r="C440" s="8">
        <v>134.0</v>
      </c>
      <c r="D440" s="8">
        <v>699.0</v>
      </c>
      <c r="E440" s="19">
        <v>0.81</v>
      </c>
      <c r="F440" s="10">
        <v>4.1</v>
      </c>
      <c r="G440" s="11">
        <v>16685.0</v>
      </c>
      <c r="K440" s="17" t="str">
        <f>IFERROR(__xludf.DUMMYFUNCTION("""COMPUTED_VALUE"""),"Tizum Mouse Pad/ Computer Mouse Mat with Anti-Slip Rubber Base | Smooth Mouse Control | Spill-Resistant Surface for Laptop, Notebook, MacBook, Gaming, Laser/ Optical Mouse, 9.4”x 7.9”, Multicolored")</f>
        <v>Tizum Mouse Pad/ Computer Mouse Mat with Anti-Slip Rubber Base | Smooth Mouse Control | Spill-Resistant Surface for Laptop, Notebook, MacBook, Gaming, Laser/ Optical Mouse, 9.4”x 7.9”, Multicolored</v>
      </c>
      <c r="L440"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440" s="23">
        <f>IFERROR(__xludf.DUMMYFUNCTION("""COMPUTED_VALUE"""),169.0)</f>
        <v>169</v>
      </c>
      <c r="N440" s="23">
        <f>IFERROR(__xludf.DUMMYFUNCTION("""COMPUTED_VALUE"""),299.0)</f>
        <v>299</v>
      </c>
      <c r="O440" s="24">
        <f>IFERROR(__xludf.DUMMYFUNCTION("""COMPUTED_VALUE"""),0.43)</f>
        <v>0.43</v>
      </c>
      <c r="P440" s="17">
        <f>IFERROR(__xludf.DUMMYFUNCTION("""COMPUTED_VALUE"""),4.4)</f>
        <v>4.4</v>
      </c>
      <c r="Q440" s="25">
        <f>IFERROR(__xludf.DUMMYFUNCTION("""COMPUTED_VALUE"""),5176.0)</f>
        <v>5176</v>
      </c>
    </row>
    <row r="441">
      <c r="A441" s="7" t="s">
        <v>482</v>
      </c>
      <c r="B441" s="7" t="s">
        <v>380</v>
      </c>
      <c r="C441" s="8">
        <v>7499.0</v>
      </c>
      <c r="D441" s="8">
        <v>7999.0</v>
      </c>
      <c r="E441" s="19">
        <v>0.06</v>
      </c>
      <c r="F441" s="10">
        <v>4.0</v>
      </c>
      <c r="G441" s="11">
        <v>30907.0</v>
      </c>
      <c r="K441" s="17" t="str">
        <f>IFERROR(__xludf.DUMMYFUNCTION("""COMPUTED_VALUE"""),"Epson 003 65 ml for EcoTank L1110/L3100/L3101/L3110/L3115/L3116/L3150/L3151/L3152/L3156/L5190 Black Ink Bottle")</f>
        <v>Epson 003 65 ml for EcoTank L1110/L3100/L3101/L3110/L3115/L3116/L3150/L3151/L3152/L3156/L5190 Black Ink Bottle</v>
      </c>
      <c r="L441" s="17" t="str">
        <f>IFERROR(__xludf.DUMMYFUNCTION("""COMPUTED_VALUE"""),"Computers&amp;Accessories|Printers,Inks&amp;Accessories|Inks,Toners&amp;Cartridges|InkjetInkCartridges")</f>
        <v>Computers&amp;Accessories|Printers,Inks&amp;Accessories|Inks,Toners&amp;Cartridges|InkjetInkCartridges</v>
      </c>
      <c r="M441" s="23">
        <f>IFERROR(__xludf.DUMMYFUNCTION("""COMPUTED_VALUE"""),309.0)</f>
        <v>309</v>
      </c>
      <c r="N441" s="23">
        <f>IFERROR(__xludf.DUMMYFUNCTION("""COMPUTED_VALUE"""),404.0)</f>
        <v>404</v>
      </c>
      <c r="O441" s="24">
        <f>IFERROR(__xludf.DUMMYFUNCTION("""COMPUTED_VALUE"""),0.24)</f>
        <v>0.24</v>
      </c>
      <c r="P441" s="17">
        <f>IFERROR(__xludf.DUMMYFUNCTION("""COMPUTED_VALUE"""),4.4)</f>
        <v>4.4</v>
      </c>
      <c r="Q441" s="25">
        <f>IFERROR(__xludf.DUMMYFUNCTION("""COMPUTED_VALUE"""),8614.0)</f>
        <v>8614</v>
      </c>
    </row>
    <row r="442">
      <c r="A442" s="7" t="s">
        <v>483</v>
      </c>
      <c r="B442" s="7" t="s">
        <v>377</v>
      </c>
      <c r="C442" s="8">
        <v>1149.0</v>
      </c>
      <c r="D442" s="8">
        <v>2199.0</v>
      </c>
      <c r="E442" s="19">
        <v>0.48</v>
      </c>
      <c r="F442" s="10">
        <v>4.3</v>
      </c>
      <c r="G442" s="7" t="s">
        <v>378</v>
      </c>
      <c r="K442" s="17" t="str">
        <f>IFERROR(__xludf.DUMMYFUNCTION("""COMPUTED_VALUE"""),"Logitech M221 Wireless Mouse, Silent Buttons, 2.4 GHz with USB Mini Receiver, 1000 DPI Optical Tracking, 18-Month Battery Life, Ambidextrous PC / Mac / Laptop - Charcoal Grey")</f>
        <v>Logitech M221 Wireless Mouse, Silent Buttons, 2.4 GHz with USB Mini Receiver, 1000 DPI Optical Tracking, 18-Month Battery Life, Ambidextrous PC / Mac / Laptop - Charcoal Grey</v>
      </c>
      <c r="L442" s="17" t="str">
        <f>IFERROR(__xludf.DUMMYFUNCTION("""COMPUTED_VALUE"""),"Computers&amp;Accessories|Accessories&amp;Peripherals|Keyboards,Mice&amp;InputDevices|Mice")</f>
        <v>Computers&amp;Accessories|Accessories&amp;Peripherals|Keyboards,Mice&amp;InputDevices|Mice</v>
      </c>
      <c r="M442" s="23">
        <f>IFERROR(__xludf.DUMMYFUNCTION("""COMPUTED_VALUE"""),799.0)</f>
        <v>799</v>
      </c>
      <c r="N442" s="23">
        <f>IFERROR(__xludf.DUMMYFUNCTION("""COMPUTED_VALUE"""),1295.0)</f>
        <v>1295</v>
      </c>
      <c r="O442" s="24">
        <f>IFERROR(__xludf.DUMMYFUNCTION("""COMPUTED_VALUE"""),0.38)</f>
        <v>0.38</v>
      </c>
      <c r="P442" s="17">
        <f>IFERROR(__xludf.DUMMYFUNCTION("""COMPUTED_VALUE"""),4.4)</f>
        <v>4.4</v>
      </c>
      <c r="Q442" s="25">
        <f>IFERROR(__xludf.DUMMYFUNCTION("""COMPUTED_VALUE"""),34852.0)</f>
        <v>34852</v>
      </c>
    </row>
    <row r="443">
      <c r="A443" s="7" t="s">
        <v>484</v>
      </c>
      <c r="B443" s="7" t="s">
        <v>389</v>
      </c>
      <c r="C443" s="8">
        <v>1324.0</v>
      </c>
      <c r="D443" s="8">
        <v>1699.0</v>
      </c>
      <c r="E443" s="19">
        <v>0.22</v>
      </c>
      <c r="F443" s="10">
        <v>4.0</v>
      </c>
      <c r="G443" s="7" t="s">
        <v>390</v>
      </c>
      <c r="K443" s="17" t="str">
        <f>IFERROR(__xludf.DUMMYFUNCTION("""COMPUTED_VALUE"""),"AmazonBasics Flexible Premium HDMI Cable (Black, 4K@60Hz, 18Gbps), 3-Foot")</f>
        <v>AmazonBasics Flexible Premium HDMI Cable (Black, 4K@60Hz, 18Gbps), 3-Foot</v>
      </c>
      <c r="L443" s="17" t="str">
        <f>IFERROR(__xludf.DUMMYFUNCTION("""COMPUTED_VALUE"""),"Electronics|HomeTheater,TV&amp;Video|Accessories|Cables|HDMICables")</f>
        <v>Electronics|HomeTheater,TV&amp;Video|Accessories|Cables|HDMICables</v>
      </c>
      <c r="M443" s="23">
        <f>IFERROR(__xludf.DUMMYFUNCTION("""COMPUTED_VALUE"""),219.0)</f>
        <v>219</v>
      </c>
      <c r="N443" s="23">
        <f>IFERROR(__xludf.DUMMYFUNCTION("""COMPUTED_VALUE"""),700.0)</f>
        <v>700</v>
      </c>
      <c r="O443" s="24">
        <f>IFERROR(__xludf.DUMMYFUNCTION("""COMPUTED_VALUE"""),0.69)</f>
        <v>0.69</v>
      </c>
      <c r="P443" s="17">
        <f>IFERROR(__xludf.DUMMYFUNCTION("""COMPUTED_VALUE"""),4.4)</f>
        <v>4.4</v>
      </c>
      <c r="Q443" s="17" t="str">
        <f>IFERROR(__xludf.DUMMYFUNCTION("""COMPUTED_VALUE"""),"4,26,972")</f>
        <v>4,26,972</v>
      </c>
    </row>
    <row r="444">
      <c r="A444" s="7" t="s">
        <v>485</v>
      </c>
      <c r="B444" s="7" t="s">
        <v>380</v>
      </c>
      <c r="C444" s="8">
        <v>13999.0</v>
      </c>
      <c r="D444" s="8">
        <v>19999.0</v>
      </c>
      <c r="E444" s="19">
        <v>0.3</v>
      </c>
      <c r="F444" s="10">
        <v>4.1</v>
      </c>
      <c r="G444" s="11">
        <v>19252.0</v>
      </c>
      <c r="K444" s="17" t="str">
        <f>IFERROR(__xludf.DUMMYFUNCTION("""COMPUTED_VALUE"""),"Classmate Soft Cover 6 Subject Spiral Binding Notebook, Single Line, 300 Pages")</f>
        <v>Classmate Soft Cover 6 Subject Spiral Binding Notebook, Single Line, 300 Pages</v>
      </c>
      <c r="L444" s="17" t="str">
        <f>IFERROR(__xludf.DUMMYFUNCTION("""COMPUTED_VALUE"""),"OfficeProducts|OfficePaperProducts|Paper|Stationery|Notebooks,WritingPads&amp;Diaries|WireboundNotebooks")</f>
        <v>OfficeProducts|OfficePaperProducts|Paper|Stationery|Notebooks,WritingPads&amp;Diaries|WireboundNotebooks</v>
      </c>
      <c r="M444" s="23">
        <f>IFERROR(__xludf.DUMMYFUNCTION("""COMPUTED_VALUE"""),157.0)</f>
        <v>157</v>
      </c>
      <c r="N444" s="23">
        <f>IFERROR(__xludf.DUMMYFUNCTION("""COMPUTED_VALUE"""),160.0)</f>
        <v>160</v>
      </c>
      <c r="O444" s="24">
        <f>IFERROR(__xludf.DUMMYFUNCTION("""COMPUTED_VALUE"""),0.02)</f>
        <v>0.02</v>
      </c>
      <c r="P444" s="17">
        <f>IFERROR(__xludf.DUMMYFUNCTION("""COMPUTED_VALUE"""),4.5)</f>
        <v>4.5</v>
      </c>
      <c r="Q444" s="25">
        <f>IFERROR(__xludf.DUMMYFUNCTION("""COMPUTED_VALUE"""),8618.0)</f>
        <v>8618</v>
      </c>
    </row>
    <row r="445">
      <c r="A445" s="7" t="s">
        <v>29</v>
      </c>
      <c r="B445" s="7" t="s">
        <v>15</v>
      </c>
      <c r="C445" s="8">
        <v>299.0</v>
      </c>
      <c r="D445" s="8">
        <v>799.0</v>
      </c>
      <c r="E445" s="19">
        <v>0.63</v>
      </c>
      <c r="F445" s="10">
        <v>4.2</v>
      </c>
      <c r="G445" s="11">
        <v>94364.0</v>
      </c>
      <c r="K445" s="17" t="str">
        <f>IFERROR(__xludf.DUMMYFUNCTION("""COMPUTED_VALUE"""),"Duracell Rechargeable AA 1300mAh Batteries, 4Pcs")</f>
        <v>Duracell Rechargeable AA 1300mAh Batteries, 4Pcs</v>
      </c>
      <c r="L445" s="17" t="str">
        <f>IFERROR(__xludf.DUMMYFUNCTION("""COMPUTED_VALUE"""),"Electronics|GeneralPurposeBatteries&amp;BatteryChargers|RechargeableBatteries")</f>
        <v>Electronics|GeneralPurposeBatteries&amp;BatteryChargers|RechargeableBatteries</v>
      </c>
      <c r="M445" s="23">
        <f>IFERROR(__xludf.DUMMYFUNCTION("""COMPUTED_VALUE"""),479.0)</f>
        <v>479</v>
      </c>
      <c r="N445" s="23">
        <f>IFERROR(__xludf.DUMMYFUNCTION("""COMPUTED_VALUE"""),599.0)</f>
        <v>599</v>
      </c>
      <c r="O445" s="24">
        <f>IFERROR(__xludf.DUMMYFUNCTION("""COMPUTED_VALUE"""),0.2)</f>
        <v>0.2</v>
      </c>
      <c r="P445" s="17">
        <f>IFERROR(__xludf.DUMMYFUNCTION("""COMPUTED_VALUE"""),4.3)</f>
        <v>4.3</v>
      </c>
      <c r="Q445" s="25">
        <f>IFERROR(__xludf.DUMMYFUNCTION("""COMPUTED_VALUE"""),11687.0)</f>
        <v>11687</v>
      </c>
    </row>
    <row r="446">
      <c r="A446" s="7" t="s">
        <v>486</v>
      </c>
      <c r="B446" s="7" t="s">
        <v>377</v>
      </c>
      <c r="C446" s="8">
        <v>999.0</v>
      </c>
      <c r="D446" s="8">
        <v>1599.0</v>
      </c>
      <c r="E446" s="19">
        <v>0.38</v>
      </c>
      <c r="F446" s="10">
        <v>4.0</v>
      </c>
      <c r="G446" s="11">
        <v>7222.0</v>
      </c>
      <c r="K446" s="17" t="str">
        <f>IFERROR(__xludf.DUMMYFUNCTION("""COMPUTED_VALUE"""),"Portronics Konnect CL 20W POR-1067 Type-C to 8 Pin USB 1.2M Cable with Power Delivery &amp; 3A Quick Charge Support, Nylon Braided for All Type-C and 8 Pin Devices, Green")</f>
        <v>Portronics Konnect CL 20W POR-1067 Type-C to 8 Pin USB 1.2M Cable with Power Delivery &amp; 3A Quick Charge Support, Nylon Braided for All Type-C and 8 Pin Devices, Green</v>
      </c>
      <c r="L446" s="17" t="str">
        <f>IFERROR(__xludf.DUMMYFUNCTION("""COMPUTED_VALUE"""),"Computers&amp;Accessories|Accessories&amp;Peripherals|Cables&amp;Accessories|Cables|USBCables")</f>
        <v>Computers&amp;Accessories|Accessories&amp;Peripherals|Cables&amp;Accessories|Cables|USBCables</v>
      </c>
      <c r="M446" s="23">
        <f>IFERROR(__xludf.DUMMYFUNCTION("""COMPUTED_VALUE"""),350.0)</f>
        <v>350</v>
      </c>
      <c r="N446" s="23">
        <f>IFERROR(__xludf.DUMMYFUNCTION("""COMPUTED_VALUE"""),899.0)</f>
        <v>899</v>
      </c>
      <c r="O446" s="24">
        <f>IFERROR(__xludf.DUMMYFUNCTION("""COMPUTED_VALUE"""),0.61)</f>
        <v>0.61</v>
      </c>
      <c r="P446" s="17">
        <f>IFERROR(__xludf.DUMMYFUNCTION("""COMPUTED_VALUE"""),4.2)</f>
        <v>4.2</v>
      </c>
      <c r="Q446" s="25">
        <f>IFERROR(__xludf.DUMMYFUNCTION("""COMPUTED_VALUE"""),2262.0)</f>
        <v>2262</v>
      </c>
    </row>
    <row r="447">
      <c r="A447" s="7" t="s">
        <v>487</v>
      </c>
      <c r="B447" s="7" t="s">
        <v>380</v>
      </c>
      <c r="C447" s="8">
        <v>12999.0</v>
      </c>
      <c r="D447" s="8">
        <v>17999.0</v>
      </c>
      <c r="E447" s="19">
        <v>0.28</v>
      </c>
      <c r="F447" s="10">
        <v>4.1</v>
      </c>
      <c r="G447" s="11">
        <v>18998.0</v>
      </c>
      <c r="K447" s="17" t="str">
        <f>IFERROR(__xludf.DUMMYFUNCTION("""COMPUTED_VALUE"""),"TP-Link USB Bluetooth Adapter for PC, 5.0 Bluetooth Dongle Receiver (UB500) Supports Windows 11/10/8.1/7 for Desktop, Laptop, Mouse, Keyboard, Printers, Headsets, Speakers, PS4/ Xbox Controllers")</f>
        <v>TP-Link USB Bluetooth Adapter for PC, 5.0 Bluetooth Dongle Receiver (UB500) Supports Windows 11/10/8.1/7 for Desktop, Laptop, Mouse, Keyboard, Printers, Headsets, Speakers, PS4/ Xbox Controllers</v>
      </c>
      <c r="L447" s="17" t="str">
        <f>IFERROR(__xludf.DUMMYFUNCTION("""COMPUTED_VALUE"""),"Computers&amp;Accessories|NetworkingDevices|NetworkAdapters|BluetoothAdapters")</f>
        <v>Computers&amp;Accessories|NetworkingDevices|NetworkAdapters|BluetoothAdapters</v>
      </c>
      <c r="M447" s="23">
        <f>IFERROR(__xludf.DUMMYFUNCTION("""COMPUTED_VALUE"""),599.0)</f>
        <v>599</v>
      </c>
      <c r="N447" s="23">
        <f>IFERROR(__xludf.DUMMYFUNCTION("""COMPUTED_VALUE"""),899.0)</f>
        <v>899</v>
      </c>
      <c r="O447" s="24">
        <f>IFERROR(__xludf.DUMMYFUNCTION("""COMPUTED_VALUE"""),0.33)</f>
        <v>0.33</v>
      </c>
      <c r="P447" s="17">
        <f>IFERROR(__xludf.DUMMYFUNCTION("""COMPUTED_VALUE"""),4.3)</f>
        <v>4.3</v>
      </c>
      <c r="Q447" s="25">
        <f>IFERROR(__xludf.DUMMYFUNCTION("""COMPUTED_VALUE"""),95116.0)</f>
        <v>95116</v>
      </c>
    </row>
    <row r="448">
      <c r="A448" s="7" t="s">
        <v>488</v>
      </c>
      <c r="B448" s="7" t="s">
        <v>380</v>
      </c>
      <c r="C448" s="8">
        <v>15490.0</v>
      </c>
      <c r="D448" s="8">
        <v>20990.0</v>
      </c>
      <c r="E448" s="19">
        <v>0.26</v>
      </c>
      <c r="F448" s="10">
        <v>4.2</v>
      </c>
      <c r="G448" s="11">
        <v>32916.0</v>
      </c>
      <c r="K448" s="17" t="str">
        <f>IFERROR(__xludf.DUMMYFUNCTION("""COMPUTED_VALUE"""),"Portronics Konnect L 1.2M POR-1401 Fast Charging 3A 8 Pin USB Cable with Charge &amp; Sync Function (White)")</f>
        <v>Portronics Konnect L 1.2M POR-1401 Fast Charging 3A 8 Pin USB Cable with Charge &amp; Sync Function (White)</v>
      </c>
      <c r="L448" s="17" t="str">
        <f>IFERROR(__xludf.DUMMYFUNCTION("""COMPUTED_VALUE"""),"Computers&amp;Accessories|Accessories&amp;Peripherals|Cables&amp;Accessories|Cables|USBCables")</f>
        <v>Computers&amp;Accessories|Accessories&amp;Peripherals|Cables&amp;Accessories|Cables|USBCables</v>
      </c>
      <c r="M448" s="23">
        <f>IFERROR(__xludf.DUMMYFUNCTION("""COMPUTED_VALUE"""),159.0)</f>
        <v>159</v>
      </c>
      <c r="N448" s="23">
        <f>IFERROR(__xludf.DUMMYFUNCTION("""COMPUTED_VALUE"""),399.0)</f>
        <v>399</v>
      </c>
      <c r="O448" s="24">
        <f>IFERROR(__xludf.DUMMYFUNCTION("""COMPUTED_VALUE"""),0.6)</f>
        <v>0.6</v>
      </c>
      <c r="P448" s="17">
        <f>IFERROR(__xludf.DUMMYFUNCTION("""COMPUTED_VALUE"""),4.1)</f>
        <v>4.1</v>
      </c>
      <c r="Q448" s="25">
        <f>IFERROR(__xludf.DUMMYFUNCTION("""COMPUTED_VALUE"""),4768.0)</f>
        <v>4768</v>
      </c>
    </row>
    <row r="449">
      <c r="A449" s="7" t="s">
        <v>489</v>
      </c>
      <c r="B449" s="7" t="s">
        <v>490</v>
      </c>
      <c r="C449" s="8">
        <v>999.0</v>
      </c>
      <c r="D449" s="8">
        <v>2899.0</v>
      </c>
      <c r="E449" s="19">
        <v>0.66</v>
      </c>
      <c r="F449" s="10">
        <v>4.6</v>
      </c>
      <c r="G449" s="11">
        <v>26603.0</v>
      </c>
      <c r="K449" s="17" t="str">
        <f>IFERROR(__xludf.DUMMYFUNCTION("""COMPUTED_VALUE"""),"SanDisk Ultra Dual Drive Luxe USB Type C Flash Drive (Silver, 128 GB, 5Y - SDDDC4-128G-I35)")</f>
        <v>SanDisk Ultra Dual Drive Luxe USB Type C Flash Drive (Silver, 128 GB, 5Y - SDDDC4-128G-I35)</v>
      </c>
      <c r="L449" s="17" t="str">
        <f>IFERROR(__xludf.DUMMYFUNCTION("""COMPUTED_VALUE"""),"Computers&amp;Accessories|ExternalDevices&amp;DataStorage|PenDrives")</f>
        <v>Computers&amp;Accessories|ExternalDevices&amp;DataStorage|PenDrives</v>
      </c>
      <c r="M449" s="23">
        <f>IFERROR(__xludf.DUMMYFUNCTION("""COMPUTED_VALUE"""),1299.0)</f>
        <v>1299</v>
      </c>
      <c r="N449" s="23">
        <f>IFERROR(__xludf.DUMMYFUNCTION("""COMPUTED_VALUE"""),3000.0)</f>
        <v>3000</v>
      </c>
      <c r="O449" s="24">
        <f>IFERROR(__xludf.DUMMYFUNCTION("""COMPUTED_VALUE"""),0.57)</f>
        <v>0.57</v>
      </c>
      <c r="P449" s="17">
        <f>IFERROR(__xludf.DUMMYFUNCTION("""COMPUTED_VALUE"""),4.3)</f>
        <v>4.3</v>
      </c>
      <c r="Q449" s="25">
        <f>IFERROR(__xludf.DUMMYFUNCTION("""COMPUTED_VALUE"""),23022.0)</f>
        <v>23022</v>
      </c>
    </row>
    <row r="450">
      <c r="A450" s="7" t="s">
        <v>491</v>
      </c>
      <c r="B450" s="7" t="s">
        <v>373</v>
      </c>
      <c r="C450" s="8">
        <v>1599.0</v>
      </c>
      <c r="D450" s="8">
        <v>4999.0</v>
      </c>
      <c r="E450" s="19">
        <v>0.68</v>
      </c>
      <c r="F450" s="10">
        <v>4.0</v>
      </c>
      <c r="G450" s="11">
        <v>67950.0</v>
      </c>
      <c r="K450" s="17" t="str">
        <f>IFERROR(__xludf.DUMMYFUNCTION("""COMPUTED_VALUE"""),"rts [2 Pack] Mini USB C Type C Adapter Plug, Type C Female to USB A Male Charger Charging Cable Adapter Converter compatible for iPhone, Samsung S20 ultra/S21/S10/S8/S9/MacBook Pro iPad Silver")</f>
        <v>rts [2 Pack] Mini USB C Type C Adapter Plug, Type C Female to USB A Male Charger Charging Cable Adapter Converter compatible for iPhone, Samsung S20 ultra/S21/S10/S8/S9/MacBook Pro iPad Silver</v>
      </c>
      <c r="L450" s="17" t="str">
        <f>IFERROR(__xludf.DUMMYFUNCTION("""COMPUTED_VALUE"""),"Computers&amp;Accessories|Accessories&amp;Peripherals|Adapters|USBtoUSBAdapters")</f>
        <v>Computers&amp;Accessories|Accessories&amp;Peripherals|Adapters|USBtoUSBAdapters</v>
      </c>
      <c r="M450" s="23">
        <f>IFERROR(__xludf.DUMMYFUNCTION("""COMPUTED_VALUE"""),294.0)</f>
        <v>294</v>
      </c>
      <c r="N450" s="23">
        <f>IFERROR(__xludf.DUMMYFUNCTION("""COMPUTED_VALUE"""),4999.0)</f>
        <v>4999</v>
      </c>
      <c r="O450" s="24">
        <f>IFERROR(__xludf.DUMMYFUNCTION("""COMPUTED_VALUE"""),0.94)</f>
        <v>0.94</v>
      </c>
      <c r="P450" s="17">
        <f>IFERROR(__xludf.DUMMYFUNCTION("""COMPUTED_VALUE"""),4.3)</f>
        <v>4.3</v>
      </c>
      <c r="Q450" s="25">
        <f>IFERROR(__xludf.DUMMYFUNCTION("""COMPUTED_VALUE"""),4426.0)</f>
        <v>4426</v>
      </c>
    </row>
    <row r="451">
      <c r="A451" s="7" t="s">
        <v>492</v>
      </c>
      <c r="B451" s="7" t="s">
        <v>389</v>
      </c>
      <c r="C451" s="8">
        <v>1324.0</v>
      </c>
      <c r="D451" s="8">
        <v>1699.0</v>
      </c>
      <c r="E451" s="19">
        <v>0.22</v>
      </c>
      <c r="F451" s="10">
        <v>4.0</v>
      </c>
      <c r="G451" s="7" t="s">
        <v>390</v>
      </c>
      <c r="K451" s="17" t="str">
        <f>IFERROR(__xludf.DUMMYFUNCTION("""COMPUTED_VALUE"""),"HP 682 Black Original Ink Cartridge")</f>
        <v>HP 682 Black Original Ink Cartridge</v>
      </c>
      <c r="L451" s="17" t="str">
        <f>IFERROR(__xludf.DUMMYFUNCTION("""COMPUTED_VALUE"""),"Computers&amp;Accessories|Printers,Inks&amp;Accessories|Inks,Toners&amp;Cartridges|InkjetInkCartridges")</f>
        <v>Computers&amp;Accessories|Printers,Inks&amp;Accessories|Inks,Toners&amp;Cartridges|InkjetInkCartridges</v>
      </c>
      <c r="M451" s="23">
        <f>IFERROR(__xludf.DUMMYFUNCTION("""COMPUTED_VALUE"""),828.0)</f>
        <v>828</v>
      </c>
      <c r="N451" s="23">
        <f>IFERROR(__xludf.DUMMYFUNCTION("""COMPUTED_VALUE"""),861.0)</f>
        <v>861</v>
      </c>
      <c r="O451" s="24">
        <f>IFERROR(__xludf.DUMMYFUNCTION("""COMPUTED_VALUE"""),0.04)</f>
        <v>0.04</v>
      </c>
      <c r="P451" s="17">
        <f>IFERROR(__xludf.DUMMYFUNCTION("""COMPUTED_VALUE"""),4.2)</f>
        <v>4.2</v>
      </c>
      <c r="Q451" s="25">
        <f>IFERROR(__xludf.DUMMYFUNCTION("""COMPUTED_VALUE"""),4567.0)</f>
        <v>4567</v>
      </c>
    </row>
    <row r="452">
      <c r="A452" s="7" t="s">
        <v>493</v>
      </c>
      <c r="B452" s="7" t="s">
        <v>380</v>
      </c>
      <c r="C452" s="8">
        <v>20999.0</v>
      </c>
      <c r="D452" s="8">
        <v>29990.0</v>
      </c>
      <c r="E452" s="19">
        <v>0.3</v>
      </c>
      <c r="F452" s="10">
        <v>4.3</v>
      </c>
      <c r="G452" s="11">
        <v>9499.0</v>
      </c>
      <c r="K452" s="17" t="str">
        <f>IFERROR(__xludf.DUMMYFUNCTION("""COMPUTED_VALUE"""),"Digitek DTR 550 LW (67 Inch) Tripod For DSLR, Camera |Operating Height: 5.57 Feet | Maximum Load Capacity up to 4.5kg | Portable Lightweight Aluminum Tripod with 360 Degree Ball Head | Carry Bag Included (Black) (DTR 550LW)")</f>
        <v>Digitek DTR 550 LW (67 Inch) Tripod For DSLR, Camera |Operating Height: 5.57 Feet | Maximum Load Capacity up to 4.5kg | Portable Lightweight Aluminum Tripod with 360 Degree Ball Head | Carry Bag Included (Black) (DTR 550LW)</v>
      </c>
      <c r="L452" s="17" t="str">
        <f>IFERROR(__xludf.DUMMYFUNCTION("""COMPUTED_VALUE"""),"Electronics|Cameras&amp;Photography|Accessories|Tripods&amp;Monopods|CompleteTripodUnits")</f>
        <v>Electronics|Cameras&amp;Photography|Accessories|Tripods&amp;Monopods|CompleteTripodUnits</v>
      </c>
      <c r="M452" s="23">
        <f>IFERROR(__xludf.DUMMYFUNCTION("""COMPUTED_VALUE"""),1549.0)</f>
        <v>1549</v>
      </c>
      <c r="N452" s="23">
        <f>IFERROR(__xludf.DUMMYFUNCTION("""COMPUTED_VALUE"""),2495.0)</f>
        <v>2495</v>
      </c>
      <c r="O452" s="24">
        <f>IFERROR(__xludf.DUMMYFUNCTION("""COMPUTED_VALUE"""),0.38)</f>
        <v>0.38</v>
      </c>
      <c r="P452" s="17">
        <f>IFERROR(__xludf.DUMMYFUNCTION("""COMPUTED_VALUE"""),4.4)</f>
        <v>4.4</v>
      </c>
      <c r="Q452" s="25">
        <f>IFERROR(__xludf.DUMMYFUNCTION("""COMPUTED_VALUE"""),15137.0)</f>
        <v>15137</v>
      </c>
    </row>
    <row r="453">
      <c r="A453" s="7" t="s">
        <v>494</v>
      </c>
      <c r="B453" s="7" t="s">
        <v>409</v>
      </c>
      <c r="C453" s="8">
        <v>999.0</v>
      </c>
      <c r="D453" s="8">
        <v>1999.0</v>
      </c>
      <c r="E453" s="19">
        <v>0.5</v>
      </c>
      <c r="F453" s="10">
        <v>4.3</v>
      </c>
      <c r="G453" s="11">
        <v>1777.0</v>
      </c>
      <c r="K453" s="17" t="str">
        <f>IFERROR(__xludf.DUMMYFUNCTION("""COMPUTED_VALUE"""),"MI Braided USB Type-C Cable for Charging Adapter (Red)")</f>
        <v>MI Braided USB Type-C Cable for Charging Adapter (Red)</v>
      </c>
      <c r="L453" s="17" t="str">
        <f>IFERROR(__xludf.DUMMYFUNCTION("""COMPUTED_VALUE"""),"Computers&amp;Accessories|Accessories&amp;Peripherals|Cables&amp;Accessories|Cables|USBCables")</f>
        <v>Computers&amp;Accessories|Accessories&amp;Peripherals|Cables&amp;Accessories|Cables|USBCables</v>
      </c>
      <c r="M453" s="23">
        <f>IFERROR(__xludf.DUMMYFUNCTION("""COMPUTED_VALUE"""),349.0)</f>
        <v>349</v>
      </c>
      <c r="N453" s="23">
        <f>IFERROR(__xludf.DUMMYFUNCTION("""COMPUTED_VALUE"""),399.0)</f>
        <v>399</v>
      </c>
      <c r="O453" s="24">
        <f>IFERROR(__xludf.DUMMYFUNCTION("""COMPUTED_VALUE"""),0.13)</f>
        <v>0.13</v>
      </c>
      <c r="P453" s="17">
        <f>IFERROR(__xludf.DUMMYFUNCTION("""COMPUTED_VALUE"""),4.4)</f>
        <v>4.4</v>
      </c>
      <c r="Q453" s="25">
        <f>IFERROR(__xludf.DUMMYFUNCTION("""COMPUTED_VALUE"""),18757.0)</f>
        <v>18757</v>
      </c>
    </row>
    <row r="454">
      <c r="A454" s="7" t="s">
        <v>495</v>
      </c>
      <c r="B454" s="7" t="s">
        <v>380</v>
      </c>
      <c r="C454" s="8">
        <v>12490.0</v>
      </c>
      <c r="D454" s="8">
        <v>15990.0</v>
      </c>
      <c r="E454" s="19">
        <v>0.22</v>
      </c>
      <c r="F454" s="10">
        <v>4.2</v>
      </c>
      <c r="G454" s="11">
        <v>58506.0</v>
      </c>
      <c r="K454" s="17" t="str">
        <f>IFERROR(__xludf.DUMMYFUNCTION("""COMPUTED_VALUE"""),"Duracell USB Lightning Apple Certified (Mfi) Braided Sync &amp; Charge Cable For Iphone, Ipad And Ipod. Fast Charging Lightning Cable, 3.9 Feet (1.2M) - Black")</f>
        <v>Duracell USB Lightning Apple Certified (Mfi) Braided Sync &amp; Charge Cable For Iphone, Ipad And Ipod. Fast Charging Lightning Cable, 3.9 Feet (1.2M) - Black</v>
      </c>
      <c r="L454" s="17" t="str">
        <f>IFERROR(__xludf.DUMMYFUNCTION("""COMPUTED_VALUE"""),"Computers&amp;Accessories|Accessories&amp;Peripherals|Cables&amp;Accessories|Cables|USBCables")</f>
        <v>Computers&amp;Accessories|Accessories&amp;Peripherals|Cables&amp;Accessories|Cables|USBCables</v>
      </c>
      <c r="M454" s="23">
        <f>IFERROR(__xludf.DUMMYFUNCTION("""COMPUTED_VALUE"""),970.0)</f>
        <v>970</v>
      </c>
      <c r="N454" s="23">
        <f>IFERROR(__xludf.DUMMYFUNCTION("""COMPUTED_VALUE"""),1799.0)</f>
        <v>1799</v>
      </c>
      <c r="O454" s="24">
        <f>IFERROR(__xludf.DUMMYFUNCTION("""COMPUTED_VALUE"""),0.46)</f>
        <v>0.46</v>
      </c>
      <c r="P454" s="17">
        <f>IFERROR(__xludf.DUMMYFUNCTION("""COMPUTED_VALUE"""),4.5)</f>
        <v>4.5</v>
      </c>
      <c r="Q454" s="17">
        <f>IFERROR(__xludf.DUMMYFUNCTION("""COMPUTED_VALUE"""),815.0)</f>
        <v>815</v>
      </c>
    </row>
    <row r="455">
      <c r="A455" s="7" t="s">
        <v>496</v>
      </c>
      <c r="B455" s="7" t="s">
        <v>380</v>
      </c>
      <c r="C455" s="8">
        <v>17999.0</v>
      </c>
      <c r="D455" s="8">
        <v>21990.0</v>
      </c>
      <c r="E455" s="19">
        <v>0.18</v>
      </c>
      <c r="F455" s="10">
        <v>4.0</v>
      </c>
      <c r="G455" s="11">
        <v>21350.0</v>
      </c>
      <c r="K455" s="17" t="str">
        <f>IFERROR(__xludf.DUMMYFUNCTION("""COMPUTED_VALUE"""),"TP-Link TL-WA850RE Single_Band 300Mbps RJ45 Wireless Range Extender, Broadband/Wi-Fi Extender, Wi-Fi Booster/Hotspot with 1 Ethernet Port, Plug and Play, Built-in Access Point Mode, White")</f>
        <v>TP-Link TL-WA850RE Single_Band 300Mbps RJ45 Wireless Range Extender, Broadband/Wi-Fi Extender, Wi-Fi Booster/Hotspot with 1 Ethernet Port, Plug and Play, Built-in Access Point Mode, White</v>
      </c>
      <c r="L455" s="17" t="str">
        <f>IFERROR(__xludf.DUMMYFUNCTION("""COMPUTED_VALUE"""),"Computers&amp;Accessories|NetworkingDevices|Repeaters&amp;Extenders")</f>
        <v>Computers&amp;Accessories|NetworkingDevices|Repeaters&amp;Extenders</v>
      </c>
      <c r="M455" s="23">
        <f>IFERROR(__xludf.DUMMYFUNCTION("""COMPUTED_VALUE"""),1469.0)</f>
        <v>1469</v>
      </c>
      <c r="N455" s="23">
        <f>IFERROR(__xludf.DUMMYFUNCTION("""COMPUTED_VALUE"""),2499.0)</f>
        <v>2499</v>
      </c>
      <c r="O455" s="24">
        <f>IFERROR(__xludf.DUMMYFUNCTION("""COMPUTED_VALUE"""),0.41)</f>
        <v>0.41</v>
      </c>
      <c r="P455" s="17">
        <f>IFERROR(__xludf.DUMMYFUNCTION("""COMPUTED_VALUE"""),4.2)</f>
        <v>4.2</v>
      </c>
      <c r="Q455" s="17" t="str">
        <f>IFERROR(__xludf.DUMMYFUNCTION("""COMPUTED_VALUE"""),"1,56,638")</f>
        <v>1,56,638</v>
      </c>
    </row>
    <row r="456">
      <c r="A456" s="7" t="s">
        <v>33</v>
      </c>
      <c r="B456" s="7" t="s">
        <v>15</v>
      </c>
      <c r="C456" s="8">
        <v>350.0</v>
      </c>
      <c r="D456" s="8">
        <v>899.0</v>
      </c>
      <c r="E456" s="19">
        <v>0.61</v>
      </c>
      <c r="F456" s="10">
        <v>4.2</v>
      </c>
      <c r="G456" s="11">
        <v>2263.0</v>
      </c>
      <c r="K456" s="17" t="str">
        <f>IFERROR(__xludf.DUMMYFUNCTION("""COMPUTED_VALUE"""),"COI Note Pad/Memo Book with Sticky Notes &amp; Clip Holder with Pen for Gifting")</f>
        <v>COI Note Pad/Memo Book with Sticky Notes &amp; Clip Holder with Pen for Gifting</v>
      </c>
      <c r="L456" s="17" t="str">
        <f>IFERROR(__xludf.DUMMYFUNCTION("""COMPUTED_VALUE"""),"OfficeProducts|OfficePaperProducts|Paper|Stationery|Notebooks,WritingPads&amp;Diaries|Notepads&amp;MemoBooks")</f>
        <v>OfficeProducts|OfficePaperProducts|Paper|Stationery|Notebooks,WritingPads&amp;Diaries|Notepads&amp;MemoBooks</v>
      </c>
      <c r="M456" s="23">
        <f>IFERROR(__xludf.DUMMYFUNCTION("""COMPUTED_VALUE"""),198.0)</f>
        <v>198</v>
      </c>
      <c r="N456" s="23">
        <f>IFERROR(__xludf.DUMMYFUNCTION("""COMPUTED_VALUE"""),800.0)</f>
        <v>800</v>
      </c>
      <c r="O456" s="24">
        <f>IFERROR(__xludf.DUMMYFUNCTION("""COMPUTED_VALUE"""),0.75)</f>
        <v>0.75</v>
      </c>
      <c r="P456" s="17">
        <f>IFERROR(__xludf.DUMMYFUNCTION("""COMPUTED_VALUE"""),4.1)</f>
        <v>4.1</v>
      </c>
      <c r="Q456" s="25">
        <f>IFERROR(__xludf.DUMMYFUNCTION("""COMPUTED_VALUE"""),9344.0)</f>
        <v>9344</v>
      </c>
    </row>
    <row r="457">
      <c r="A457" s="7" t="s">
        <v>497</v>
      </c>
      <c r="B457" s="7" t="s">
        <v>389</v>
      </c>
      <c r="C457" s="8">
        <v>1399.0</v>
      </c>
      <c r="D457" s="8">
        <v>1630.0</v>
      </c>
      <c r="E457" s="19">
        <v>0.14</v>
      </c>
      <c r="F457" s="10">
        <v>4.0</v>
      </c>
      <c r="G457" s="11">
        <v>9378.0</v>
      </c>
      <c r="K457" s="17" t="str">
        <f>IFERROR(__xludf.DUMMYFUNCTION("""COMPUTED_VALUE"""),"Fujifilm Instax Mini Single Pack 10 Sheets Instant Film for Fuji Instant Cameras")</f>
        <v>Fujifilm Instax Mini Single Pack 10 Sheets Instant Film for Fuji Instant Cameras</v>
      </c>
      <c r="L457" s="17" t="str">
        <f>IFERROR(__xludf.DUMMYFUNCTION("""COMPUTED_VALUE"""),"Electronics|Cameras&amp;Photography|Accessories|Film")</f>
        <v>Electronics|Cameras&amp;Photography|Accessories|Film</v>
      </c>
      <c r="M457" s="23">
        <f>IFERROR(__xludf.DUMMYFUNCTION("""COMPUTED_VALUE"""),549.0)</f>
        <v>549</v>
      </c>
      <c r="N457" s="23">
        <f>IFERROR(__xludf.DUMMYFUNCTION("""COMPUTED_VALUE"""),549.0)</f>
        <v>549</v>
      </c>
      <c r="O457" s="24">
        <f>IFERROR(__xludf.DUMMYFUNCTION("""COMPUTED_VALUE"""),0.0)</f>
        <v>0</v>
      </c>
      <c r="P457" s="17">
        <f>IFERROR(__xludf.DUMMYFUNCTION("""COMPUTED_VALUE"""),4.5)</f>
        <v>4.5</v>
      </c>
      <c r="Q457" s="25">
        <f>IFERROR(__xludf.DUMMYFUNCTION("""COMPUTED_VALUE"""),4875.0)</f>
        <v>4875</v>
      </c>
    </row>
    <row r="458">
      <c r="A458" s="7" t="s">
        <v>34</v>
      </c>
      <c r="B458" s="7" t="s">
        <v>15</v>
      </c>
      <c r="C458" s="8">
        <v>159.0</v>
      </c>
      <c r="D458" s="8">
        <v>399.0</v>
      </c>
      <c r="E458" s="19">
        <v>0.6</v>
      </c>
      <c r="F458" s="10">
        <v>4.1</v>
      </c>
      <c r="G458" s="11">
        <v>4768.0</v>
      </c>
      <c r="K458" s="17" t="str">
        <f>IFERROR(__xludf.DUMMYFUNCTION("""COMPUTED_VALUE"""),"Fire-Boltt Ring 3 Smart Watch 1.8 Biggest Display with Advanced Bluetooth Calling Chip, Voice Assistance,118 Sports Modes, in Built Calculator &amp; Games, SpO2, Heart Rate Monitoring")</f>
        <v>Fire-Boltt Ring 3 Smart Watch 1.8 Biggest Display with Advanced Bluetooth Calling Chip, Voice Assistance,118 Sports Modes, in Built Calculator &amp; Games, SpO2, Heart Rate Monitoring</v>
      </c>
      <c r="L458" s="17" t="str">
        <f>IFERROR(__xludf.DUMMYFUNCTION("""COMPUTED_VALUE"""),"Electronics|WearableTechnology|SmartWatches")</f>
        <v>Electronics|WearableTechnology|SmartWatches</v>
      </c>
      <c r="M458" s="23">
        <f>IFERROR(__xludf.DUMMYFUNCTION("""COMPUTED_VALUE"""),2999.0)</f>
        <v>2999</v>
      </c>
      <c r="N458" s="23">
        <f>IFERROR(__xludf.DUMMYFUNCTION("""COMPUTED_VALUE"""),9999.0)</f>
        <v>9999</v>
      </c>
      <c r="O458" s="24">
        <f>IFERROR(__xludf.DUMMYFUNCTION("""COMPUTED_VALUE"""),0.7)</f>
        <v>0.7</v>
      </c>
      <c r="P458" s="17">
        <f>IFERROR(__xludf.DUMMYFUNCTION("""COMPUTED_VALUE"""),4.2)</f>
        <v>4.2</v>
      </c>
      <c r="Q458" s="25">
        <f>IFERROR(__xludf.DUMMYFUNCTION("""COMPUTED_VALUE"""),20881.0)</f>
        <v>20881</v>
      </c>
    </row>
    <row r="459">
      <c r="A459" s="7" t="s">
        <v>498</v>
      </c>
      <c r="B459" s="7" t="s">
        <v>373</v>
      </c>
      <c r="C459" s="8">
        <v>1499.0</v>
      </c>
      <c r="D459" s="8">
        <v>6990.0</v>
      </c>
      <c r="E459" s="19">
        <v>0.79</v>
      </c>
      <c r="F459" s="10">
        <v>3.9</v>
      </c>
      <c r="G459" s="11">
        <v>21796.0</v>
      </c>
      <c r="K459" s="17" t="str">
        <f>IFERROR(__xludf.DUMMYFUNCTION("""COMPUTED_VALUE"""),"Samsung Galaxy Watch4 Bluetooth(4.4 cm, Black, Compatible with Android only)")</f>
        <v>Samsung Galaxy Watch4 Bluetooth(4.4 cm, Black, Compatible with Android only)</v>
      </c>
      <c r="L459" s="17" t="str">
        <f>IFERROR(__xludf.DUMMYFUNCTION("""COMPUTED_VALUE"""),"Electronics|WearableTechnology|SmartWatches")</f>
        <v>Electronics|WearableTechnology|SmartWatches</v>
      </c>
      <c r="M459" s="23">
        <f>IFERROR(__xludf.DUMMYFUNCTION("""COMPUTED_VALUE"""),12000.0)</f>
        <v>12000</v>
      </c>
      <c r="N459" s="23">
        <f>IFERROR(__xludf.DUMMYFUNCTION("""COMPUTED_VALUE"""),29999.0)</f>
        <v>29999</v>
      </c>
      <c r="O459" s="24">
        <f>IFERROR(__xludf.DUMMYFUNCTION("""COMPUTED_VALUE"""),0.6)</f>
        <v>0.6</v>
      </c>
      <c r="P459" s="17">
        <f>IFERROR(__xludf.DUMMYFUNCTION("""COMPUTED_VALUE"""),4.3)</f>
        <v>4.3</v>
      </c>
      <c r="Q459" s="25">
        <f>IFERROR(__xludf.DUMMYFUNCTION("""COMPUTED_VALUE"""),4744.0)</f>
        <v>4744</v>
      </c>
    </row>
    <row r="460">
      <c r="A460" s="7" t="s">
        <v>499</v>
      </c>
      <c r="B460" s="7" t="s">
        <v>373</v>
      </c>
      <c r="C460" s="8">
        <v>1999.0</v>
      </c>
      <c r="D460" s="8">
        <v>7990.0</v>
      </c>
      <c r="E460" s="19">
        <v>0.75</v>
      </c>
      <c r="F460" s="10">
        <v>3.8</v>
      </c>
      <c r="G460" s="11">
        <v>17833.0</v>
      </c>
      <c r="K460" s="17" t="str">
        <f>IFERROR(__xludf.DUMMYFUNCTION("""COMPUTED_VALUE"""),"Duracell Ultra Alkaline AAA Battery, 8 Pcs")</f>
        <v>Duracell Ultra Alkaline AAA Battery, 8 Pcs</v>
      </c>
      <c r="L460" s="17" t="str">
        <f>IFERROR(__xludf.DUMMYFUNCTION("""COMPUTED_VALUE"""),"Electronics|GeneralPurposeBatteries&amp;BatteryChargers|DisposableBatteries")</f>
        <v>Electronics|GeneralPurposeBatteries&amp;BatteryChargers|DisposableBatteries</v>
      </c>
      <c r="M460" s="23">
        <f>IFERROR(__xludf.DUMMYFUNCTION("""COMPUTED_VALUE"""),269.0)</f>
        <v>269</v>
      </c>
      <c r="N460" s="23">
        <f>IFERROR(__xludf.DUMMYFUNCTION("""COMPUTED_VALUE"""),315.0)</f>
        <v>315</v>
      </c>
      <c r="O460" s="24">
        <f>IFERROR(__xludf.DUMMYFUNCTION("""COMPUTED_VALUE"""),0.15)</f>
        <v>0.15</v>
      </c>
      <c r="P460" s="17">
        <f>IFERROR(__xludf.DUMMYFUNCTION("""COMPUTED_VALUE"""),4.5)</f>
        <v>4.5</v>
      </c>
      <c r="Q460" s="25">
        <f>IFERROR(__xludf.DUMMYFUNCTION("""COMPUTED_VALUE"""),17810.0)</f>
        <v>17810</v>
      </c>
    </row>
    <row r="461">
      <c r="A461" s="7" t="s">
        <v>500</v>
      </c>
      <c r="B461" s="7" t="s">
        <v>490</v>
      </c>
      <c r="C461" s="8">
        <v>999.0</v>
      </c>
      <c r="D461" s="8">
        <v>2899.0</v>
      </c>
      <c r="E461" s="19">
        <v>0.66</v>
      </c>
      <c r="F461" s="10">
        <v>4.7</v>
      </c>
      <c r="G461" s="11">
        <v>7779.0</v>
      </c>
      <c r="K461" s="17" t="str">
        <f>IFERROR(__xludf.DUMMYFUNCTION("""COMPUTED_VALUE"""),"JBL C200SI, Premium in Ear Wired Earphones with Mic, Signature Sound, One Button Multi-Function Remote, Angled Earbuds for Comfort fit (Blue)")</f>
        <v>JBL C200SI, Premium in Ear Wired Earphones with Mic, Signature Sound, One Button Multi-Function Remote, Angled Earbuds for Comfort fit (Blue)</v>
      </c>
      <c r="L461" s="17" t="str">
        <f>IFERROR(__xludf.DUMMYFUNCTION("""COMPUTED_VALUE"""),"Electronics|Headphones,Earbuds&amp;Accessories|Headphones|In-Ear")</f>
        <v>Electronics|Headphones,Earbuds&amp;Accessories|Headphones|In-Ear</v>
      </c>
      <c r="M461" s="23">
        <f>IFERROR(__xludf.DUMMYFUNCTION("""COMPUTED_VALUE"""),799.0)</f>
        <v>799</v>
      </c>
      <c r="N461" s="23">
        <f>IFERROR(__xludf.DUMMYFUNCTION("""COMPUTED_VALUE"""),1499.0)</f>
        <v>1499</v>
      </c>
      <c r="O461" s="24">
        <f>IFERROR(__xludf.DUMMYFUNCTION("""COMPUTED_VALUE"""),0.47)</f>
        <v>0.47</v>
      </c>
      <c r="P461" s="17">
        <f>IFERROR(__xludf.DUMMYFUNCTION("""COMPUTED_VALUE"""),4.1)</f>
        <v>4.1</v>
      </c>
      <c r="Q461" s="25">
        <f>IFERROR(__xludf.DUMMYFUNCTION("""COMPUTED_VALUE"""),53648.0)</f>
        <v>53648</v>
      </c>
    </row>
    <row r="462">
      <c r="A462" s="7" t="s">
        <v>501</v>
      </c>
      <c r="B462" s="7" t="s">
        <v>502</v>
      </c>
      <c r="C462" s="8">
        <v>2099.0</v>
      </c>
      <c r="D462" s="8">
        <v>5999.0</v>
      </c>
      <c r="E462" s="19">
        <v>0.65</v>
      </c>
      <c r="F462" s="10">
        <v>4.3</v>
      </c>
      <c r="G462" s="11">
        <v>17129.0</v>
      </c>
      <c r="K462" s="17" t="str">
        <f>IFERROR(__xludf.DUMMYFUNCTION("""COMPUTED_VALUE"""),"Acer EK220Q 21.5 Inch (54.61 cm) Full HD (1920x1080) VA Panel LCD Monitor with LED Back Light I 250 Nits I HDMI, VGA Ports I Eye Care Features Like Bluelight Shield, Flickerless &amp; Comfy View (Black)")</f>
        <v>Acer EK220Q 21.5 Inch (54.61 cm) Full HD (1920x1080) VA Panel LCD Monitor with LED Back Light I 250 Nits I HDMI, VGA Ports I Eye Care Features Like Bluelight Shield, Flickerless &amp; Comfy View (Black)</v>
      </c>
      <c r="L462" s="17" t="str">
        <f>IFERROR(__xludf.DUMMYFUNCTION("""COMPUTED_VALUE"""),"Computers&amp;Accessories|Monitors")</f>
        <v>Computers&amp;Accessories|Monitors</v>
      </c>
      <c r="M462" s="23">
        <f>IFERROR(__xludf.DUMMYFUNCTION("""COMPUTED_VALUE"""),6299.0)</f>
        <v>6299</v>
      </c>
      <c r="N462" s="23">
        <f>IFERROR(__xludf.DUMMYFUNCTION("""COMPUTED_VALUE"""),13750.0)</f>
        <v>13750</v>
      </c>
      <c r="O462" s="24">
        <f>IFERROR(__xludf.DUMMYFUNCTION("""COMPUTED_VALUE"""),0.54)</f>
        <v>0.54</v>
      </c>
      <c r="P462" s="17">
        <f>IFERROR(__xludf.DUMMYFUNCTION("""COMPUTED_VALUE"""),4.2)</f>
        <v>4.2</v>
      </c>
      <c r="Q462" s="25">
        <f>IFERROR(__xludf.DUMMYFUNCTION("""COMPUTED_VALUE"""),2014.0)</f>
        <v>2014</v>
      </c>
    </row>
    <row r="463">
      <c r="A463" s="7" t="s">
        <v>503</v>
      </c>
      <c r="B463" s="7" t="s">
        <v>399</v>
      </c>
      <c r="C463" s="8">
        <v>337.0</v>
      </c>
      <c r="D463" s="8">
        <v>699.0</v>
      </c>
      <c r="E463" s="19">
        <v>0.52</v>
      </c>
      <c r="F463" s="10">
        <v>4.2</v>
      </c>
      <c r="G463" s="11">
        <v>4969.0</v>
      </c>
      <c r="K463" s="17" t="str">
        <f>IFERROR(__xludf.DUMMYFUNCTION("""COMPUTED_VALUE"""),"boAt Dual Port Rapid Car Charger (Qualcomm Certified) with Quick Charge 3.0 + Free Micro USB Cable - (Black)")</f>
        <v>boAt Dual Port Rapid Car Charger (Qualcomm Certified) with Quick Charge 3.0 + Free Micro USB Cable - (Black)</v>
      </c>
      <c r="L463" s="17" t="str">
        <f>IFERROR(__xludf.DUMMYFUNCTION("""COMPUTED_VALUE"""),"Electronics|Mobiles&amp;Accessories|MobileAccessories|Chargers|AutomobileChargers")</f>
        <v>Electronics|Mobiles&amp;Accessories|MobileAccessories|Chargers|AutomobileChargers</v>
      </c>
      <c r="M463" s="23">
        <f>IFERROR(__xludf.DUMMYFUNCTION("""COMPUTED_VALUE"""),571.0)</f>
        <v>571</v>
      </c>
      <c r="N463" s="23">
        <f>IFERROR(__xludf.DUMMYFUNCTION("""COMPUTED_VALUE"""),999.0)</f>
        <v>999</v>
      </c>
      <c r="O463" s="24">
        <f>IFERROR(__xludf.DUMMYFUNCTION("""COMPUTED_VALUE"""),0.43)</f>
        <v>0.43</v>
      </c>
      <c r="P463" s="17">
        <f>IFERROR(__xludf.DUMMYFUNCTION("""COMPUTED_VALUE"""),4.3)</f>
        <v>4.3</v>
      </c>
      <c r="Q463" s="25">
        <f>IFERROR(__xludf.DUMMYFUNCTION("""COMPUTED_VALUE"""),38221.0)</f>
        <v>38221</v>
      </c>
    </row>
    <row r="464">
      <c r="A464" s="7" t="s">
        <v>504</v>
      </c>
      <c r="B464" s="7" t="s">
        <v>373</v>
      </c>
      <c r="C464" s="8">
        <v>2999.0</v>
      </c>
      <c r="D464" s="8">
        <v>7990.0</v>
      </c>
      <c r="E464" s="19">
        <v>0.62</v>
      </c>
      <c r="F464" s="10">
        <v>4.1</v>
      </c>
      <c r="G464" s="10">
        <v>154.0</v>
      </c>
      <c r="K464" s="17" t="str">
        <f>IFERROR(__xludf.DUMMYFUNCTION("""COMPUTED_VALUE"""),"KINGONE Upgraded Stylus Pen, iPad Pencil, Ultra High Precision &amp; Sensitivity, Palm Rejection, Prevents False ON/Off Touch, Power Display, Tilt Sensitivity, Magnetic Adsorption for iPad 2018 and Later")</f>
        <v>KINGONE Upgraded Stylus Pen, iPad Pencil, Ultra High Precision &amp; Sensitivity, Palm Rejection, Prevents False ON/Off Touch, Power Display, Tilt Sensitivity, Magnetic Adsorption for iPad 2018 and Later</v>
      </c>
      <c r="L464" s="17" t="str">
        <f>IFERROR(__xludf.DUMMYFUNCTION("""COMPUTED_VALUE"""),"Electronics|Mobiles&amp;Accessories|MobileAccessories|StylusPens")</f>
        <v>Electronics|Mobiles&amp;Accessories|MobileAccessories|StylusPens</v>
      </c>
      <c r="M464" s="23">
        <f>IFERROR(__xludf.DUMMYFUNCTION("""COMPUTED_VALUE"""),2099.0)</f>
        <v>2099</v>
      </c>
      <c r="N464" s="23">
        <f>IFERROR(__xludf.DUMMYFUNCTION("""COMPUTED_VALUE"""),5999.0)</f>
        <v>5999</v>
      </c>
      <c r="O464" s="24">
        <f>IFERROR(__xludf.DUMMYFUNCTION("""COMPUTED_VALUE"""),0.65)</f>
        <v>0.65</v>
      </c>
      <c r="P464" s="17">
        <f>IFERROR(__xludf.DUMMYFUNCTION("""COMPUTED_VALUE"""),4.3)</f>
        <v>4.3</v>
      </c>
      <c r="Q464" s="25">
        <f>IFERROR(__xludf.DUMMYFUNCTION("""COMPUTED_VALUE"""),17129.0)</f>
        <v>17129</v>
      </c>
    </row>
    <row r="465">
      <c r="A465" s="7" t="s">
        <v>505</v>
      </c>
      <c r="B465" s="7" t="s">
        <v>373</v>
      </c>
      <c r="C465" s="8">
        <v>1299.0</v>
      </c>
      <c r="D465" s="8">
        <v>5999.0</v>
      </c>
      <c r="E465" s="19">
        <v>0.78</v>
      </c>
      <c r="F465" s="10">
        <v>3.3</v>
      </c>
      <c r="G465" s="11">
        <v>4415.0</v>
      </c>
      <c r="K465" s="17" t="str">
        <f>IFERROR(__xludf.DUMMYFUNCTION("""COMPUTED_VALUE"""),"LG 80 cm (32 inches) HD Ready Smart LED TV 32LM563BPTC (Dark Iron Gray)")</f>
        <v>LG 80 cm (32 inches) HD Ready Smart LED TV 32LM563BPTC (Dark Iron Gray)</v>
      </c>
      <c r="L465" s="17" t="str">
        <f>IFERROR(__xludf.DUMMYFUNCTION("""COMPUTED_VALUE"""),"Electronics|HomeTheater,TV&amp;Video|Televisions|SmartTelevisions")</f>
        <v>Electronics|HomeTheater,TV&amp;Video|Televisions|SmartTelevisions</v>
      </c>
      <c r="M465" s="23">
        <f>IFERROR(__xludf.DUMMYFUNCTION("""COMPUTED_VALUE"""),13490.0)</f>
        <v>13490</v>
      </c>
      <c r="N465" s="23">
        <f>IFERROR(__xludf.DUMMYFUNCTION("""COMPUTED_VALUE"""),21990.0)</f>
        <v>21990</v>
      </c>
      <c r="O465" s="24">
        <f>IFERROR(__xludf.DUMMYFUNCTION("""COMPUTED_VALUE"""),0.39)</f>
        <v>0.39</v>
      </c>
      <c r="P465" s="17">
        <f>IFERROR(__xludf.DUMMYFUNCTION("""COMPUTED_VALUE"""),4.3)</f>
        <v>4.3</v>
      </c>
      <c r="Q465" s="25">
        <f>IFERROR(__xludf.DUMMYFUNCTION("""COMPUTED_VALUE"""),11976.0)</f>
        <v>11976</v>
      </c>
    </row>
    <row r="466">
      <c r="A466" s="7" t="s">
        <v>35</v>
      </c>
      <c r="B466" s="7" t="s">
        <v>15</v>
      </c>
      <c r="C466" s="8">
        <v>349.0</v>
      </c>
      <c r="D466" s="8">
        <v>399.0</v>
      </c>
      <c r="E466" s="19">
        <v>0.13</v>
      </c>
      <c r="F466" s="10">
        <v>4.4</v>
      </c>
      <c r="G466" s="11">
        <v>18757.0</v>
      </c>
      <c r="K466" s="17" t="str">
        <f>IFERROR(__xludf.DUMMYFUNCTION("""COMPUTED_VALUE"""),"Gizga Essentials Professional 3-in-1 Cleaning Kit for Camera, Lens, Binocular, Laptop, TV, Monitor, Smartphone, Tablet (Includes: Cleaning Liquid 100ml, Plush Microfiber Cloth, Dust Removal Brush)")</f>
        <v>Gizga Essentials Professional 3-in-1 Cleaning Kit for Camera, Lens, Binocular, Laptop, TV, Monitor, Smartphone, Tablet (Includes: Cleaning Liquid 100ml, Plush Microfiber Cloth, Dust Removal Brush)</v>
      </c>
      <c r="L466" s="17" t="str">
        <f>IFERROR(__xludf.DUMMYFUNCTION("""COMPUTED_VALUE"""),"Electronics|Cameras&amp;Photography|Accessories|Cleaners|CleaningKits")</f>
        <v>Electronics|Cameras&amp;Photography|Accessories|Cleaners|CleaningKits</v>
      </c>
      <c r="M466" s="23">
        <f>IFERROR(__xludf.DUMMYFUNCTION("""COMPUTED_VALUE"""),299.0)</f>
        <v>299</v>
      </c>
      <c r="N466" s="23">
        <f>IFERROR(__xludf.DUMMYFUNCTION("""COMPUTED_VALUE"""),499.0)</f>
        <v>499</v>
      </c>
      <c r="O466" s="24">
        <f>IFERROR(__xludf.DUMMYFUNCTION("""COMPUTED_VALUE"""),0.4)</f>
        <v>0.4</v>
      </c>
      <c r="P466" s="17">
        <f>IFERROR(__xludf.DUMMYFUNCTION("""COMPUTED_VALUE"""),4.2)</f>
        <v>4.2</v>
      </c>
      <c r="Q466" s="25">
        <f>IFERROR(__xludf.DUMMYFUNCTION("""COMPUTED_VALUE"""),24432.0)</f>
        <v>24432</v>
      </c>
    </row>
    <row r="467">
      <c r="A467" s="7" t="s">
        <v>506</v>
      </c>
      <c r="B467" s="7" t="s">
        <v>380</v>
      </c>
      <c r="C467" s="8">
        <v>16499.0</v>
      </c>
      <c r="D467" s="8">
        <v>20990.0</v>
      </c>
      <c r="E467" s="19">
        <v>0.21</v>
      </c>
      <c r="F467" s="10">
        <v>4.0</v>
      </c>
      <c r="G467" s="11">
        <v>21350.0</v>
      </c>
      <c r="K467" s="17" t="str">
        <f>IFERROR(__xludf.DUMMYFUNCTION("""COMPUTED_VALUE"""),"SanDisk Ultra Dual 64 GB USB 3.0 OTG Pen Drive (Black)")</f>
        <v>SanDisk Ultra Dual 64 GB USB 3.0 OTG Pen Drive (Black)</v>
      </c>
      <c r="L467" s="17" t="str">
        <f>IFERROR(__xludf.DUMMYFUNCTION("""COMPUTED_VALUE"""),"Computers&amp;Accessories|ExternalDevices&amp;DataStorage|PenDrives")</f>
        <v>Computers&amp;Accessories|ExternalDevices&amp;DataStorage|PenDrives</v>
      </c>
      <c r="M467" s="23">
        <f>IFERROR(__xludf.DUMMYFUNCTION("""COMPUTED_VALUE"""),579.0)</f>
        <v>579</v>
      </c>
      <c r="N467" s="23">
        <f>IFERROR(__xludf.DUMMYFUNCTION("""COMPUTED_VALUE"""),1400.0)</f>
        <v>1400</v>
      </c>
      <c r="O467" s="24">
        <f>IFERROR(__xludf.DUMMYFUNCTION("""COMPUTED_VALUE"""),0.59)</f>
        <v>0.59</v>
      </c>
      <c r="P467" s="17">
        <f>IFERROR(__xludf.DUMMYFUNCTION("""COMPUTED_VALUE"""),4.3)</f>
        <v>4.3</v>
      </c>
      <c r="Q467" s="17" t="str">
        <f>IFERROR(__xludf.DUMMYFUNCTION("""COMPUTED_VALUE"""),"1,89,104")</f>
        <v>1,89,104</v>
      </c>
    </row>
    <row r="468">
      <c r="A468" s="7" t="s">
        <v>507</v>
      </c>
      <c r="B468" s="7" t="s">
        <v>393</v>
      </c>
      <c r="C468" s="8">
        <v>499.0</v>
      </c>
      <c r="D468" s="8">
        <v>499.0</v>
      </c>
      <c r="E468" s="19">
        <v>0.0</v>
      </c>
      <c r="F468" s="10">
        <v>4.2</v>
      </c>
      <c r="G468" s="11">
        <v>31539.0</v>
      </c>
      <c r="K468" s="17" t="str">
        <f>IFERROR(__xludf.DUMMYFUNCTION("""COMPUTED_VALUE"""),"TP-Link Tapo 360° 2MP 1080p Full HD Pan/Tilt Home Security Wi-Fi Smart Camera| Alexa Enabled| 2-Way Audio| Night Vision| Motion Detection| Sound and Light Alarm| Indoor CCTV (Tapo C200) White")</f>
        <v>TP-Link Tapo 360° 2MP 1080p Full HD Pan/Tilt Home Security Wi-Fi Smart Camera| Alexa Enabled| 2-Way Audio| Night Vision| Motion Detection| Sound and Light Alarm| Indoor CCTV (Tapo C200) White</v>
      </c>
      <c r="L468" s="17" t="str">
        <f>IFERROR(__xludf.DUMMYFUNCTION("""COMPUTED_VALUE"""),"Electronics|Cameras&amp;Photography|SecurityCameras|DomeCameras")</f>
        <v>Electronics|Cameras&amp;Photography|SecurityCameras|DomeCameras</v>
      </c>
      <c r="M468" s="23">
        <f>IFERROR(__xludf.DUMMYFUNCTION("""COMPUTED_VALUE"""),2499.0)</f>
        <v>2499</v>
      </c>
      <c r="N468" s="23">
        <f>IFERROR(__xludf.DUMMYFUNCTION("""COMPUTED_VALUE"""),3299.0)</f>
        <v>3299</v>
      </c>
      <c r="O468" s="24">
        <f>IFERROR(__xludf.DUMMYFUNCTION("""COMPUTED_VALUE"""),0.24)</f>
        <v>0.24</v>
      </c>
      <c r="P468" s="17">
        <f>IFERROR(__xludf.DUMMYFUNCTION("""COMPUTED_VALUE"""),4.2)</f>
        <v>4.2</v>
      </c>
      <c r="Q468" s="25">
        <f>IFERROR(__xludf.DUMMYFUNCTION("""COMPUTED_VALUE"""),93112.0)</f>
        <v>93112</v>
      </c>
    </row>
    <row r="469">
      <c r="A469" s="7" t="s">
        <v>41</v>
      </c>
      <c r="B469" s="7" t="s">
        <v>15</v>
      </c>
      <c r="C469" s="8">
        <v>970.0</v>
      </c>
      <c r="D469" s="8">
        <v>1799.0</v>
      </c>
      <c r="E469" s="19">
        <v>0.46</v>
      </c>
      <c r="F469" s="10">
        <v>4.5</v>
      </c>
      <c r="G469" s="10">
        <v>815.0</v>
      </c>
      <c r="K469" s="17" t="str">
        <f>IFERROR(__xludf.DUMMYFUNCTION("""COMPUTED_VALUE"""),"Duracell Plus AAA Rechargeable Batteries (750 mAh) Pack of 4")</f>
        <v>Duracell Plus AAA Rechargeable Batteries (750 mAh) Pack of 4</v>
      </c>
      <c r="L469" s="17" t="str">
        <f>IFERROR(__xludf.DUMMYFUNCTION("""COMPUTED_VALUE"""),"Electronics|GeneralPurposeBatteries&amp;BatteryChargers|RechargeableBatteries")</f>
        <v>Electronics|GeneralPurposeBatteries&amp;BatteryChargers|RechargeableBatteries</v>
      </c>
      <c r="M469" s="23">
        <f>IFERROR(__xludf.DUMMYFUNCTION("""COMPUTED_VALUE"""),399.0)</f>
        <v>399</v>
      </c>
      <c r="N469" s="23">
        <f>IFERROR(__xludf.DUMMYFUNCTION("""COMPUTED_VALUE"""),499.0)</f>
        <v>499</v>
      </c>
      <c r="O469" s="24">
        <f>IFERROR(__xludf.DUMMYFUNCTION("""COMPUTED_VALUE"""),0.2)</f>
        <v>0.2</v>
      </c>
      <c r="P469" s="17">
        <f>IFERROR(__xludf.DUMMYFUNCTION("""COMPUTED_VALUE"""),4.3)</f>
        <v>4.3</v>
      </c>
      <c r="Q469" s="25">
        <f>IFERROR(__xludf.DUMMYFUNCTION("""COMPUTED_VALUE"""),27201.0)</f>
        <v>27201</v>
      </c>
    </row>
    <row r="470">
      <c r="A470" s="7" t="s">
        <v>508</v>
      </c>
      <c r="B470" s="7" t="s">
        <v>490</v>
      </c>
      <c r="C470" s="8">
        <v>999.0</v>
      </c>
      <c r="D470" s="8">
        <v>2899.0</v>
      </c>
      <c r="E470" s="19">
        <v>0.66</v>
      </c>
      <c r="F470" s="10">
        <v>4.6</v>
      </c>
      <c r="G470" s="11">
        <v>6129.0</v>
      </c>
      <c r="K470" s="17" t="str">
        <f>IFERROR(__xludf.DUMMYFUNCTION("""COMPUTED_VALUE"""),"Samsung 80 cm (32 Inches) Wondertainment Series HD Ready LED Smart TV UA32T4340BKXXL (Glossy Black)")</f>
        <v>Samsung 80 cm (32 Inches) Wondertainment Series HD Ready LED Smart TV UA32T4340BKXXL (Glossy Black)</v>
      </c>
      <c r="L470" s="17" t="str">
        <f>IFERROR(__xludf.DUMMYFUNCTION("""COMPUTED_VALUE"""),"Electronics|HomeTheater,TV&amp;Video|Televisions|SmartTelevisions")</f>
        <v>Electronics|HomeTheater,TV&amp;Video|Televisions|SmartTelevisions</v>
      </c>
      <c r="M470" s="23">
        <f>IFERROR(__xludf.DUMMYFUNCTION("""COMPUTED_VALUE"""),13490.0)</f>
        <v>13490</v>
      </c>
      <c r="N470" s="23">
        <f>IFERROR(__xludf.DUMMYFUNCTION("""COMPUTED_VALUE"""),22900.0)</f>
        <v>22900</v>
      </c>
      <c r="O470" s="24">
        <f>IFERROR(__xludf.DUMMYFUNCTION("""COMPUTED_VALUE"""),0.41)</f>
        <v>0.41</v>
      </c>
      <c r="P470" s="17">
        <f>IFERROR(__xludf.DUMMYFUNCTION("""COMPUTED_VALUE"""),4.3)</f>
        <v>4.3</v>
      </c>
      <c r="Q470" s="25">
        <f>IFERROR(__xludf.DUMMYFUNCTION("""COMPUTED_VALUE"""),16299.0)</f>
        <v>16299</v>
      </c>
    </row>
    <row r="471">
      <c r="A471" s="7" t="s">
        <v>509</v>
      </c>
      <c r="B471" s="7" t="s">
        <v>380</v>
      </c>
      <c r="C471" s="8">
        <v>10499.0</v>
      </c>
      <c r="D471" s="8">
        <v>13499.0</v>
      </c>
      <c r="E471" s="19">
        <v>0.22</v>
      </c>
      <c r="F471" s="10">
        <v>4.2</v>
      </c>
      <c r="G471" s="10">
        <v>284.0</v>
      </c>
      <c r="K471" s="17" t="str">
        <f>IFERROR(__xludf.DUMMYFUNCTION("""COMPUTED_VALUE"""),"Logitech B100 Wired USB Mouse, 3 yr Warranty, 800 DPI Optical Tracking, Ambidextrous PC/Mac/Laptop - Black")</f>
        <v>Logitech B100 Wired USB Mouse, 3 yr Warranty, 800 DPI Optical Tracking, Ambidextrous PC/Mac/Laptop - Black</v>
      </c>
      <c r="L471" s="17" t="str">
        <f>IFERROR(__xludf.DUMMYFUNCTION("""COMPUTED_VALUE"""),"Computers&amp;Accessories|Accessories&amp;Peripherals|Keyboards,Mice&amp;InputDevices|Mice")</f>
        <v>Computers&amp;Accessories|Accessories&amp;Peripherals|Keyboards,Mice&amp;InputDevices|Mice</v>
      </c>
      <c r="M471" s="23">
        <f>IFERROR(__xludf.DUMMYFUNCTION("""COMPUTED_VALUE"""),279.0)</f>
        <v>279</v>
      </c>
      <c r="N471" s="23">
        <f>IFERROR(__xludf.DUMMYFUNCTION("""COMPUTED_VALUE"""),375.0)</f>
        <v>375</v>
      </c>
      <c r="O471" s="24">
        <f>IFERROR(__xludf.DUMMYFUNCTION("""COMPUTED_VALUE"""),0.26)</f>
        <v>0.26</v>
      </c>
      <c r="P471" s="17">
        <f>IFERROR(__xludf.DUMMYFUNCTION("""COMPUTED_VALUE"""),4.3)</f>
        <v>4.3</v>
      </c>
      <c r="Q471" s="25">
        <f>IFERROR(__xludf.DUMMYFUNCTION("""COMPUTED_VALUE"""),31534.0)</f>
        <v>31534</v>
      </c>
    </row>
    <row r="472">
      <c r="A472" s="7" t="s">
        <v>38</v>
      </c>
      <c r="B472" s="7" t="s">
        <v>15</v>
      </c>
      <c r="C472" s="8">
        <v>249.0</v>
      </c>
      <c r="D472" s="8">
        <v>399.0</v>
      </c>
      <c r="E472" s="19">
        <v>0.38</v>
      </c>
      <c r="F472" s="10">
        <v>4.0</v>
      </c>
      <c r="G472" s="11">
        <v>43994.0</v>
      </c>
      <c r="K472" s="17" t="str">
        <f>IFERROR(__xludf.DUMMYFUNCTION("""COMPUTED_VALUE"""),"Classmate 2100117 Soft Cover 6 Subject Spiral Binding Notebook, Single Line, 300 Pages")</f>
        <v>Classmate 2100117 Soft Cover 6 Subject Spiral Binding Notebook, Single Line, 300 Pages</v>
      </c>
      <c r="L472" s="17" t="str">
        <f>IFERROR(__xludf.DUMMYFUNCTION("""COMPUTED_VALUE"""),"OfficeProducts|OfficePaperProducts|Paper|Stationery|Notebooks,WritingPads&amp;Diaries|WireboundNotebooks")</f>
        <v>OfficeProducts|OfficePaperProducts|Paper|Stationery|Notebooks,WritingPads&amp;Diaries|WireboundNotebooks</v>
      </c>
      <c r="M472" s="23">
        <f>IFERROR(__xludf.DUMMYFUNCTION("""COMPUTED_VALUE"""),137.0)</f>
        <v>137</v>
      </c>
      <c r="N472" s="23">
        <f>IFERROR(__xludf.DUMMYFUNCTION("""COMPUTED_VALUE"""),160.0)</f>
        <v>160</v>
      </c>
      <c r="O472" s="24">
        <f>IFERROR(__xludf.DUMMYFUNCTION("""COMPUTED_VALUE"""),0.14)</f>
        <v>0.14</v>
      </c>
      <c r="P472" s="17">
        <f>IFERROR(__xludf.DUMMYFUNCTION("""COMPUTED_VALUE"""),4.4)</f>
        <v>4.4</v>
      </c>
      <c r="Q472" s="25">
        <f>IFERROR(__xludf.DUMMYFUNCTION("""COMPUTED_VALUE"""),6537.0)</f>
        <v>6537</v>
      </c>
    </row>
    <row r="473">
      <c r="A473" s="7" t="s">
        <v>510</v>
      </c>
      <c r="B473" s="7" t="s">
        <v>511</v>
      </c>
      <c r="C473" s="8">
        <v>251.0</v>
      </c>
      <c r="D473" s="8">
        <v>999.0</v>
      </c>
      <c r="E473" s="19">
        <v>0.75</v>
      </c>
      <c r="F473" s="10">
        <v>3.7</v>
      </c>
      <c r="G473" s="11">
        <v>3234.0</v>
      </c>
      <c r="K473" s="17" t="str">
        <f>IFERROR(__xludf.DUMMYFUNCTION("""COMPUTED_VALUE"""),"AirCase Rugged Hard Drive Case for 2.5-inch Western Digital, Seagate, Toshiba, Portable Storage Shell for Gadget Hard Disk USB Cable Power Bank Mobile Charger Earphone, Waterproof (Black)")</f>
        <v>AirCase Rugged Hard Drive Case for 2.5-inch Western Digital, Seagate, Toshiba, Portable Storage Shell for Gadget Hard Disk USB Cable Power Bank Mobile Charger Earphone, Waterproof (Black)</v>
      </c>
      <c r="L473" s="17" t="str">
        <f>IFERROR(__xludf.DUMMYFUNCTION("""COMPUTED_VALUE"""),"Computers&amp;Accessories|Accessories&amp;Peripherals|HardDiskBags")</f>
        <v>Computers&amp;Accessories|Accessories&amp;Peripherals|HardDiskBags</v>
      </c>
      <c r="M473" s="23">
        <f>IFERROR(__xludf.DUMMYFUNCTION("""COMPUTED_VALUE"""),299.0)</f>
        <v>299</v>
      </c>
      <c r="N473" s="23">
        <f>IFERROR(__xludf.DUMMYFUNCTION("""COMPUTED_VALUE"""),499.0)</f>
        <v>499</v>
      </c>
      <c r="O473" s="24">
        <f>IFERROR(__xludf.DUMMYFUNCTION("""COMPUTED_VALUE"""),0.4)</f>
        <v>0.4</v>
      </c>
      <c r="P473" s="17">
        <f>IFERROR(__xludf.DUMMYFUNCTION("""COMPUTED_VALUE"""),4.5)</f>
        <v>4.5</v>
      </c>
      <c r="Q473" s="25">
        <f>IFERROR(__xludf.DUMMYFUNCTION("""COMPUTED_VALUE"""),21010.0)</f>
        <v>21010</v>
      </c>
    </row>
    <row r="474">
      <c r="A474" s="7" t="s">
        <v>39</v>
      </c>
      <c r="B474" s="7" t="s">
        <v>15</v>
      </c>
      <c r="C474" s="8">
        <v>199.0</v>
      </c>
      <c r="D474" s="8">
        <v>499.0</v>
      </c>
      <c r="E474" s="19">
        <v>0.6</v>
      </c>
      <c r="F474" s="10">
        <v>4.1</v>
      </c>
      <c r="G474" s="11">
        <v>13045.0</v>
      </c>
      <c r="K474" s="17" t="str">
        <f>IFERROR(__xludf.DUMMYFUNCTION("""COMPUTED_VALUE"""),"JBL Go 2, Wireless Portable Bluetooth Speaker with Mic, JBL Signature Sound, Vibrant Color Options with IPX7 Waterproof &amp; AUX (Blue)")</f>
        <v>JBL Go 2, Wireless Portable Bluetooth Speaker with Mic, JBL Signature Sound, Vibrant Color Options with IPX7 Waterproof &amp; AUX (Blue)</v>
      </c>
      <c r="L474" s="17" t="str">
        <f>IFERROR(__xludf.DUMMYFUNCTION("""COMPUTED_VALUE"""),"Electronics|HomeAudio|Speakers|BluetoothSpeakers")</f>
        <v>Electronics|HomeAudio|Speakers|BluetoothSpeakers</v>
      </c>
      <c r="M474" s="23">
        <f>IFERROR(__xludf.DUMMYFUNCTION("""COMPUTED_VALUE"""),1999.0)</f>
        <v>1999</v>
      </c>
      <c r="N474" s="23">
        <f>IFERROR(__xludf.DUMMYFUNCTION("""COMPUTED_VALUE"""),2999.0)</f>
        <v>2999</v>
      </c>
      <c r="O474" s="24">
        <f>IFERROR(__xludf.DUMMYFUNCTION("""COMPUTED_VALUE"""),0.33)</f>
        <v>0.33</v>
      </c>
      <c r="P474" s="17">
        <f>IFERROR(__xludf.DUMMYFUNCTION("""COMPUTED_VALUE"""),4.3)</f>
        <v>4.3</v>
      </c>
      <c r="Q474" s="25">
        <f>IFERROR(__xludf.DUMMYFUNCTION("""COMPUTED_VALUE"""),63899.0)</f>
        <v>63899</v>
      </c>
    </row>
    <row r="475">
      <c r="A475" s="7" t="s">
        <v>512</v>
      </c>
      <c r="B475" s="7" t="s">
        <v>380</v>
      </c>
      <c r="C475" s="8">
        <v>6499.0</v>
      </c>
      <c r="D475" s="8">
        <v>7999.0</v>
      </c>
      <c r="E475" s="19">
        <v>0.19</v>
      </c>
      <c r="F475" s="10">
        <v>4.1</v>
      </c>
      <c r="G475" s="7" t="s">
        <v>513</v>
      </c>
      <c r="K475" s="17" t="str">
        <f>IFERROR(__xludf.DUMMYFUNCTION("""COMPUTED_VALUE"""),"Tizum High Speed HDMI Cable with Ethernet | Supports 3D 4K | for All HDMI Devices Laptop Computer Gaming Console TV Set Top Box (1.5 Meter/ 5 Feet)")</f>
        <v>Tizum High Speed HDMI Cable with Ethernet | Supports 3D 4K | for All HDMI Devices Laptop Computer Gaming Console TV Set Top Box (1.5 Meter/ 5 Feet)</v>
      </c>
      <c r="L475" s="17" t="str">
        <f>IFERROR(__xludf.DUMMYFUNCTION("""COMPUTED_VALUE"""),"Electronics|HomeTheater,TV&amp;Video|Accessories|Cables|HDMICables")</f>
        <v>Electronics|HomeTheater,TV&amp;Video|Accessories|Cables|HDMICables</v>
      </c>
      <c r="M475" s="23">
        <f>IFERROR(__xludf.DUMMYFUNCTION("""COMPUTED_VALUE"""),199.0)</f>
        <v>199</v>
      </c>
      <c r="N475" s="23">
        <f>IFERROR(__xludf.DUMMYFUNCTION("""COMPUTED_VALUE"""),699.0)</f>
        <v>699</v>
      </c>
      <c r="O475" s="24">
        <f>IFERROR(__xludf.DUMMYFUNCTION("""COMPUTED_VALUE"""),0.72)</f>
        <v>0.72</v>
      </c>
      <c r="P475" s="17">
        <f>IFERROR(__xludf.DUMMYFUNCTION("""COMPUTED_VALUE"""),4.2)</f>
        <v>4.2</v>
      </c>
      <c r="Q475" s="25">
        <f>IFERROR(__xludf.DUMMYFUNCTION("""COMPUTED_VALUE"""),12153.0)</f>
        <v>12153</v>
      </c>
    </row>
    <row r="476">
      <c r="A476" s="7" t="s">
        <v>514</v>
      </c>
      <c r="B476" s="7" t="s">
        <v>373</v>
      </c>
      <c r="C476" s="8">
        <v>2999.0</v>
      </c>
      <c r="D476" s="8">
        <v>9999.0</v>
      </c>
      <c r="E476" s="19">
        <v>0.7</v>
      </c>
      <c r="F476" s="10">
        <v>4.2</v>
      </c>
      <c r="G476" s="11">
        <v>20879.0</v>
      </c>
      <c r="K476" s="17" t="str">
        <f>IFERROR(__xludf.DUMMYFUNCTION("""COMPUTED_VALUE"""),"Robustrion Tempered Glass Screen Protector for iPad 10.2 inch 9th Gen Generation 2021 8th Gen 2020 7th Gen 2019")</f>
        <v>Robustrion Tempered Glass Screen Protector for iPad 10.2 inch 9th Gen Generation 2021 8th Gen 2020 7th Gen 2019</v>
      </c>
      <c r="L476" s="17" t="str">
        <f>IFERROR(__xludf.DUMMYFUNCTION("""COMPUTED_VALUE"""),"Computers&amp;Accessories|Accessories&amp;Peripherals|TabletAccessories|ScreenProtectors")</f>
        <v>Computers&amp;Accessories|Accessories&amp;Peripherals|TabletAccessories|ScreenProtectors</v>
      </c>
      <c r="M476" s="23">
        <f>IFERROR(__xludf.DUMMYFUNCTION("""COMPUTED_VALUE"""),399.0)</f>
        <v>399</v>
      </c>
      <c r="N476" s="23">
        <f>IFERROR(__xludf.DUMMYFUNCTION("""COMPUTED_VALUE"""),1499.0)</f>
        <v>1499</v>
      </c>
      <c r="O476" s="24">
        <f>IFERROR(__xludf.DUMMYFUNCTION("""COMPUTED_VALUE"""),0.73)</f>
        <v>0.73</v>
      </c>
      <c r="P476" s="17">
        <f>IFERROR(__xludf.DUMMYFUNCTION("""COMPUTED_VALUE"""),4.1)</f>
        <v>4.1</v>
      </c>
      <c r="Q476" s="25">
        <f>IFERROR(__xludf.DUMMYFUNCTION("""COMPUTED_VALUE"""),5730.0)</f>
        <v>5730</v>
      </c>
    </row>
    <row r="477">
      <c r="A477" s="7" t="s">
        <v>515</v>
      </c>
      <c r="B477" s="7" t="s">
        <v>516</v>
      </c>
      <c r="C477" s="8">
        <v>279.0</v>
      </c>
      <c r="D477" s="8">
        <v>1499.0</v>
      </c>
      <c r="E477" s="19">
        <v>0.81</v>
      </c>
      <c r="F477" s="10">
        <v>4.2</v>
      </c>
      <c r="G477" s="11">
        <v>2646.0</v>
      </c>
      <c r="K477" s="17" t="str">
        <f>IFERROR(__xludf.DUMMYFUNCTION("""COMPUTED_VALUE"""),"Redgear Pro Wireless Gamepad with 2.4GHz Wireless Technology, Integrated Dual Intensity Motor, Illuminated Keys for PC(Compatible with Windows 7/8/8.1/10 only)")</f>
        <v>Redgear Pro Wireless Gamepad with 2.4GHz Wireless Technology, Integrated Dual Intensity Motor, Illuminated Keys for PC(Compatible with Windows 7/8/8.1/10 only)</v>
      </c>
      <c r="L477" s="17" t="str">
        <f>IFERROR(__xludf.DUMMYFUNCTION("""COMPUTED_VALUE"""),"Computers&amp;Accessories|Accessories&amp;Peripherals|PCGamingPeripherals|Gamepads")</f>
        <v>Computers&amp;Accessories|Accessories&amp;Peripherals|PCGamingPeripherals|Gamepads</v>
      </c>
      <c r="M477" s="23">
        <f>IFERROR(__xludf.DUMMYFUNCTION("""COMPUTED_VALUE"""),1699.0)</f>
        <v>1699</v>
      </c>
      <c r="N477" s="23">
        <f>IFERROR(__xludf.DUMMYFUNCTION("""COMPUTED_VALUE"""),3999.0)</f>
        <v>3999</v>
      </c>
      <c r="O477" s="24">
        <f>IFERROR(__xludf.DUMMYFUNCTION("""COMPUTED_VALUE"""),0.58)</f>
        <v>0.58</v>
      </c>
      <c r="P477" s="17">
        <f>IFERROR(__xludf.DUMMYFUNCTION("""COMPUTED_VALUE"""),4.2)</f>
        <v>4.2</v>
      </c>
      <c r="Q477" s="25">
        <f>IFERROR(__xludf.DUMMYFUNCTION("""COMPUTED_VALUE"""),25488.0)</f>
        <v>25488</v>
      </c>
    </row>
    <row r="478">
      <c r="A478" s="7" t="s">
        <v>517</v>
      </c>
      <c r="B478" s="7" t="s">
        <v>450</v>
      </c>
      <c r="C478" s="8">
        <v>269.0</v>
      </c>
      <c r="D478" s="8">
        <v>1499.0</v>
      </c>
      <c r="E478" s="19">
        <v>0.82</v>
      </c>
      <c r="F478" s="10">
        <v>4.5</v>
      </c>
      <c r="G478" s="11">
        <v>28978.0</v>
      </c>
      <c r="K478" s="17" t="str">
        <f>IFERROR(__xludf.DUMMYFUNCTION("""COMPUTED_VALUE"""),"Logitech M235 Wireless Mouse, 1000 DPI Optical Tracking, 12 Month Life Battery, Compatible with Windows, Mac, Chromebook/PC/Laptop")</f>
        <v>Logitech M235 Wireless Mouse, 1000 DPI Optical Tracking, 12 Month Life Battery, Compatible with Windows, Mac, Chromebook/PC/Laptop</v>
      </c>
      <c r="L478" s="17" t="str">
        <f>IFERROR(__xludf.DUMMYFUNCTION("""COMPUTED_VALUE"""),"Computers&amp;Accessories|Accessories&amp;Peripherals|Keyboards,Mice&amp;InputDevices|Mice")</f>
        <v>Computers&amp;Accessories|Accessories&amp;Peripherals|Keyboards,Mice&amp;InputDevices|Mice</v>
      </c>
      <c r="M478" s="23">
        <f>IFERROR(__xludf.DUMMYFUNCTION("""COMPUTED_VALUE"""),699.0)</f>
        <v>699</v>
      </c>
      <c r="N478" s="23">
        <f>IFERROR(__xludf.DUMMYFUNCTION("""COMPUTED_VALUE"""),995.0)</f>
        <v>995</v>
      </c>
      <c r="O478" s="24">
        <f>IFERROR(__xludf.DUMMYFUNCTION("""COMPUTED_VALUE"""),0.3)</f>
        <v>0.3</v>
      </c>
      <c r="P478" s="17">
        <f>IFERROR(__xludf.DUMMYFUNCTION("""COMPUTED_VALUE"""),4.5)</f>
        <v>4.5</v>
      </c>
      <c r="Q478" s="25">
        <f>IFERROR(__xludf.DUMMYFUNCTION("""COMPUTED_VALUE"""),54405.0)</f>
        <v>54405</v>
      </c>
    </row>
    <row r="479">
      <c r="A479" s="7" t="s">
        <v>518</v>
      </c>
      <c r="B479" s="7" t="s">
        <v>380</v>
      </c>
      <c r="C479" s="8">
        <v>8999.0</v>
      </c>
      <c r="D479" s="8">
        <v>13499.0</v>
      </c>
      <c r="E479" s="19">
        <v>0.33</v>
      </c>
      <c r="F479" s="10">
        <v>3.8</v>
      </c>
      <c r="G479" s="11">
        <v>3145.0</v>
      </c>
      <c r="K479" s="17" t="str">
        <f>IFERROR(__xludf.DUMMYFUNCTION("""COMPUTED_VALUE"""),"STRIFF 12 Pieces Highly Flexible Silicone Micro USB Protector, Mouse Cable Protector, Suit for All Cell Phones, Computers and Chargers (White)")</f>
        <v>STRIFF 12 Pieces Highly Flexible Silicone Micro USB Protector, Mouse Cable Protector, Suit for All Cell Phones, Computers and Chargers (White)</v>
      </c>
      <c r="L479" s="17" t="str">
        <f>IFERROR(__xludf.DUMMYFUNCTION("""COMPUTED_VALUE"""),"Electronics|Mobiles&amp;Accessories|MobileAccessories|Décor")</f>
        <v>Electronics|Mobiles&amp;Accessories|MobileAccessories|Décor</v>
      </c>
      <c r="M479" s="23">
        <f>IFERROR(__xludf.DUMMYFUNCTION("""COMPUTED_VALUE"""),95.0)</f>
        <v>95</v>
      </c>
      <c r="N479" s="23">
        <f>IFERROR(__xludf.DUMMYFUNCTION("""COMPUTED_VALUE"""),499.0)</f>
        <v>499</v>
      </c>
      <c r="O479" s="24">
        <f>IFERROR(__xludf.DUMMYFUNCTION("""COMPUTED_VALUE"""),0.81)</f>
        <v>0.81</v>
      </c>
      <c r="P479" s="17">
        <f>IFERROR(__xludf.DUMMYFUNCTION("""COMPUTED_VALUE"""),4.2)</f>
        <v>4.2</v>
      </c>
      <c r="Q479" s="25">
        <f>IFERROR(__xludf.DUMMYFUNCTION("""COMPUTED_VALUE"""),1949.0)</f>
        <v>1949</v>
      </c>
    </row>
    <row r="480">
      <c r="A480" s="7" t="s">
        <v>44</v>
      </c>
      <c r="B480" s="7" t="s">
        <v>15</v>
      </c>
      <c r="C480" s="8">
        <v>59.0</v>
      </c>
      <c r="D480" s="8">
        <v>199.0</v>
      </c>
      <c r="E480" s="19">
        <v>0.7</v>
      </c>
      <c r="F480" s="10">
        <v>4.0</v>
      </c>
      <c r="G480" s="11">
        <v>9377.0</v>
      </c>
      <c r="K480" s="17" t="str">
        <f>IFERROR(__xludf.DUMMYFUNCTION("""COMPUTED_VALUE"""),"TP-link N300 WiFi Wireless Router TL-WR845N | 300Mbps Wi-Fi Speed | Three 5dBi high gain Antennas | IPv6 Compatible | AP/RE/WISP Mode | Parental Control | Guest Network")</f>
        <v>TP-link N300 WiFi Wireless Router TL-WR845N | 300Mbps Wi-Fi Speed | Three 5dBi high gain Antennas | IPv6 Compatible | AP/RE/WISP Mode | Parental Control | Guest Network</v>
      </c>
      <c r="L480" s="17" t="str">
        <f>IFERROR(__xludf.DUMMYFUNCTION("""COMPUTED_VALUE"""),"Computers&amp;Accessories|NetworkingDevices|Routers")</f>
        <v>Computers&amp;Accessories|NetworkingDevices|Routers</v>
      </c>
      <c r="M480" s="23">
        <f>IFERROR(__xludf.DUMMYFUNCTION("""COMPUTED_VALUE"""),1149.0)</f>
        <v>1149</v>
      </c>
      <c r="N480" s="23">
        <f>IFERROR(__xludf.DUMMYFUNCTION("""COMPUTED_VALUE"""),1699.0)</f>
        <v>1699</v>
      </c>
      <c r="O480" s="24">
        <f>IFERROR(__xludf.DUMMYFUNCTION("""COMPUTED_VALUE"""),0.32)</f>
        <v>0.32</v>
      </c>
      <c r="P480" s="17">
        <f>IFERROR(__xludf.DUMMYFUNCTION("""COMPUTED_VALUE"""),4.2)</f>
        <v>4.2</v>
      </c>
      <c r="Q480" s="17" t="str">
        <f>IFERROR(__xludf.DUMMYFUNCTION("""COMPUTED_VALUE"""),"1,22,478")</f>
        <v>1,22,478</v>
      </c>
    </row>
    <row r="481">
      <c r="A481" s="7" t="s">
        <v>519</v>
      </c>
      <c r="B481" s="7" t="s">
        <v>393</v>
      </c>
      <c r="C481" s="8">
        <v>599.0</v>
      </c>
      <c r="D481" s="8">
        <v>1299.0</v>
      </c>
      <c r="E481" s="19">
        <v>0.54</v>
      </c>
      <c r="F481" s="10">
        <v>4.1</v>
      </c>
      <c r="G481" s="7" t="s">
        <v>520</v>
      </c>
      <c r="K481" s="17" t="str">
        <f>IFERROR(__xludf.DUMMYFUNCTION("""COMPUTED_VALUE"""),"Logitech MK240 Nano Wireless USB Keyboard and Mouse Set, 12 Function Keys 2.4GHz Wireless, 1000DPI, Spill-Resistant Design, PC/Mac, Black/Chartreuse Yellow")</f>
        <v>Logitech MK240 Nano Wireless USB Keyboard and Mouse Set, 12 Function Keys 2.4GHz Wireless, 1000DPI, Spill-Resistant Design, PC/Mac, Black/Chartreuse Yellow</v>
      </c>
      <c r="L481" s="17" t="str">
        <f>IFERROR(__xludf.DUMMYFUNCTION("""COMPUTED_VALUE"""),"Computers&amp;Accessories|Accessories&amp;Peripherals|Keyboards,Mice&amp;InputDevices|Keyboard&amp;MouseSets")</f>
        <v>Computers&amp;Accessories|Accessories&amp;Peripherals|Keyboards,Mice&amp;InputDevices|Keyboard&amp;MouseSets</v>
      </c>
      <c r="M481" s="23">
        <f>IFERROR(__xludf.DUMMYFUNCTION("""COMPUTED_VALUE"""),1495.0)</f>
        <v>1495</v>
      </c>
      <c r="N481" s="23">
        <f>IFERROR(__xludf.DUMMYFUNCTION("""COMPUTED_VALUE"""),1995.0)</f>
        <v>1995</v>
      </c>
      <c r="O481" s="24">
        <f>IFERROR(__xludf.DUMMYFUNCTION("""COMPUTED_VALUE"""),0.25)</f>
        <v>0.25</v>
      </c>
      <c r="P481" s="17">
        <f>IFERROR(__xludf.DUMMYFUNCTION("""COMPUTED_VALUE"""),4.3)</f>
        <v>4.3</v>
      </c>
      <c r="Q481" s="25">
        <f>IFERROR(__xludf.DUMMYFUNCTION("""COMPUTED_VALUE"""),7241.0)</f>
        <v>7241</v>
      </c>
    </row>
    <row r="482">
      <c r="A482" s="7" t="s">
        <v>521</v>
      </c>
      <c r="B482" s="7" t="s">
        <v>502</v>
      </c>
      <c r="C482" s="8">
        <v>349.0</v>
      </c>
      <c r="D482" s="8">
        <v>999.0</v>
      </c>
      <c r="E482" s="19">
        <v>0.65</v>
      </c>
      <c r="F482" s="10">
        <v>3.8</v>
      </c>
      <c r="G482" s="11">
        <v>16557.0</v>
      </c>
      <c r="K482" s="17" t="str">
        <f>IFERROR(__xludf.DUMMYFUNCTION("""COMPUTED_VALUE"""),"Casio MJ-12D 150 Steps Check and Correct Desktop Calculator")</f>
        <v>Casio MJ-12D 150 Steps Check and Correct Desktop Calculator</v>
      </c>
      <c r="L482" s="17" t="str">
        <f>IFERROR(__xludf.DUMMYFUNCTION("""COMPUTED_VALUE"""),"OfficeProducts|OfficeElectronics|Calculators|Basic")</f>
        <v>OfficeProducts|OfficeElectronics|Calculators|Basic</v>
      </c>
      <c r="M482" s="23">
        <f>IFERROR(__xludf.DUMMYFUNCTION("""COMPUTED_VALUE"""),440.0)</f>
        <v>440</v>
      </c>
      <c r="N482" s="23">
        <f>IFERROR(__xludf.DUMMYFUNCTION("""COMPUTED_VALUE"""),440.0)</f>
        <v>440</v>
      </c>
      <c r="O482" s="24">
        <f>IFERROR(__xludf.DUMMYFUNCTION("""COMPUTED_VALUE"""),0.0)</f>
        <v>0</v>
      </c>
      <c r="P482" s="17">
        <f>IFERROR(__xludf.DUMMYFUNCTION("""COMPUTED_VALUE"""),4.5)</f>
        <v>4.5</v>
      </c>
      <c r="Q482" s="25">
        <f>IFERROR(__xludf.DUMMYFUNCTION("""COMPUTED_VALUE"""),8610.0)</f>
        <v>8610</v>
      </c>
    </row>
    <row r="483">
      <c r="A483" s="7" t="s">
        <v>445</v>
      </c>
      <c r="B483" s="7" t="s">
        <v>380</v>
      </c>
      <c r="C483" s="8">
        <v>13999.0</v>
      </c>
      <c r="D483" s="8">
        <v>19499.0</v>
      </c>
      <c r="E483" s="19">
        <v>0.28</v>
      </c>
      <c r="F483" s="10">
        <v>4.1</v>
      </c>
      <c r="G483" s="11">
        <v>18998.0</v>
      </c>
      <c r="K483" s="17" t="str">
        <f>IFERROR(__xludf.DUMMYFUNCTION("""COMPUTED_VALUE"""),"Amazon Basics Magic Slate 8.5-inch LCD Writing Tablet with Stylus Pen, for Drawing, Playing, Noting by Kids &amp; Adults, Black")</f>
        <v>Amazon Basics Magic Slate 8.5-inch LCD Writing Tablet with Stylus Pen, for Drawing, Playing, Noting by Kids &amp; Adults, Black</v>
      </c>
      <c r="L483" s="17" t="str">
        <f>IFERROR(__xludf.DUMMYFUNCTION("""COMPUTED_VALUE"""),"Computers&amp;Accessories|Accessories&amp;Peripherals|Keyboards,Mice&amp;InputDevices|GraphicTablets")</f>
        <v>Computers&amp;Accessories|Accessories&amp;Peripherals|Keyboards,Mice&amp;InputDevices|GraphicTablets</v>
      </c>
      <c r="M483" s="23">
        <f>IFERROR(__xludf.DUMMYFUNCTION("""COMPUTED_VALUE"""),289.0)</f>
        <v>289</v>
      </c>
      <c r="N483" s="23">
        <f>IFERROR(__xludf.DUMMYFUNCTION("""COMPUTED_VALUE"""),999.0)</f>
        <v>999</v>
      </c>
      <c r="O483" s="24">
        <f>IFERROR(__xludf.DUMMYFUNCTION("""COMPUTED_VALUE"""),0.71)</f>
        <v>0.71</v>
      </c>
      <c r="P483" s="17">
        <f>IFERROR(__xludf.DUMMYFUNCTION("""COMPUTED_VALUE"""),4.1)</f>
        <v>4.1</v>
      </c>
      <c r="Q483" s="17">
        <f>IFERROR(__xludf.DUMMYFUNCTION("""COMPUTED_VALUE"""),401.0)</f>
        <v>401</v>
      </c>
    </row>
    <row r="484">
      <c r="A484" s="7" t="s">
        <v>522</v>
      </c>
      <c r="B484" s="7" t="s">
        <v>502</v>
      </c>
      <c r="C484" s="8">
        <v>349.0</v>
      </c>
      <c r="D484" s="8">
        <v>999.0</v>
      </c>
      <c r="E484" s="19">
        <v>0.65</v>
      </c>
      <c r="F484" s="10">
        <v>3.8</v>
      </c>
      <c r="G484" s="11">
        <v>16557.0</v>
      </c>
      <c r="K484" s="17" t="str">
        <f>IFERROR(__xludf.DUMMYFUNCTION("""COMPUTED_VALUE"""),"Redgear A-15 Wired Gaming Mouse with Upto 6400 DPI, RGB &amp; Driver Customization for PC(Black)")</f>
        <v>Redgear A-15 Wired Gaming Mouse with Upto 6400 DPI, RGB &amp; Driver Customization for PC(Black)</v>
      </c>
      <c r="L484" s="17" t="str">
        <f>IFERROR(__xludf.DUMMYFUNCTION("""COMPUTED_VALUE"""),"Computers&amp;Accessories|Accessories&amp;Peripherals|PCGamingPeripherals|GamingMice")</f>
        <v>Computers&amp;Accessories|Accessories&amp;Peripherals|PCGamingPeripherals|GamingMice</v>
      </c>
      <c r="M484" s="23">
        <f>IFERROR(__xludf.DUMMYFUNCTION("""COMPUTED_VALUE"""),599.0)</f>
        <v>599</v>
      </c>
      <c r="N484" s="23">
        <f>IFERROR(__xludf.DUMMYFUNCTION("""COMPUTED_VALUE"""),799.0)</f>
        <v>799</v>
      </c>
      <c r="O484" s="24">
        <f>IFERROR(__xludf.DUMMYFUNCTION("""COMPUTED_VALUE"""),0.25)</f>
        <v>0.25</v>
      </c>
      <c r="P484" s="17">
        <f>IFERROR(__xludf.DUMMYFUNCTION("""COMPUTED_VALUE"""),4.3)</f>
        <v>4.3</v>
      </c>
      <c r="Q484" s="25">
        <f>IFERROR(__xludf.DUMMYFUNCTION("""COMPUTED_VALUE"""),15790.0)</f>
        <v>15790</v>
      </c>
    </row>
    <row r="485">
      <c r="A485" s="7" t="s">
        <v>523</v>
      </c>
      <c r="B485" s="7" t="s">
        <v>409</v>
      </c>
      <c r="C485" s="8">
        <v>499.0</v>
      </c>
      <c r="D485" s="8">
        <v>599.0</v>
      </c>
      <c r="E485" s="19">
        <v>0.17</v>
      </c>
      <c r="F485" s="10">
        <v>4.2</v>
      </c>
      <c r="G485" s="11">
        <v>21916.0</v>
      </c>
      <c r="K485" s="17" t="str">
        <f>IFERROR(__xludf.DUMMYFUNCTION("""COMPUTED_VALUE"""),"Fire-Boltt India's No 1 Smartwatch Brand Ring Bluetooth Calling with SpO2 &amp; 1.7” Metal Body with Blood Oxygen Monitoring, Continuous Heart Rate, Full Touch &amp; Multiple Watch Faces")</f>
        <v>Fire-Boltt India's No 1 Smartwatch Brand Ring Bluetooth Calling with SpO2 &amp; 1.7” Metal Body with Blood Oxygen Monitoring, Continuous Heart Rate, Full Touch &amp; Multiple Watch Faces</v>
      </c>
      <c r="L485" s="17" t="str">
        <f>IFERROR(__xludf.DUMMYFUNCTION("""COMPUTED_VALUE"""),"Electronics|WearableTechnology|SmartWatches")</f>
        <v>Electronics|WearableTechnology|SmartWatches</v>
      </c>
      <c r="M485" s="23">
        <f>IFERROR(__xludf.DUMMYFUNCTION("""COMPUTED_VALUE"""),2499.0)</f>
        <v>2499</v>
      </c>
      <c r="N485" s="23">
        <f>IFERROR(__xludf.DUMMYFUNCTION("""COMPUTED_VALUE"""),9999.0)</f>
        <v>9999</v>
      </c>
      <c r="O485" s="24">
        <f>IFERROR(__xludf.DUMMYFUNCTION("""COMPUTED_VALUE"""),0.75)</f>
        <v>0.75</v>
      </c>
      <c r="P485" s="17">
        <f>IFERROR(__xludf.DUMMYFUNCTION("""COMPUTED_VALUE"""),4.1)</f>
        <v>4.1</v>
      </c>
      <c r="Q485" s="25">
        <f>IFERROR(__xludf.DUMMYFUNCTION("""COMPUTED_VALUE"""),42139.0)</f>
        <v>42139</v>
      </c>
    </row>
    <row r="486">
      <c r="A486" s="7" t="s">
        <v>415</v>
      </c>
      <c r="B486" s="7" t="s">
        <v>373</v>
      </c>
      <c r="C486" s="8">
        <v>2199.0</v>
      </c>
      <c r="D486" s="8">
        <v>9999.0</v>
      </c>
      <c r="E486" s="19">
        <v>0.78</v>
      </c>
      <c r="F486" s="10">
        <v>4.2</v>
      </c>
      <c r="G486" s="11">
        <v>29472.0</v>
      </c>
      <c r="K486" s="17" t="str">
        <f>IFERROR(__xludf.DUMMYFUNCTION("""COMPUTED_VALUE"""),"Eveready Red 1012 AAA Batteries - Pack of 10")</f>
        <v>Eveready Red 1012 AAA Batteries - Pack of 10</v>
      </c>
      <c r="L486" s="17" t="str">
        <f>IFERROR(__xludf.DUMMYFUNCTION("""COMPUTED_VALUE"""),"Electronics|GeneralPurposeBatteries&amp;BatteryChargers|DisposableBatteries")</f>
        <v>Electronics|GeneralPurposeBatteries&amp;BatteryChargers|DisposableBatteries</v>
      </c>
      <c r="M486" s="23">
        <f>IFERROR(__xludf.DUMMYFUNCTION("""COMPUTED_VALUE"""),159.0)</f>
        <v>159</v>
      </c>
      <c r="N486" s="23">
        <f>IFERROR(__xludf.DUMMYFUNCTION("""COMPUTED_VALUE"""),180.0)</f>
        <v>180</v>
      </c>
      <c r="O486" s="24">
        <f>IFERROR(__xludf.DUMMYFUNCTION("""COMPUTED_VALUE"""),0.12)</f>
        <v>0.12</v>
      </c>
      <c r="P486" s="17">
        <f>IFERROR(__xludf.DUMMYFUNCTION("""COMPUTED_VALUE"""),4.3)</f>
        <v>4.3</v>
      </c>
      <c r="Q486" s="17">
        <f>IFERROR(__xludf.DUMMYFUNCTION("""COMPUTED_VALUE"""),989.0)</f>
        <v>989</v>
      </c>
    </row>
    <row r="487">
      <c r="A487" s="7" t="s">
        <v>524</v>
      </c>
      <c r="B487" s="7" t="s">
        <v>469</v>
      </c>
      <c r="C487" s="8">
        <v>95.0</v>
      </c>
      <c r="D487" s="8">
        <v>499.0</v>
      </c>
      <c r="E487" s="19">
        <v>0.81</v>
      </c>
      <c r="F487" s="10">
        <v>4.2</v>
      </c>
      <c r="G487" s="11">
        <v>1949.0</v>
      </c>
      <c r="K487" s="17" t="str">
        <f>IFERROR(__xludf.DUMMYFUNCTION("""COMPUTED_VALUE"""),"SanDisk Extreme microSD UHS I Card 128GB for 4K Video on Smartphones,Action Cams 190MB/s Read,90MB/s Write")</f>
        <v>SanDisk Extreme microSD UHS I Card 128GB for 4K Video on Smartphones,Action Cams 190MB/s Read,90MB/s Write</v>
      </c>
      <c r="L487" s="17" t="str">
        <f>IFERROR(__xludf.DUMMYFUNCTION("""COMPUTED_VALUE"""),"Electronics|Accessories|MemoryCards|MicroSD")</f>
        <v>Electronics|Accessories|MemoryCards|MicroSD</v>
      </c>
      <c r="M487" s="23">
        <f>IFERROR(__xludf.DUMMYFUNCTION("""COMPUTED_VALUE"""),1329.0)</f>
        <v>1329</v>
      </c>
      <c r="N487" s="23">
        <f>IFERROR(__xludf.DUMMYFUNCTION("""COMPUTED_VALUE"""),2900.0)</f>
        <v>2900</v>
      </c>
      <c r="O487" s="24">
        <f>IFERROR(__xludf.DUMMYFUNCTION("""COMPUTED_VALUE"""),0.54)</f>
        <v>0.54</v>
      </c>
      <c r="P487" s="17">
        <f>IFERROR(__xludf.DUMMYFUNCTION("""COMPUTED_VALUE"""),4.5)</f>
        <v>4.5</v>
      </c>
      <c r="Q487" s="25">
        <f>IFERROR(__xludf.DUMMYFUNCTION("""COMPUTED_VALUE"""),19624.0)</f>
        <v>19624</v>
      </c>
    </row>
    <row r="488">
      <c r="A488" s="7" t="s">
        <v>525</v>
      </c>
      <c r="B488" s="7" t="s">
        <v>15</v>
      </c>
      <c r="C488" s="8">
        <v>139.0</v>
      </c>
      <c r="D488" s="8">
        <v>249.0</v>
      </c>
      <c r="E488" s="19">
        <v>0.44</v>
      </c>
      <c r="F488" s="10">
        <v>4.0</v>
      </c>
      <c r="G488" s="11">
        <v>9377.0</v>
      </c>
      <c r="K488" s="17" t="str">
        <f>IFERROR(__xludf.DUMMYFUNCTION("""COMPUTED_VALUE"""),"Portronics MPORT 31C 4-in-1 USB Hub (Type C to 4 USB-A Ports) with Fast Data Transfer")</f>
        <v>Portronics MPORT 31C 4-in-1 USB Hub (Type C to 4 USB-A Ports) with Fast Data Transfer</v>
      </c>
      <c r="L488" s="17" t="str">
        <f>IFERROR(__xludf.DUMMYFUNCTION("""COMPUTED_VALUE"""),"Computers&amp;Accessories|Accessories&amp;Peripherals|USBHubs")</f>
        <v>Computers&amp;Accessories|Accessories&amp;Peripherals|USBHubs</v>
      </c>
      <c r="M488" s="23">
        <f>IFERROR(__xludf.DUMMYFUNCTION("""COMPUTED_VALUE"""),570.0)</f>
        <v>570</v>
      </c>
      <c r="N488" s="23">
        <f>IFERROR(__xludf.DUMMYFUNCTION("""COMPUTED_VALUE"""),999.0)</f>
        <v>999</v>
      </c>
      <c r="O488" s="24">
        <f>IFERROR(__xludf.DUMMYFUNCTION("""COMPUTED_VALUE"""),0.43)</f>
        <v>0.43</v>
      </c>
      <c r="P488" s="17">
        <f>IFERROR(__xludf.DUMMYFUNCTION("""COMPUTED_VALUE"""),4.2)</f>
        <v>4.2</v>
      </c>
      <c r="Q488" s="25">
        <f>IFERROR(__xludf.DUMMYFUNCTION("""COMPUTED_VALUE"""),3201.0)</f>
        <v>3201</v>
      </c>
    </row>
    <row r="489">
      <c r="A489" s="7" t="s">
        <v>526</v>
      </c>
      <c r="B489" s="7" t="s">
        <v>373</v>
      </c>
      <c r="C489" s="8">
        <v>4499.0</v>
      </c>
      <c r="D489" s="8">
        <v>7999.0</v>
      </c>
      <c r="E489" s="19">
        <v>0.44</v>
      </c>
      <c r="F489" s="10">
        <v>3.5</v>
      </c>
      <c r="G489" s="10">
        <v>37.0</v>
      </c>
      <c r="K489" s="17" t="str">
        <f>IFERROR(__xludf.DUMMYFUNCTION("""COMPUTED_VALUE"""),"Infinity (JBL Fuze Pint, Wireless Ultra Portable Mini Speaker with Mic, Deep Bass, Dual Equalizer, Bluetooth 5.0 with Voice Assistant Support for Mobiles (Black)")</f>
        <v>Infinity (JBL Fuze Pint, Wireless Ultra Portable Mini Speaker with Mic, Deep Bass, Dual Equalizer, Bluetooth 5.0 with Voice Assistant Support for Mobiles (Black)</v>
      </c>
      <c r="L489" s="17" t="str">
        <f>IFERROR(__xludf.DUMMYFUNCTION("""COMPUTED_VALUE"""),"Electronics|HomeAudio|Speakers|OutdoorSpeakers")</f>
        <v>Electronics|HomeAudio|Speakers|OutdoorSpeakers</v>
      </c>
      <c r="M489" s="23">
        <f>IFERROR(__xludf.DUMMYFUNCTION("""COMPUTED_VALUE"""),899.0)</f>
        <v>899</v>
      </c>
      <c r="N489" s="23">
        <f>IFERROR(__xludf.DUMMYFUNCTION("""COMPUTED_VALUE"""),1999.0)</f>
        <v>1999</v>
      </c>
      <c r="O489" s="24">
        <f>IFERROR(__xludf.DUMMYFUNCTION("""COMPUTED_VALUE"""),0.55)</f>
        <v>0.55</v>
      </c>
      <c r="P489" s="17">
        <f>IFERROR(__xludf.DUMMYFUNCTION("""COMPUTED_VALUE"""),4.1)</f>
        <v>4.1</v>
      </c>
      <c r="Q489" s="25">
        <f>IFERROR(__xludf.DUMMYFUNCTION("""COMPUTED_VALUE"""),30469.0)</f>
        <v>30469</v>
      </c>
    </row>
    <row r="490">
      <c r="A490" s="7" t="s">
        <v>527</v>
      </c>
      <c r="B490" s="7" t="s">
        <v>450</v>
      </c>
      <c r="C490" s="8">
        <v>89.0</v>
      </c>
      <c r="D490" s="8">
        <v>599.0</v>
      </c>
      <c r="E490" s="19">
        <v>0.85</v>
      </c>
      <c r="F490" s="10">
        <v>4.3</v>
      </c>
      <c r="G490" s="11">
        <v>2351.0</v>
      </c>
      <c r="K490" s="17" t="str">
        <f>IFERROR(__xludf.DUMMYFUNCTION("""COMPUTED_VALUE"""),"AirCase Protective Laptop Bag Sleeve fits Upto 13.3"" Laptop/ MacBook, Wrinkle Free, Padded, Waterproof Light Neoprene case Cover Pouch, for Men &amp; Women, Black- 6 Months Warranty")</f>
        <v>AirCase Protective Laptop Bag Sleeve fits Upto 13.3" Laptop/ MacBook, Wrinkle Free, Padded, Waterproof Light Neoprene case Cover Pouch, for Men &amp; Women, Black- 6 Months Warranty</v>
      </c>
      <c r="L490" s="17" t="str">
        <f>IFERROR(__xludf.DUMMYFUNCTION("""COMPUTED_VALUE"""),"Computers&amp;Accessories|Accessories&amp;Peripherals|LaptopAccessories|Bags&amp;Sleeves|LaptopSleeves&amp;Slipcases")</f>
        <v>Computers&amp;Accessories|Accessories&amp;Peripherals|LaptopAccessories|Bags&amp;Sleeves|LaptopSleeves&amp;Slipcases</v>
      </c>
      <c r="M490" s="23">
        <f>IFERROR(__xludf.DUMMYFUNCTION("""COMPUTED_VALUE"""),449.0)</f>
        <v>449</v>
      </c>
      <c r="N490" s="23">
        <f>IFERROR(__xludf.DUMMYFUNCTION("""COMPUTED_VALUE"""),999.0)</f>
        <v>999</v>
      </c>
      <c r="O490" s="24">
        <f>IFERROR(__xludf.DUMMYFUNCTION("""COMPUTED_VALUE"""),0.55)</f>
        <v>0.55</v>
      </c>
      <c r="P490" s="17">
        <f>IFERROR(__xludf.DUMMYFUNCTION("""COMPUTED_VALUE"""),4.4)</f>
        <v>4.4</v>
      </c>
      <c r="Q490" s="25">
        <f>IFERROR(__xludf.DUMMYFUNCTION("""COMPUTED_VALUE"""),9940.0)</f>
        <v>9940</v>
      </c>
    </row>
    <row r="491">
      <c r="A491" s="7" t="s">
        <v>528</v>
      </c>
      <c r="B491" s="7" t="s">
        <v>380</v>
      </c>
      <c r="C491" s="8">
        <v>15499.0</v>
      </c>
      <c r="D491" s="8">
        <v>20999.0</v>
      </c>
      <c r="E491" s="19">
        <v>0.26</v>
      </c>
      <c r="F491" s="10">
        <v>4.1</v>
      </c>
      <c r="G491" s="11">
        <v>19253.0</v>
      </c>
      <c r="K491" s="17" t="str">
        <f>IFERROR(__xludf.DUMMYFUNCTION("""COMPUTED_VALUE"""),"Brand Conquer 6 in 1 with OTG, SD Card Reader, USB Type C, USB 3.0 and Micro USB, for Memory Card | Portable Card Reader | Compatible with TF, SD, Micro SD, SDHC, SDXC, MMC, RS-MMC, Micro SDXC")</f>
        <v>Brand Conquer 6 in 1 with OTG, SD Card Reader, USB Type C, USB 3.0 and Micro USB, for Memory Card | Portable Card Reader | Compatible with TF, SD, Micro SD, SDHC, SDXC, MMC, RS-MMC, Micro SDXC</v>
      </c>
      <c r="L491" s="17" t="str">
        <f>IFERROR(__xludf.DUMMYFUNCTION("""COMPUTED_VALUE"""),"Computers&amp;Accessories|ExternalDevices&amp;DataStorage|ExternalMemoryCardReaders")</f>
        <v>Computers&amp;Accessories|ExternalDevices&amp;DataStorage|ExternalMemoryCardReaders</v>
      </c>
      <c r="M491" s="23">
        <f>IFERROR(__xludf.DUMMYFUNCTION("""COMPUTED_VALUE"""),549.0)</f>
        <v>549</v>
      </c>
      <c r="N491" s="23">
        <f>IFERROR(__xludf.DUMMYFUNCTION("""COMPUTED_VALUE"""),999.0)</f>
        <v>999</v>
      </c>
      <c r="O491" s="24">
        <f>IFERROR(__xludf.DUMMYFUNCTION("""COMPUTED_VALUE"""),0.45)</f>
        <v>0.45</v>
      </c>
      <c r="P491" s="17">
        <f>IFERROR(__xludf.DUMMYFUNCTION("""COMPUTED_VALUE"""),4.3)</f>
        <v>4.3</v>
      </c>
      <c r="Q491" s="25">
        <f>IFERROR(__xludf.DUMMYFUNCTION("""COMPUTED_VALUE"""),7758.0)</f>
        <v>7758</v>
      </c>
    </row>
    <row r="492">
      <c r="A492" s="7" t="s">
        <v>529</v>
      </c>
      <c r="B492" s="7" t="s">
        <v>380</v>
      </c>
      <c r="C492" s="8">
        <v>13999.0</v>
      </c>
      <c r="D492" s="8">
        <v>15999.0</v>
      </c>
      <c r="E492" s="19">
        <v>0.13</v>
      </c>
      <c r="F492" s="10">
        <v>3.9</v>
      </c>
      <c r="G492" s="11">
        <v>2180.0</v>
      </c>
      <c r="K492" s="17" t="str">
        <f>IFERROR(__xludf.DUMMYFUNCTION("""COMPUTED_VALUE"""),"TP-Link AC750 Dual Band Wireless Cable Router, 4 10/100 LAN + 10/100 WAN Ports, Support Guest Network and Parental Control, 750Mbps Speed Wi-Fi, 3 Antennas (Archer C20) Blue, 2.4 GHz")</f>
        <v>TP-Link AC750 Dual Band Wireless Cable Router, 4 10/100 LAN + 10/100 WAN Ports, Support Guest Network and Parental Control, 750Mbps Speed Wi-Fi, 3 Antennas (Archer C20) Blue, 2.4 GHz</v>
      </c>
      <c r="L492" s="17" t="str">
        <f>IFERROR(__xludf.DUMMYFUNCTION("""COMPUTED_VALUE"""),"Computers&amp;Accessories|NetworkingDevices|Routers")</f>
        <v>Computers&amp;Accessories|NetworkingDevices|Routers</v>
      </c>
      <c r="M492" s="23">
        <f>IFERROR(__xludf.DUMMYFUNCTION("""COMPUTED_VALUE"""),1529.0)</f>
        <v>1529</v>
      </c>
      <c r="N492" s="23">
        <f>IFERROR(__xludf.DUMMYFUNCTION("""COMPUTED_VALUE"""),2399.0)</f>
        <v>2399</v>
      </c>
      <c r="O492" s="24">
        <f>IFERROR(__xludf.DUMMYFUNCTION("""COMPUTED_VALUE"""),0.36)</f>
        <v>0.36</v>
      </c>
      <c r="P492" s="17">
        <f>IFERROR(__xludf.DUMMYFUNCTION("""COMPUTED_VALUE"""),4.3)</f>
        <v>4.3</v>
      </c>
      <c r="Q492" s="25">
        <f>IFERROR(__xludf.DUMMYFUNCTION("""COMPUTED_VALUE"""),68409.0)</f>
        <v>68409</v>
      </c>
    </row>
    <row r="493">
      <c r="A493" s="7" t="s">
        <v>530</v>
      </c>
      <c r="B493" s="7" t="s">
        <v>373</v>
      </c>
      <c r="C493" s="8">
        <v>1999.0</v>
      </c>
      <c r="D493" s="8">
        <v>4999.0</v>
      </c>
      <c r="E493" s="19">
        <v>0.6</v>
      </c>
      <c r="F493" s="10">
        <v>3.9</v>
      </c>
      <c r="G493" s="11">
        <v>7571.0</v>
      </c>
      <c r="K493" s="17" t="str">
        <f>IFERROR(__xludf.DUMMYFUNCTION("""COMPUTED_VALUE"""),"Parker Quink Ink Bottle, Blue")</f>
        <v>Parker Quink Ink Bottle, Blue</v>
      </c>
      <c r="L493" s="17" t="str">
        <f>IFERROR(__xludf.DUMMYFUNCTION("""COMPUTED_VALUE"""),"OfficeProducts|OfficePaperProducts|Paper|Stationery|Pens,Pencils&amp;WritingSupplies|Pens&amp;Refills|BottledInk")</f>
        <v>OfficeProducts|OfficePaperProducts|Paper|Stationery|Pens,Pencils&amp;WritingSupplies|Pens&amp;Refills|BottledInk</v>
      </c>
      <c r="M493" s="23">
        <f>IFERROR(__xludf.DUMMYFUNCTION("""COMPUTED_VALUE"""),100.0)</f>
        <v>100</v>
      </c>
      <c r="N493" s="23">
        <f>IFERROR(__xludf.DUMMYFUNCTION("""COMPUTED_VALUE"""),100.0)</f>
        <v>100</v>
      </c>
      <c r="O493" s="24">
        <f>IFERROR(__xludf.DUMMYFUNCTION("""COMPUTED_VALUE"""),0.0)</f>
        <v>0</v>
      </c>
      <c r="P493" s="17">
        <f>IFERROR(__xludf.DUMMYFUNCTION("""COMPUTED_VALUE"""),4.3)</f>
        <v>4.3</v>
      </c>
      <c r="Q493" s="25">
        <f>IFERROR(__xludf.DUMMYFUNCTION("""COMPUTED_VALUE"""),3095.0)</f>
        <v>3095</v>
      </c>
    </row>
    <row r="494">
      <c r="A494" s="7" t="s">
        <v>531</v>
      </c>
      <c r="B494" s="7" t="s">
        <v>373</v>
      </c>
      <c r="C494" s="8">
        <v>1399.0</v>
      </c>
      <c r="D494" s="8">
        <v>5999.0</v>
      </c>
      <c r="E494" s="19">
        <v>0.77</v>
      </c>
      <c r="F494" s="10">
        <v>3.3</v>
      </c>
      <c r="G494" s="11">
        <v>4415.0</v>
      </c>
      <c r="K494" s="17" t="str">
        <f>IFERROR(__xludf.DUMMYFUNCTION("""COMPUTED_VALUE"""),"STRIFF Laptop Stand Adjustable Laptop Computer Stand Multi-Angle Stand Phone Stand Portable Foldable Laptop Riser Notebook Holder Stand Compatible for 9 to 15.6” Laptops Black(Black)")</f>
        <v>STRIFF Laptop Stand Adjustable Laptop Computer Stand Multi-Angle Stand Phone Stand Portable Foldable Laptop Riser Notebook Holder Stand Compatible for 9 to 15.6” Laptops Black(Black)</v>
      </c>
      <c r="L494" s="17" t="str">
        <f>IFERROR(__xludf.DUMMYFUNCTION("""COMPUTED_VALUE"""),"Computers&amp;Accessories|Accessories&amp;Peripherals|LaptopAccessories|NotebookComputerStands")</f>
        <v>Computers&amp;Accessories|Accessories&amp;Peripherals|LaptopAccessories|NotebookComputerStands</v>
      </c>
      <c r="M494" s="23">
        <f>IFERROR(__xludf.DUMMYFUNCTION("""COMPUTED_VALUE"""),299.0)</f>
        <v>299</v>
      </c>
      <c r="N494" s="23">
        <f>IFERROR(__xludf.DUMMYFUNCTION("""COMPUTED_VALUE"""),1499.0)</f>
        <v>1499</v>
      </c>
      <c r="O494" s="24">
        <f>IFERROR(__xludf.DUMMYFUNCTION("""COMPUTED_VALUE"""),0.8)</f>
        <v>0.8</v>
      </c>
      <c r="P494" s="17">
        <f>IFERROR(__xludf.DUMMYFUNCTION("""COMPUTED_VALUE"""),4.2)</f>
        <v>4.2</v>
      </c>
      <c r="Q494" s="17">
        <f>IFERROR(__xludf.DUMMYFUNCTION("""COMPUTED_VALUE"""),903.0)</f>
        <v>903</v>
      </c>
    </row>
    <row r="495">
      <c r="A495" s="7" t="s">
        <v>532</v>
      </c>
      <c r="B495" s="7" t="s">
        <v>407</v>
      </c>
      <c r="C495" s="8">
        <v>599.0</v>
      </c>
      <c r="D495" s="8">
        <v>999.0</v>
      </c>
      <c r="E495" s="19">
        <v>0.4</v>
      </c>
      <c r="F495" s="10">
        <v>4.0</v>
      </c>
      <c r="G495" s="11">
        <v>18654.0</v>
      </c>
      <c r="K495" s="17" t="str">
        <f>IFERROR(__xludf.DUMMYFUNCTION("""COMPUTED_VALUE"""),"Logitech MK215 Wireless Keyboard and Mouse Combo for Windows, 2.4 GHz Wireless, Compact Design, 2-Year Battery Life(Keyboard),5 Month Battery Life(Mouse) PC/Laptop- Black")</f>
        <v>Logitech MK215 Wireless Keyboard and Mouse Combo for Windows, 2.4 GHz Wireless, Compact Design, 2-Year Battery Life(Keyboard),5 Month Battery Life(Mouse) PC/Laptop- Black</v>
      </c>
      <c r="L495" s="17" t="str">
        <f>IFERROR(__xludf.DUMMYFUNCTION("""COMPUTED_VALUE"""),"Computers&amp;Accessories|Accessories&amp;Peripherals|Keyboards,Mice&amp;InputDevices|Keyboard&amp;MouseSets")</f>
        <v>Computers&amp;Accessories|Accessories&amp;Peripherals|Keyboards,Mice&amp;InputDevices|Keyboard&amp;MouseSets</v>
      </c>
      <c r="M495" s="23">
        <f>IFERROR(__xludf.DUMMYFUNCTION("""COMPUTED_VALUE"""),1295.0)</f>
        <v>1295</v>
      </c>
      <c r="N495" s="23">
        <f>IFERROR(__xludf.DUMMYFUNCTION("""COMPUTED_VALUE"""),1795.0)</f>
        <v>1795</v>
      </c>
      <c r="O495" s="24">
        <f>IFERROR(__xludf.DUMMYFUNCTION("""COMPUTED_VALUE"""),0.28)</f>
        <v>0.28</v>
      </c>
      <c r="P495" s="17">
        <f>IFERROR(__xludf.DUMMYFUNCTION("""COMPUTED_VALUE"""),4.1)</f>
        <v>4.1</v>
      </c>
      <c r="Q495" s="25">
        <f>IFERROR(__xludf.DUMMYFUNCTION("""COMPUTED_VALUE"""),25771.0)</f>
        <v>25771</v>
      </c>
    </row>
    <row r="496">
      <c r="A496" s="7" t="s">
        <v>533</v>
      </c>
      <c r="B496" s="7" t="s">
        <v>409</v>
      </c>
      <c r="C496" s="8">
        <v>199.0</v>
      </c>
      <c r="D496" s="8">
        <v>1099.0</v>
      </c>
      <c r="E496" s="19">
        <v>0.82</v>
      </c>
      <c r="F496" s="10">
        <v>4.0</v>
      </c>
      <c r="G496" s="11">
        <v>3197.0</v>
      </c>
      <c r="K496" s="17" t="str">
        <f>IFERROR(__xludf.DUMMYFUNCTION("""COMPUTED_VALUE"""),"boAt Bassheads 225 in Ear Wired Earphones with Mic(Blue)")</f>
        <v>boAt Bassheads 225 in Ear Wired Earphones with Mic(Blue)</v>
      </c>
      <c r="L496" s="17" t="str">
        <f>IFERROR(__xludf.DUMMYFUNCTION("""COMPUTED_VALUE"""),"Electronics|Headphones,Earbuds&amp;Accessories|Headphones|In-Ear")</f>
        <v>Electronics|Headphones,Earbuds&amp;Accessories|Headphones|In-Ear</v>
      </c>
      <c r="M496" s="23">
        <f>IFERROR(__xludf.DUMMYFUNCTION("""COMPUTED_VALUE"""),699.0)</f>
        <v>699</v>
      </c>
      <c r="N496" s="23">
        <f>IFERROR(__xludf.DUMMYFUNCTION("""COMPUTED_VALUE"""),999.0)</f>
        <v>999</v>
      </c>
      <c r="O496" s="24">
        <f>IFERROR(__xludf.DUMMYFUNCTION("""COMPUTED_VALUE"""),0.3)</f>
        <v>0.3</v>
      </c>
      <c r="P496" s="17">
        <f>IFERROR(__xludf.DUMMYFUNCTION("""COMPUTED_VALUE"""),4.1)</f>
        <v>4.1</v>
      </c>
      <c r="Q496" s="17" t="str">
        <f>IFERROR(__xludf.DUMMYFUNCTION("""COMPUTED_VALUE"""),"2,73,189")</f>
        <v>2,73,189</v>
      </c>
    </row>
    <row r="497">
      <c r="A497" s="7" t="s">
        <v>534</v>
      </c>
      <c r="B497" s="7" t="s">
        <v>373</v>
      </c>
      <c r="C497" s="8">
        <v>1799.0</v>
      </c>
      <c r="D497" s="8">
        <v>6990.0</v>
      </c>
      <c r="E497" s="19">
        <v>0.74</v>
      </c>
      <c r="F497" s="10">
        <v>4.0</v>
      </c>
      <c r="G497" s="11">
        <v>26880.0</v>
      </c>
      <c r="K497" s="17" t="str">
        <f>IFERROR(__xludf.DUMMYFUNCTION("""COMPUTED_VALUE"""),"Luxor 5 Subject Single Ruled Notebook - A4, 70 GSM, 300 pages")</f>
        <v>Luxor 5 Subject Single Ruled Notebook - A4, 70 GSM, 300 pages</v>
      </c>
      <c r="L497" s="17" t="str">
        <f>IFERROR(__xludf.DUMMYFUNCTION("""COMPUTED_VALUE"""),"OfficeProducts|OfficePaperProducts|Paper|Stationery|Notebooks,WritingPads&amp;Diaries|CompositionNotebooks")</f>
        <v>OfficeProducts|OfficePaperProducts|Paper|Stationery|Notebooks,WritingPads&amp;Diaries|CompositionNotebooks</v>
      </c>
      <c r="M497" s="23">
        <f>IFERROR(__xludf.DUMMYFUNCTION("""COMPUTED_VALUE"""),252.0)</f>
        <v>252</v>
      </c>
      <c r="N497" s="23">
        <f>IFERROR(__xludf.DUMMYFUNCTION("""COMPUTED_VALUE"""),315.0)</f>
        <v>315</v>
      </c>
      <c r="O497" s="24">
        <f>IFERROR(__xludf.DUMMYFUNCTION("""COMPUTED_VALUE"""),0.2)</f>
        <v>0.2</v>
      </c>
      <c r="P497" s="17">
        <f>IFERROR(__xludf.DUMMYFUNCTION("""COMPUTED_VALUE"""),4.5)</f>
        <v>4.5</v>
      </c>
      <c r="Q497" s="25">
        <f>IFERROR(__xludf.DUMMYFUNCTION("""COMPUTED_VALUE"""),3785.0)</f>
        <v>3785</v>
      </c>
    </row>
    <row r="498">
      <c r="A498" s="7" t="s">
        <v>535</v>
      </c>
      <c r="B498" s="7" t="s">
        <v>373</v>
      </c>
      <c r="C498" s="8">
        <v>1499.0</v>
      </c>
      <c r="D498" s="8">
        <v>6990.0</v>
      </c>
      <c r="E498" s="19">
        <v>0.79</v>
      </c>
      <c r="F498" s="10">
        <v>3.9</v>
      </c>
      <c r="G498" s="11">
        <v>21796.0</v>
      </c>
      <c r="K498" s="17" t="str">
        <f>IFERROR(__xludf.DUMMYFUNCTION("""COMPUTED_VALUE"""),"Duracell Chhota Power AA Battery Set of 10 Pcs")</f>
        <v>Duracell Chhota Power AA Battery Set of 10 Pcs</v>
      </c>
      <c r="L498" s="17" t="str">
        <f>IFERROR(__xludf.DUMMYFUNCTION("""COMPUTED_VALUE"""),"Electronics|GeneralPurposeBatteries&amp;BatteryChargers|DisposableBatteries")</f>
        <v>Electronics|GeneralPurposeBatteries&amp;BatteryChargers|DisposableBatteries</v>
      </c>
      <c r="M498" s="23">
        <f>IFERROR(__xludf.DUMMYFUNCTION("""COMPUTED_VALUE"""),190.0)</f>
        <v>190</v>
      </c>
      <c r="N498" s="23">
        <f>IFERROR(__xludf.DUMMYFUNCTION("""COMPUTED_VALUE"""),220.0)</f>
        <v>220</v>
      </c>
      <c r="O498" s="24">
        <f>IFERROR(__xludf.DUMMYFUNCTION("""COMPUTED_VALUE"""),0.14)</f>
        <v>0.14</v>
      </c>
      <c r="P498" s="17">
        <f>IFERROR(__xludf.DUMMYFUNCTION("""COMPUTED_VALUE"""),4.4)</f>
        <v>4.4</v>
      </c>
      <c r="Q498" s="25">
        <f>IFERROR(__xludf.DUMMYFUNCTION("""COMPUTED_VALUE"""),2866.0)</f>
        <v>2866</v>
      </c>
    </row>
    <row r="499">
      <c r="A499" s="7" t="s">
        <v>536</v>
      </c>
      <c r="B499" s="7" t="s">
        <v>380</v>
      </c>
      <c r="C499" s="8">
        <v>20999.0</v>
      </c>
      <c r="D499" s="8">
        <v>29990.0</v>
      </c>
      <c r="E499" s="19">
        <v>0.3</v>
      </c>
      <c r="F499" s="10">
        <v>4.3</v>
      </c>
      <c r="G499" s="11">
        <v>9499.0</v>
      </c>
      <c r="K499" s="17" t="str">
        <f>IFERROR(__xludf.DUMMYFUNCTION("""COMPUTED_VALUE"""),"Zebronics Zeb-Transformer Gaming Keyboard and Mouse Combo (USB, Braided Cable)")</f>
        <v>Zebronics Zeb-Transformer Gaming Keyboard and Mouse Combo (USB, Braided Cable)</v>
      </c>
      <c r="L499" s="17" t="str">
        <f>IFERROR(__xludf.DUMMYFUNCTION("""COMPUTED_VALUE"""),"Computers&amp;Accessories|Accessories&amp;Peripherals|Keyboards,Mice&amp;InputDevices|Keyboard&amp;MouseSets")</f>
        <v>Computers&amp;Accessories|Accessories&amp;Peripherals|Keyboards,Mice&amp;InputDevices|Keyboard&amp;MouseSets</v>
      </c>
      <c r="M499" s="23">
        <f>IFERROR(__xludf.DUMMYFUNCTION("""COMPUTED_VALUE"""),1299.0)</f>
        <v>1299</v>
      </c>
      <c r="N499" s="23">
        <f>IFERROR(__xludf.DUMMYFUNCTION("""COMPUTED_VALUE"""),1599.0)</f>
        <v>1599</v>
      </c>
      <c r="O499" s="24">
        <f>IFERROR(__xludf.DUMMYFUNCTION("""COMPUTED_VALUE"""),0.19)</f>
        <v>0.19</v>
      </c>
      <c r="P499" s="17">
        <f>IFERROR(__xludf.DUMMYFUNCTION("""COMPUTED_VALUE"""),4.3)</f>
        <v>4.3</v>
      </c>
      <c r="Q499" s="25">
        <f>IFERROR(__xludf.DUMMYFUNCTION("""COMPUTED_VALUE"""),27223.0)</f>
        <v>27223</v>
      </c>
    </row>
    <row r="500">
      <c r="A500" s="7" t="s">
        <v>537</v>
      </c>
      <c r="B500" s="7" t="s">
        <v>380</v>
      </c>
      <c r="C500" s="8">
        <v>12999.0</v>
      </c>
      <c r="D500" s="8">
        <v>13499.0</v>
      </c>
      <c r="E500" s="19">
        <v>0.04</v>
      </c>
      <c r="F500" s="10">
        <v>4.1</v>
      </c>
      <c r="G500" s="11">
        <v>56098.0</v>
      </c>
      <c r="K500" s="17" t="str">
        <f>IFERROR(__xludf.DUMMYFUNCTION("""COMPUTED_VALUE"""),"SanDisk Ultra 64 GB USB Pen Drives (SDDDC2-064G-I35, Black, Silver)")</f>
        <v>SanDisk Ultra 64 GB USB Pen Drives (SDDDC2-064G-I35, Black, Silver)</v>
      </c>
      <c r="L500" s="17" t="str">
        <f>IFERROR(__xludf.DUMMYFUNCTION("""COMPUTED_VALUE"""),"Computers&amp;Accessories|ExternalDevices&amp;DataStorage|PenDrives")</f>
        <v>Computers&amp;Accessories|ExternalDevices&amp;DataStorage|PenDrives</v>
      </c>
      <c r="M500" s="23">
        <f>IFERROR(__xludf.DUMMYFUNCTION("""COMPUTED_VALUE"""),729.0)</f>
        <v>729</v>
      </c>
      <c r="N500" s="23">
        <f>IFERROR(__xludf.DUMMYFUNCTION("""COMPUTED_VALUE"""),1650.0)</f>
        <v>1650</v>
      </c>
      <c r="O500" s="24">
        <f>IFERROR(__xludf.DUMMYFUNCTION("""COMPUTED_VALUE"""),0.56)</f>
        <v>0.56</v>
      </c>
      <c r="P500" s="17">
        <f>IFERROR(__xludf.DUMMYFUNCTION("""COMPUTED_VALUE"""),4.3)</f>
        <v>4.3</v>
      </c>
      <c r="Q500" s="25">
        <f>IFERROR(__xludf.DUMMYFUNCTION("""COMPUTED_VALUE"""),82356.0)</f>
        <v>82356</v>
      </c>
    </row>
    <row r="501">
      <c r="A501" s="7" t="s">
        <v>538</v>
      </c>
      <c r="B501" s="7" t="s">
        <v>380</v>
      </c>
      <c r="C501" s="8">
        <v>16999.0</v>
      </c>
      <c r="D501" s="8">
        <v>20999.0</v>
      </c>
      <c r="E501" s="19">
        <v>0.19</v>
      </c>
      <c r="F501" s="10">
        <v>4.1</v>
      </c>
      <c r="G501" s="11">
        <v>31822.0</v>
      </c>
      <c r="K501" s="17" t="str">
        <f>IFERROR(__xludf.DUMMYFUNCTION("""COMPUTED_VALUE"""),"Parker Classic Gold Gold Trim Ball Pen")</f>
        <v>Parker Classic Gold Gold Trim Ball Pen</v>
      </c>
      <c r="L501" s="17" t="str">
        <f>IFERROR(__xludf.DUMMYFUNCTION("""COMPUTED_VALUE"""),"OfficeProducts|OfficePaperProducts|Paper|Stationery|Pens,Pencils&amp;WritingSupplies|Pens&amp;Refills|RetractableBallpointPens")</f>
        <v>OfficeProducts|OfficePaperProducts|Paper|Stationery|Pens,Pencils&amp;WritingSupplies|Pens&amp;Refills|RetractableBallpointPens</v>
      </c>
      <c r="M501" s="23">
        <f>IFERROR(__xludf.DUMMYFUNCTION("""COMPUTED_VALUE"""),480.0)</f>
        <v>480</v>
      </c>
      <c r="N501" s="23">
        <f>IFERROR(__xludf.DUMMYFUNCTION("""COMPUTED_VALUE"""),600.0)</f>
        <v>600</v>
      </c>
      <c r="O501" s="24">
        <f>IFERROR(__xludf.DUMMYFUNCTION("""COMPUTED_VALUE"""),0.2)</f>
        <v>0.2</v>
      </c>
      <c r="P501" s="17">
        <f>IFERROR(__xludf.DUMMYFUNCTION("""COMPUTED_VALUE"""),4.3)</f>
        <v>4.3</v>
      </c>
      <c r="Q501" s="25">
        <f>IFERROR(__xludf.DUMMYFUNCTION("""COMPUTED_VALUE"""),5719.0)</f>
        <v>5719</v>
      </c>
    </row>
    <row r="502">
      <c r="A502" s="7" t="s">
        <v>539</v>
      </c>
      <c r="B502" s="7" t="s">
        <v>380</v>
      </c>
      <c r="C502" s="8">
        <v>19999.0</v>
      </c>
      <c r="D502" s="8">
        <v>27990.0</v>
      </c>
      <c r="E502" s="19">
        <v>0.29</v>
      </c>
      <c r="F502" s="10">
        <v>4.3</v>
      </c>
      <c r="G502" s="11">
        <v>9499.0</v>
      </c>
      <c r="K502" s="17" t="str">
        <f>IFERROR(__xludf.DUMMYFUNCTION("""COMPUTED_VALUE"""),"Tarkan Portable Folding Laptop Desk for Bed, Lapdesk with Handle, Drawer, Cup &amp; Mobile/Tablet Holder for Study, Eating, Work (Black)")</f>
        <v>Tarkan Portable Folding Laptop Desk for Bed, Lapdesk with Handle, Drawer, Cup &amp; Mobile/Tablet Holder for Study, Eating, Work (Black)</v>
      </c>
      <c r="L502" s="17" t="str">
        <f>IFERROR(__xludf.DUMMYFUNCTION("""COMPUTED_VALUE"""),"Computers&amp;Accessories|Accessories&amp;Peripherals|LaptopAccessories|Lapdesks")</f>
        <v>Computers&amp;Accessories|Accessories&amp;Peripherals|LaptopAccessories|Lapdesks</v>
      </c>
      <c r="M502" s="23">
        <f>IFERROR(__xludf.DUMMYFUNCTION("""COMPUTED_VALUE"""),999.0)</f>
        <v>999</v>
      </c>
      <c r="N502" s="23">
        <f>IFERROR(__xludf.DUMMYFUNCTION("""COMPUTED_VALUE"""),2499.0)</f>
        <v>2499</v>
      </c>
      <c r="O502" s="24">
        <f>IFERROR(__xludf.DUMMYFUNCTION("""COMPUTED_VALUE"""),0.6)</f>
        <v>0.6</v>
      </c>
      <c r="P502" s="17">
        <f>IFERROR(__xludf.DUMMYFUNCTION("""COMPUTED_VALUE"""),4.3)</f>
        <v>4.3</v>
      </c>
      <c r="Q502" s="25">
        <f>IFERROR(__xludf.DUMMYFUNCTION("""COMPUTED_VALUE"""),1690.0)</f>
        <v>1690</v>
      </c>
    </row>
    <row r="503">
      <c r="A503" s="7" t="s">
        <v>540</v>
      </c>
      <c r="B503" s="7" t="s">
        <v>380</v>
      </c>
      <c r="C503" s="8">
        <v>12999.0</v>
      </c>
      <c r="D503" s="8">
        <v>18999.0</v>
      </c>
      <c r="E503" s="19">
        <v>0.32</v>
      </c>
      <c r="F503" s="10">
        <v>4.1</v>
      </c>
      <c r="G503" s="11">
        <v>50772.0</v>
      </c>
      <c r="K503" s="17" t="str">
        <f>IFERROR(__xludf.DUMMYFUNCTION("""COMPUTED_VALUE"""),"Quantum RJ45 Ethernet Patch Cable/LAN Router Cable with Heavy Duty Gold Plated Connectors Supports Hi-Speed Gigabit Upto 1000Mbps, Waterproof and Durable,1-Year Warranty-32.8 Feet (10 Meters)(White)")</f>
        <v>Quantum RJ45 Ethernet Patch Cable/LAN Router Cable with Heavy Duty Gold Plated Connectors Supports Hi-Speed Gigabit Upto 1000Mbps, Waterproof and Durable,1-Year Warranty-32.8 Feet (10 Meters)(White)</v>
      </c>
      <c r="L503" s="17" t="str">
        <f>IFERROR(__xludf.DUMMYFUNCTION("""COMPUTED_VALUE"""),"Computers&amp;Accessories|Accessories&amp;Peripherals|Cables&amp;Accessories|Cables|EthernetCables")</f>
        <v>Computers&amp;Accessories|Accessories&amp;Peripherals|Cables&amp;Accessories|Cables|EthernetCables</v>
      </c>
      <c r="M503" s="23">
        <f>IFERROR(__xludf.DUMMYFUNCTION("""COMPUTED_VALUE"""),238.0)</f>
        <v>238</v>
      </c>
      <c r="N503" s="23">
        <f>IFERROR(__xludf.DUMMYFUNCTION("""COMPUTED_VALUE"""),699.0)</f>
        <v>699</v>
      </c>
      <c r="O503" s="24">
        <f>IFERROR(__xludf.DUMMYFUNCTION("""COMPUTED_VALUE"""),0.66)</f>
        <v>0.66</v>
      </c>
      <c r="P503" s="17">
        <f>IFERROR(__xludf.DUMMYFUNCTION("""COMPUTED_VALUE"""),4.4)</f>
        <v>4.4</v>
      </c>
      <c r="Q503" s="25">
        <f>IFERROR(__xludf.DUMMYFUNCTION("""COMPUTED_VALUE"""),8372.0)</f>
        <v>8372</v>
      </c>
    </row>
    <row r="504">
      <c r="A504" s="7" t="s">
        <v>541</v>
      </c>
      <c r="B504" s="7" t="s">
        <v>373</v>
      </c>
      <c r="C504" s="8">
        <v>2999.0</v>
      </c>
      <c r="D504" s="8">
        <v>5999.0</v>
      </c>
      <c r="E504" s="19">
        <v>0.5</v>
      </c>
      <c r="F504" s="10">
        <v>4.1</v>
      </c>
      <c r="G504" s="11">
        <v>7148.0</v>
      </c>
      <c r="K504" s="17" t="str">
        <f>IFERROR(__xludf.DUMMYFUNCTION("""COMPUTED_VALUE"""),"boAt A400 USB Type-C to USB-A 2.0 Male Data Cable, 2 Meter (Black)")</f>
        <v>boAt A400 USB Type-C to USB-A 2.0 Male Data Cable, 2 Meter (Black)</v>
      </c>
      <c r="L504" s="17" t="str">
        <f>IFERROR(__xludf.DUMMYFUNCTION("""COMPUTED_VALUE"""),"Computers&amp;Accessories|Accessories&amp;Peripherals|Cables&amp;Accessories|Cables|USBCables")</f>
        <v>Computers&amp;Accessories|Accessories&amp;Peripherals|Cables&amp;Accessories|Cables|USBCables</v>
      </c>
      <c r="M504" s="23">
        <f>IFERROR(__xludf.DUMMYFUNCTION("""COMPUTED_VALUE"""),299.0)</f>
        <v>299</v>
      </c>
      <c r="N504" s="23">
        <f>IFERROR(__xludf.DUMMYFUNCTION("""COMPUTED_VALUE"""),999.0)</f>
        <v>999</v>
      </c>
      <c r="O504" s="24">
        <f>IFERROR(__xludf.DUMMYFUNCTION("""COMPUTED_VALUE"""),0.7)</f>
        <v>0.7</v>
      </c>
      <c r="P504" s="17">
        <f>IFERROR(__xludf.DUMMYFUNCTION("""COMPUTED_VALUE"""),4.3)</f>
        <v>4.3</v>
      </c>
      <c r="Q504" s="25">
        <f>IFERROR(__xludf.DUMMYFUNCTION("""COMPUTED_VALUE"""),20850.0)</f>
        <v>20850</v>
      </c>
    </row>
    <row r="505">
      <c r="A505" s="7" t="s">
        <v>50</v>
      </c>
      <c r="B505" s="7" t="s">
        <v>15</v>
      </c>
      <c r="C505" s="8">
        <v>299.0</v>
      </c>
      <c r="D505" s="8">
        <v>999.0</v>
      </c>
      <c r="E505" s="19">
        <v>0.7</v>
      </c>
      <c r="F505" s="10">
        <v>4.3</v>
      </c>
      <c r="G505" s="11">
        <v>20850.0</v>
      </c>
      <c r="K505" s="17" t="str">
        <f>IFERROR(__xludf.DUMMYFUNCTION("""COMPUTED_VALUE"""),"STRIFF UPH2W Multi Angle Tablet/Mobile Stand. Holder for iPhone, Android, Samsung, OnePlus, Xiaomi. Portable,Foldable Stand.Perfect for Bed,Office, Home,Gift and Desktop (White)")</f>
        <v>STRIFF UPH2W Multi Angle Tablet/Mobile Stand. Holder for iPhone, Android, Samsung, OnePlus, Xiaomi. Portable,Foldable Stand.Perfect for Bed,Office, Home,Gift and Desktop (White)</v>
      </c>
      <c r="L505" s="17" t="str">
        <f>IFERROR(__xludf.DUMMYFUNCTION("""COMPUTED_VALUE"""),"Electronics|Mobiles&amp;Accessories|MobileAccessories|Stands")</f>
        <v>Electronics|Mobiles&amp;Accessories|MobileAccessories|Stands</v>
      </c>
      <c r="M505" s="23">
        <f>IFERROR(__xludf.DUMMYFUNCTION("""COMPUTED_VALUE"""),99.0)</f>
        <v>99</v>
      </c>
      <c r="N505" s="23">
        <f>IFERROR(__xludf.DUMMYFUNCTION("""COMPUTED_VALUE"""),499.0)</f>
        <v>499</v>
      </c>
      <c r="O505" s="24">
        <f>IFERROR(__xludf.DUMMYFUNCTION("""COMPUTED_VALUE"""),0.8)</f>
        <v>0.8</v>
      </c>
      <c r="P505" s="17">
        <f>IFERROR(__xludf.DUMMYFUNCTION("""COMPUTED_VALUE"""),4.1)</f>
        <v>4.1</v>
      </c>
      <c r="Q505" s="25">
        <f>IFERROR(__xludf.DUMMYFUNCTION("""COMPUTED_VALUE"""),2451.0)</f>
        <v>2451</v>
      </c>
    </row>
    <row r="506">
      <c r="A506" s="7" t="s">
        <v>49</v>
      </c>
      <c r="B506" s="7" t="s">
        <v>15</v>
      </c>
      <c r="C506" s="8">
        <v>970.0</v>
      </c>
      <c r="D506" s="8">
        <v>1999.0</v>
      </c>
      <c r="E506" s="19">
        <v>0.51</v>
      </c>
      <c r="F506" s="10">
        <v>4.4</v>
      </c>
      <c r="G506" s="10">
        <v>184.0</v>
      </c>
      <c r="K506" s="17" t="str">
        <f>IFERROR(__xludf.DUMMYFUNCTION("""COMPUTED_VALUE"""),"Amazon Basics Wireless Mouse | 2.4 GHz Connection, 1600 DPI | Type - C Adapter | Upto 12 Months of Battery Life | Ambidextrous Design | Suitable for PC/Mac/Laptop")</f>
        <v>Amazon Basics Wireless Mouse | 2.4 GHz Connection, 1600 DPI | Type - C Adapter | Upto 12 Months of Battery Life | Ambidextrous Design | Suitable for PC/Mac/Laptop</v>
      </c>
      <c r="L506" s="17" t="str">
        <f>IFERROR(__xludf.DUMMYFUNCTION("""COMPUTED_VALUE"""),"Computers&amp;Accessories|Accessories&amp;Peripherals|Keyboards,Mice&amp;InputDevices|Mice")</f>
        <v>Computers&amp;Accessories|Accessories&amp;Peripherals|Keyboards,Mice&amp;InputDevices|Mice</v>
      </c>
      <c r="M506" s="23">
        <f>IFERROR(__xludf.DUMMYFUNCTION("""COMPUTED_VALUE"""),499.0)</f>
        <v>499</v>
      </c>
      <c r="N506" s="23">
        <f>IFERROR(__xludf.DUMMYFUNCTION("""COMPUTED_VALUE"""),1000.0)</f>
        <v>1000</v>
      </c>
      <c r="O506" s="24">
        <f>IFERROR(__xludf.DUMMYFUNCTION("""COMPUTED_VALUE"""),0.5)</f>
        <v>0.5</v>
      </c>
      <c r="P506" s="17">
        <f>IFERROR(__xludf.DUMMYFUNCTION("""COMPUTED_VALUE"""),5.0)</f>
        <v>5</v>
      </c>
      <c r="Q506" s="17">
        <f>IFERROR(__xludf.DUMMYFUNCTION("""COMPUTED_VALUE"""),23.0)</f>
        <v>23</v>
      </c>
    </row>
    <row r="507">
      <c r="A507" s="7" t="s">
        <v>542</v>
      </c>
      <c r="B507" s="7" t="s">
        <v>409</v>
      </c>
      <c r="C507" s="8">
        <v>329.0</v>
      </c>
      <c r="D507" s="8">
        <v>999.0</v>
      </c>
      <c r="E507" s="19">
        <v>0.67</v>
      </c>
      <c r="F507" s="10">
        <v>4.2</v>
      </c>
      <c r="G507" s="11">
        <v>3492.0</v>
      </c>
      <c r="K507" s="17" t="str">
        <f>IFERROR(__xludf.DUMMYFUNCTION("""COMPUTED_VALUE"""),"Crucial RAM 8GB DDR4 3200MHz CL22 (or 2933MHz or 2666MHz) Laptop Memory CT8G4SFRA32A")</f>
        <v>Crucial RAM 8GB DDR4 3200MHz CL22 (or 2933MHz or 2666MHz) Laptop Memory CT8G4SFRA32A</v>
      </c>
      <c r="L507" s="17" t="str">
        <f>IFERROR(__xludf.DUMMYFUNCTION("""COMPUTED_VALUE"""),"Computers&amp;Accessories|Components|Memory")</f>
        <v>Computers&amp;Accessories|Components|Memory</v>
      </c>
      <c r="M507" s="23">
        <f>IFERROR(__xludf.DUMMYFUNCTION("""COMPUTED_VALUE"""),1792.0)</f>
        <v>1792</v>
      </c>
      <c r="N507" s="23">
        <f>IFERROR(__xludf.DUMMYFUNCTION("""COMPUTED_VALUE"""),3500.0)</f>
        <v>3500</v>
      </c>
      <c r="O507" s="24">
        <f>IFERROR(__xludf.DUMMYFUNCTION("""COMPUTED_VALUE"""),0.49)</f>
        <v>0.49</v>
      </c>
      <c r="P507" s="17">
        <f>IFERROR(__xludf.DUMMYFUNCTION("""COMPUTED_VALUE"""),4.5)</f>
        <v>4.5</v>
      </c>
      <c r="Q507" s="25">
        <f>IFERROR(__xludf.DUMMYFUNCTION("""COMPUTED_VALUE"""),26194.0)</f>
        <v>26194</v>
      </c>
    </row>
    <row r="508">
      <c r="A508" s="7" t="s">
        <v>543</v>
      </c>
      <c r="B508" s="7" t="s">
        <v>373</v>
      </c>
      <c r="C508" s="8">
        <v>1299.0</v>
      </c>
      <c r="D508" s="8">
        <v>5999.0</v>
      </c>
      <c r="E508" s="19">
        <v>0.78</v>
      </c>
      <c r="F508" s="10">
        <v>3.3</v>
      </c>
      <c r="G508" s="11">
        <v>4415.0</v>
      </c>
      <c r="K508" s="17" t="str">
        <f>IFERROR(__xludf.DUMMYFUNCTION("""COMPUTED_VALUE"""),"Luxor 5 Subject Single Ruled Notebook - A5 Size, 70 GSM, 300 Pages")</f>
        <v>Luxor 5 Subject Single Ruled Notebook - A5 Size, 70 GSM, 300 Pages</v>
      </c>
      <c r="L508" s="17" t="str">
        <f>IFERROR(__xludf.DUMMYFUNCTION("""COMPUTED_VALUE"""),"OfficeProducts|OfficePaperProducts|Paper|Stationery|Notebooks,WritingPads&amp;Diaries|CompositionNotebooks")</f>
        <v>OfficeProducts|OfficePaperProducts|Paper|Stationery|Notebooks,WritingPads&amp;Diaries|CompositionNotebooks</v>
      </c>
      <c r="M508" s="23">
        <f>IFERROR(__xludf.DUMMYFUNCTION("""COMPUTED_VALUE"""),125.0)</f>
        <v>125</v>
      </c>
      <c r="N508" s="23">
        <f>IFERROR(__xludf.DUMMYFUNCTION("""COMPUTED_VALUE"""),180.0)</f>
        <v>180</v>
      </c>
      <c r="O508" s="24">
        <f>IFERROR(__xludf.DUMMYFUNCTION("""COMPUTED_VALUE"""),0.31)</f>
        <v>0.31</v>
      </c>
      <c r="P508" s="17">
        <f>IFERROR(__xludf.DUMMYFUNCTION("""COMPUTED_VALUE"""),4.4)</f>
        <v>4.4</v>
      </c>
      <c r="Q508" s="25">
        <f>IFERROR(__xludf.DUMMYFUNCTION("""COMPUTED_VALUE"""),8053.0)</f>
        <v>8053</v>
      </c>
    </row>
    <row r="509">
      <c r="A509" s="7" t="s">
        <v>544</v>
      </c>
      <c r="B509" s="7" t="s">
        <v>386</v>
      </c>
      <c r="C509" s="8">
        <v>1989.0</v>
      </c>
      <c r="D509" s="8">
        <v>3500.0</v>
      </c>
      <c r="E509" s="19">
        <v>0.43</v>
      </c>
      <c r="F509" s="10">
        <v>4.4</v>
      </c>
      <c r="G509" s="11">
        <v>67260.0</v>
      </c>
      <c r="K509" s="17" t="str">
        <f>IFERROR(__xludf.DUMMYFUNCTION("""COMPUTED_VALUE"""),"Zebronics Zeb-Jaguar Wireless Mouse, 2.4GHz with USB Nano Receiver, High Precision Optical Tracking, 4 Buttons, Plug &amp; Play, Ambidextrous, for PC/Mac/Laptop (Black+Grey)")</f>
        <v>Zebronics Zeb-Jaguar Wireless Mouse, 2.4GHz with USB Nano Receiver, High Precision Optical Tracking, 4 Buttons, Plug &amp; Play, Ambidextrous, for PC/Mac/Laptop (Black+Grey)</v>
      </c>
      <c r="L509" s="17" t="str">
        <f>IFERROR(__xludf.DUMMYFUNCTION("""COMPUTED_VALUE"""),"Computers&amp;Accessories|Accessories&amp;Peripherals|Keyboards,Mice&amp;InputDevices|Mice")</f>
        <v>Computers&amp;Accessories|Accessories&amp;Peripherals|Keyboards,Mice&amp;InputDevices|Mice</v>
      </c>
      <c r="M509" s="23">
        <f>IFERROR(__xludf.DUMMYFUNCTION("""COMPUTED_VALUE"""),399.0)</f>
        <v>399</v>
      </c>
      <c r="N509" s="23">
        <f>IFERROR(__xludf.DUMMYFUNCTION("""COMPUTED_VALUE"""),1190.0)</f>
        <v>1190</v>
      </c>
      <c r="O509" s="24">
        <f>IFERROR(__xludf.DUMMYFUNCTION("""COMPUTED_VALUE"""),0.66)</f>
        <v>0.66</v>
      </c>
      <c r="P509" s="17">
        <f>IFERROR(__xludf.DUMMYFUNCTION("""COMPUTED_VALUE"""),4.1)</f>
        <v>4.1</v>
      </c>
      <c r="Q509" s="25">
        <f>IFERROR(__xludf.DUMMYFUNCTION("""COMPUTED_VALUE"""),2809.0)</f>
        <v>2809</v>
      </c>
    </row>
    <row r="510">
      <c r="A510" s="7" t="s">
        <v>374</v>
      </c>
      <c r="B510" s="7" t="s">
        <v>373</v>
      </c>
      <c r="C510" s="8">
        <v>1999.0</v>
      </c>
      <c r="D510" s="8">
        <v>9999.0</v>
      </c>
      <c r="E510" s="19">
        <v>0.8</v>
      </c>
      <c r="F510" s="10">
        <v>4.3</v>
      </c>
      <c r="G510" s="11">
        <v>27704.0</v>
      </c>
      <c r="K510" s="17" t="str">
        <f>IFERROR(__xludf.DUMMYFUNCTION("""COMPUTED_VALUE"""),"E-COSMOS Plug in LED Night Light Mini USB LED Light Flexible USB LED Ambient Light Mini USB LED Light, LED Portable car Bulb, Indoor, Outdoor, Reading, Sleep (4 pcs)")</f>
        <v>E-COSMOS Plug in LED Night Light Mini USB LED Light Flexible USB LED Ambient Light Mini USB LED Light, LED Portable car Bulb, Indoor, Outdoor, Reading, Sleep (4 pcs)</v>
      </c>
      <c r="L510" s="17" t="str">
        <f>IFERROR(__xludf.DUMMYFUNCTION("""COMPUTED_VALUE"""),"Computers&amp;Accessories|Accessories&amp;Peripherals|USBGadgets|Lamps")</f>
        <v>Computers&amp;Accessories|Accessories&amp;Peripherals|USBGadgets|Lamps</v>
      </c>
      <c r="M510" s="23">
        <f>IFERROR(__xludf.DUMMYFUNCTION("""COMPUTED_VALUE"""),89.0)</f>
        <v>89</v>
      </c>
      <c r="N510" s="23">
        <f>IFERROR(__xludf.DUMMYFUNCTION("""COMPUTED_VALUE"""),99.0)</f>
        <v>99</v>
      </c>
      <c r="O510" s="24">
        <f>IFERROR(__xludf.DUMMYFUNCTION("""COMPUTED_VALUE"""),0.1)</f>
        <v>0.1</v>
      </c>
      <c r="P510" s="17">
        <f>IFERROR(__xludf.DUMMYFUNCTION("""COMPUTED_VALUE"""),4.2)</f>
        <v>4.2</v>
      </c>
      <c r="Q510" s="17">
        <f>IFERROR(__xludf.DUMMYFUNCTION("""COMPUTED_VALUE"""),241.0)</f>
        <v>241</v>
      </c>
    </row>
    <row r="511">
      <c r="A511" s="7" t="s">
        <v>545</v>
      </c>
      <c r="B511" s="7" t="s">
        <v>380</v>
      </c>
      <c r="C511" s="8">
        <v>12999.0</v>
      </c>
      <c r="D511" s="8">
        <v>18999.0</v>
      </c>
      <c r="E511" s="19">
        <v>0.32</v>
      </c>
      <c r="F511" s="10">
        <v>4.1</v>
      </c>
      <c r="G511" s="11">
        <v>50772.0</v>
      </c>
      <c r="K511" s="17" t="str">
        <f>IFERROR(__xludf.DUMMYFUNCTION("""COMPUTED_VALUE"""),"Duracell USB C To Lightning Apple Certified (Mfi) Braided Sync &amp; Charge Cable For Iphone, Ipad And Ipod. Fast Charging Lightning Cable, 3.9 Feet (1.2M) - Black")</f>
        <v>Duracell USB C To Lightning Apple Certified (Mfi) Braided Sync &amp; Charge Cable For Iphone, Ipad And Ipod. Fast Charging Lightning Cable, 3.9 Feet (1.2M) - Black</v>
      </c>
      <c r="L511" s="17" t="str">
        <f>IFERROR(__xludf.DUMMYFUNCTION("""COMPUTED_VALUE"""),"Computers&amp;Accessories|Accessories&amp;Peripherals|Cables&amp;Accessories|Cables|USBCables")</f>
        <v>Computers&amp;Accessories|Accessories&amp;Peripherals|Cables&amp;Accessories|Cables|USBCables</v>
      </c>
      <c r="M511" s="23">
        <f>IFERROR(__xludf.DUMMYFUNCTION("""COMPUTED_VALUE"""),970.0)</f>
        <v>970</v>
      </c>
      <c r="N511" s="23">
        <f>IFERROR(__xludf.DUMMYFUNCTION("""COMPUTED_VALUE"""),1999.0)</f>
        <v>1999</v>
      </c>
      <c r="O511" s="24">
        <f>IFERROR(__xludf.DUMMYFUNCTION("""COMPUTED_VALUE"""),0.51)</f>
        <v>0.51</v>
      </c>
      <c r="P511" s="17">
        <f>IFERROR(__xludf.DUMMYFUNCTION("""COMPUTED_VALUE"""),4.4)</f>
        <v>4.4</v>
      </c>
      <c r="Q511" s="17">
        <f>IFERROR(__xludf.DUMMYFUNCTION("""COMPUTED_VALUE"""),184.0)</f>
        <v>184</v>
      </c>
    </row>
    <row r="512">
      <c r="A512" s="7" t="s">
        <v>546</v>
      </c>
      <c r="B512" s="7" t="s">
        <v>373</v>
      </c>
      <c r="C512" s="8">
        <v>1499.0</v>
      </c>
      <c r="D512" s="8">
        <v>4999.0</v>
      </c>
      <c r="E512" s="19">
        <v>0.7</v>
      </c>
      <c r="F512" s="10">
        <v>4.0</v>
      </c>
      <c r="G512" s="11">
        <v>92588.0</v>
      </c>
      <c r="K512" s="17" t="str">
        <f>IFERROR(__xludf.DUMMYFUNCTION("""COMPUTED_VALUE"""),"Lapster Gel Mouse pad with Wrist Rest , Gaming Mouse Pad with Lycra Cloth Nonslip for Laptop , Computer, , Home &amp; Office (Black)")</f>
        <v>Lapster Gel Mouse pad with Wrist Rest , Gaming Mouse Pad with Lycra Cloth Nonslip for Laptop , Computer, , Home &amp; Office (Black)</v>
      </c>
      <c r="L512"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512" s="23">
        <f>IFERROR(__xludf.DUMMYFUNCTION("""COMPUTED_VALUE"""),230.0)</f>
        <v>230</v>
      </c>
      <c r="N512" s="23">
        <f>IFERROR(__xludf.DUMMYFUNCTION("""COMPUTED_VALUE"""),999.0)</f>
        <v>999</v>
      </c>
      <c r="O512" s="24">
        <f>IFERROR(__xludf.DUMMYFUNCTION("""COMPUTED_VALUE"""),0.77)</f>
        <v>0.77</v>
      </c>
      <c r="P512" s="17">
        <f>IFERROR(__xludf.DUMMYFUNCTION("""COMPUTED_VALUE"""),4.2)</f>
        <v>4.2</v>
      </c>
      <c r="Q512" s="25">
        <f>IFERROR(__xludf.DUMMYFUNCTION("""COMPUTED_VALUE"""),1528.0)</f>
        <v>1528</v>
      </c>
    </row>
    <row r="513">
      <c r="A513" s="7" t="s">
        <v>547</v>
      </c>
      <c r="B513" s="7" t="s">
        <v>380</v>
      </c>
      <c r="C513" s="8">
        <v>16999.0</v>
      </c>
      <c r="D513" s="8">
        <v>20999.0</v>
      </c>
      <c r="E513" s="19">
        <v>0.19</v>
      </c>
      <c r="F513" s="10">
        <v>4.1</v>
      </c>
      <c r="G513" s="11">
        <v>31822.0</v>
      </c>
      <c r="K513" s="17" t="str">
        <f>IFERROR(__xludf.DUMMYFUNCTION("""COMPUTED_VALUE"""),"Gizga Essentials Earphone Carrying Case, Multi-Purpose Pocket Storage Travel Organizer for Earphones, Headset, Pen Drives, SD Cards, Shock-Proof Ballistic Nylon, Soft Fabric, Mesh Pocket, Green")</f>
        <v>Gizga Essentials Earphone Carrying Case, Multi-Purpose Pocket Storage Travel Organizer for Earphones, Headset, Pen Drives, SD Cards, Shock-Proof Ballistic Nylon, Soft Fabric, Mesh Pocket, Green</v>
      </c>
      <c r="L513" s="17" t="str">
        <f>IFERROR(__xludf.DUMMYFUNCTION("""COMPUTED_VALUE"""),"Electronics|Headphones,Earbuds&amp;Accessories|Cases")</f>
        <v>Electronics|Headphones,Earbuds&amp;Accessories|Cases</v>
      </c>
      <c r="M513" s="23">
        <f>IFERROR(__xludf.DUMMYFUNCTION("""COMPUTED_VALUE"""),119.0)</f>
        <v>119</v>
      </c>
      <c r="N513" s="23">
        <f>IFERROR(__xludf.DUMMYFUNCTION("""COMPUTED_VALUE"""),499.0)</f>
        <v>499</v>
      </c>
      <c r="O513" s="24">
        <f>IFERROR(__xludf.DUMMYFUNCTION("""COMPUTED_VALUE"""),0.76)</f>
        <v>0.76</v>
      </c>
      <c r="P513" s="17">
        <f>IFERROR(__xludf.DUMMYFUNCTION("""COMPUTED_VALUE"""),4.3)</f>
        <v>4.3</v>
      </c>
      <c r="Q513" s="25">
        <f>IFERROR(__xludf.DUMMYFUNCTION("""COMPUTED_VALUE"""),15032.0)</f>
        <v>15032</v>
      </c>
    </row>
    <row r="514">
      <c r="A514" s="7" t="s">
        <v>548</v>
      </c>
      <c r="B514" s="7" t="s">
        <v>373</v>
      </c>
      <c r="C514" s="8">
        <v>1999.0</v>
      </c>
      <c r="D514" s="8">
        <v>8499.0</v>
      </c>
      <c r="E514" s="19">
        <v>0.76</v>
      </c>
      <c r="F514" s="10">
        <v>4.3</v>
      </c>
      <c r="G514" s="10">
        <v>240.0</v>
      </c>
      <c r="K514" s="17" t="str">
        <f>IFERROR(__xludf.DUMMYFUNCTION("""COMPUTED_VALUE"""),"SanDisk Ultra SDHC UHS-I Card 32GB 120MB/s R for DSLR Cameras, for Full HD Recording, 10Y Warranty")</f>
        <v>SanDisk Ultra SDHC UHS-I Card 32GB 120MB/s R for DSLR Cameras, for Full HD Recording, 10Y Warranty</v>
      </c>
      <c r="L514" s="17" t="str">
        <f>IFERROR(__xludf.DUMMYFUNCTION("""COMPUTED_VALUE"""),"Electronics|Accessories|MemoryCards|SecureDigitalCards")</f>
        <v>Electronics|Accessories|MemoryCards|SecureDigitalCards</v>
      </c>
      <c r="M514" s="23">
        <f>IFERROR(__xludf.DUMMYFUNCTION("""COMPUTED_VALUE"""),449.0)</f>
        <v>449</v>
      </c>
      <c r="N514" s="23">
        <f>IFERROR(__xludf.DUMMYFUNCTION("""COMPUTED_VALUE"""),800.0)</f>
        <v>800</v>
      </c>
      <c r="O514" s="24">
        <f>IFERROR(__xludf.DUMMYFUNCTION("""COMPUTED_VALUE"""),0.44)</f>
        <v>0.44</v>
      </c>
      <c r="P514" s="17">
        <f>IFERROR(__xludf.DUMMYFUNCTION("""COMPUTED_VALUE"""),4.4)</f>
        <v>4.4</v>
      </c>
      <c r="Q514" s="25">
        <f>IFERROR(__xludf.DUMMYFUNCTION("""COMPUTED_VALUE"""),69585.0)</f>
        <v>69585</v>
      </c>
    </row>
    <row r="515">
      <c r="A515" s="7" t="s">
        <v>549</v>
      </c>
      <c r="B515" s="7" t="s">
        <v>373</v>
      </c>
      <c r="C515" s="8">
        <v>4999.0</v>
      </c>
      <c r="D515" s="8">
        <v>6999.0</v>
      </c>
      <c r="E515" s="19">
        <v>0.29</v>
      </c>
      <c r="F515" s="10">
        <v>3.8</v>
      </c>
      <c r="G515" s="10">
        <v>758.0</v>
      </c>
      <c r="K515" s="17" t="str">
        <f>IFERROR(__xludf.DUMMYFUNCTION("""COMPUTED_VALUE"""),"DIGITEK® (DRL-14C) Professional (31cm) Dual Temperature LED Ring Light with Tripod Stand &amp; Mini Tripod for YouTube, Photo-Shoot, Video Shoot, Live Stream, Makeup, Vlogging &amp; More")</f>
        <v>DIGITEK® (DRL-14C) Professional (31cm) Dual Temperature LED Ring Light with Tripod Stand &amp; Mini Tripod for YouTube, Photo-Shoot, Video Shoot, Live Stream, Makeup, Vlogging &amp; More</v>
      </c>
      <c r="L515" s="17" t="str">
        <f>IFERROR(__xludf.DUMMYFUNCTION("""COMPUTED_VALUE"""),"Electronics|Mobiles&amp;Accessories|MobileAccessories|Photo&amp;VideoAccessories|Flashes&amp;SelfieLights|SelfieLights")</f>
        <v>Electronics|Mobiles&amp;Accessories|MobileAccessories|Photo&amp;VideoAccessories|Flashes&amp;SelfieLights|SelfieLights</v>
      </c>
      <c r="M515" s="23">
        <f>IFERROR(__xludf.DUMMYFUNCTION("""COMPUTED_VALUE"""),1699.0)</f>
        <v>1699</v>
      </c>
      <c r="N515" s="23">
        <f>IFERROR(__xludf.DUMMYFUNCTION("""COMPUTED_VALUE"""),3495.0)</f>
        <v>3495</v>
      </c>
      <c r="O515" s="24">
        <f>IFERROR(__xludf.DUMMYFUNCTION("""COMPUTED_VALUE"""),0.51)</f>
        <v>0.51</v>
      </c>
      <c r="P515" s="17">
        <f>IFERROR(__xludf.DUMMYFUNCTION("""COMPUTED_VALUE"""),4.1)</f>
        <v>4.1</v>
      </c>
      <c r="Q515" s="25">
        <f>IFERROR(__xludf.DUMMYFUNCTION("""COMPUTED_VALUE"""),14371.0)</f>
        <v>14371</v>
      </c>
    </row>
    <row r="516">
      <c r="A516" s="7" t="s">
        <v>56</v>
      </c>
      <c r="B516" s="7" t="s">
        <v>15</v>
      </c>
      <c r="C516" s="8">
        <v>99.0</v>
      </c>
      <c r="D516" s="8">
        <v>666.66</v>
      </c>
      <c r="E516" s="19">
        <v>0.85</v>
      </c>
      <c r="F516" s="10">
        <v>3.9</v>
      </c>
      <c r="G516" s="11">
        <v>24870.0</v>
      </c>
      <c r="K516" s="17" t="str">
        <f>IFERROR(__xludf.DUMMYFUNCTION("""COMPUTED_VALUE"""),"Classmate Long Notebook - 140 Pages, Single Line, 297mm x 210mm (Pack of 12)")</f>
        <v>Classmate Long Notebook - 140 Pages, Single Line, 297mm x 210mm (Pack of 12)</v>
      </c>
      <c r="L516" s="17" t="str">
        <f>IFERROR(__xludf.DUMMYFUNCTION("""COMPUTED_VALUE"""),"OfficeProducts|OfficePaperProducts|Paper|Stationery|Notebooks,WritingPads&amp;Diaries|CompositionNotebooks")</f>
        <v>OfficeProducts|OfficePaperProducts|Paper|Stationery|Notebooks,WritingPads&amp;Diaries|CompositionNotebooks</v>
      </c>
      <c r="M516" s="23">
        <f>IFERROR(__xludf.DUMMYFUNCTION("""COMPUTED_VALUE"""),561.0)</f>
        <v>561</v>
      </c>
      <c r="N516" s="23">
        <f>IFERROR(__xludf.DUMMYFUNCTION("""COMPUTED_VALUE"""),720.0)</f>
        <v>720</v>
      </c>
      <c r="O516" s="24">
        <f>IFERROR(__xludf.DUMMYFUNCTION("""COMPUTED_VALUE"""),0.22)</f>
        <v>0.22</v>
      </c>
      <c r="P516" s="17">
        <f>IFERROR(__xludf.DUMMYFUNCTION("""COMPUTED_VALUE"""),4.4)</f>
        <v>4.4</v>
      </c>
      <c r="Q516" s="25">
        <f>IFERROR(__xludf.DUMMYFUNCTION("""COMPUTED_VALUE"""),3182.0)</f>
        <v>3182</v>
      </c>
    </row>
    <row r="517">
      <c r="A517" s="7" t="s">
        <v>550</v>
      </c>
      <c r="B517" s="7" t="s">
        <v>373</v>
      </c>
      <c r="C517" s="8">
        <v>2499.0</v>
      </c>
      <c r="D517" s="8">
        <v>5999.0</v>
      </c>
      <c r="E517" s="19">
        <v>0.58</v>
      </c>
      <c r="F517" s="10">
        <v>3.7</v>
      </c>
      <c r="G517" s="10">
        <v>828.0</v>
      </c>
      <c r="K517" s="17" t="str">
        <f>IFERROR(__xludf.DUMMYFUNCTION("""COMPUTED_VALUE"""),"Lenovo 300 Wired Plug &amp; Play USB Mouse, High Resolution 1600 DPI Optical Sensor, 3-Button Design with clickable Scroll Wheel, Ambidextrous, Ergonomic Mouse for Comfortable All-Day Grip (GX30M39704)")</f>
        <v>Lenovo 300 Wired Plug &amp; Play USB Mouse, High Resolution 1600 DPI Optical Sensor, 3-Button Design with clickable Scroll Wheel, Ambidextrous, Ergonomic Mouse for Comfortable All-Day Grip (GX30M39704)</v>
      </c>
      <c r="L517" s="17" t="str">
        <f>IFERROR(__xludf.DUMMYFUNCTION("""COMPUTED_VALUE"""),"Computers&amp;Accessories|Accessories&amp;Peripherals|Keyboards,Mice&amp;InputDevices|Mice")</f>
        <v>Computers&amp;Accessories|Accessories&amp;Peripherals|Keyboards,Mice&amp;InputDevices|Mice</v>
      </c>
      <c r="M517" s="23">
        <f>IFERROR(__xludf.DUMMYFUNCTION("""COMPUTED_VALUE"""),289.0)</f>
        <v>289</v>
      </c>
      <c r="N517" s="23">
        <f>IFERROR(__xludf.DUMMYFUNCTION("""COMPUTED_VALUE"""),590.0)</f>
        <v>590</v>
      </c>
      <c r="O517" s="24">
        <f>IFERROR(__xludf.DUMMYFUNCTION("""COMPUTED_VALUE"""),0.51)</f>
        <v>0.51</v>
      </c>
      <c r="P517" s="17">
        <f>IFERROR(__xludf.DUMMYFUNCTION("""COMPUTED_VALUE"""),4.4)</f>
        <v>4.4</v>
      </c>
      <c r="Q517" s="25">
        <f>IFERROR(__xludf.DUMMYFUNCTION("""COMPUTED_VALUE"""),25886.0)</f>
        <v>25886</v>
      </c>
    </row>
    <row r="518">
      <c r="A518" s="7" t="s">
        <v>551</v>
      </c>
      <c r="B518" s="7" t="s">
        <v>389</v>
      </c>
      <c r="C518" s="8">
        <v>1399.0</v>
      </c>
      <c r="D518" s="8">
        <v>1630.0</v>
      </c>
      <c r="E518" s="19">
        <v>0.14</v>
      </c>
      <c r="F518" s="10">
        <v>4.0</v>
      </c>
      <c r="G518" s="11">
        <v>9378.0</v>
      </c>
      <c r="K518" s="17" t="str">
        <f>IFERROR(__xludf.DUMMYFUNCTION("""COMPUTED_VALUE"""),"Dyazo 6 Angles Adjustable Aluminum Ergonomic Foldable Portable Tabletop Laptop/Desktop Riser Stand Holder Compatible for MacBook, HP, Dell, Lenovo &amp; All Other Notebook (Silver)")</f>
        <v>Dyazo 6 Angles Adjustable Aluminum Ergonomic Foldable Portable Tabletop Laptop/Desktop Riser Stand Holder Compatible for MacBook, HP, Dell, Lenovo &amp; All Other Notebook (Silver)</v>
      </c>
      <c r="L518" s="17" t="str">
        <f>IFERROR(__xludf.DUMMYFUNCTION("""COMPUTED_VALUE"""),"Computers&amp;Accessories|Accessories&amp;Peripherals|LaptopAccessories|NotebookComputerStands")</f>
        <v>Computers&amp;Accessories|Accessories&amp;Peripherals|LaptopAccessories|NotebookComputerStands</v>
      </c>
      <c r="M518" s="23">
        <f>IFERROR(__xludf.DUMMYFUNCTION("""COMPUTED_VALUE"""),599.0)</f>
        <v>599</v>
      </c>
      <c r="N518" s="23">
        <f>IFERROR(__xludf.DUMMYFUNCTION("""COMPUTED_VALUE"""),1999.0)</f>
        <v>1999</v>
      </c>
      <c r="O518" s="24">
        <f>IFERROR(__xludf.DUMMYFUNCTION("""COMPUTED_VALUE"""),0.7)</f>
        <v>0.7</v>
      </c>
      <c r="P518" s="17">
        <f>IFERROR(__xludf.DUMMYFUNCTION("""COMPUTED_VALUE"""),4.4)</f>
        <v>4.4</v>
      </c>
      <c r="Q518" s="25">
        <f>IFERROR(__xludf.DUMMYFUNCTION("""COMPUTED_VALUE"""),4736.0)</f>
        <v>4736</v>
      </c>
    </row>
    <row r="519">
      <c r="A519" s="7" t="s">
        <v>552</v>
      </c>
      <c r="B519" s="7" t="s">
        <v>373</v>
      </c>
      <c r="C519" s="8">
        <v>1499.0</v>
      </c>
      <c r="D519" s="8">
        <v>9999.0</v>
      </c>
      <c r="E519" s="19">
        <v>0.85</v>
      </c>
      <c r="F519" s="10">
        <v>4.2</v>
      </c>
      <c r="G519" s="11">
        <v>22638.0</v>
      </c>
      <c r="K519" s="17" t="str">
        <f>IFERROR(__xludf.DUMMYFUNCTION("""COMPUTED_VALUE"""),"Western Digital WD 2TB My Passport Portable Hard Disk Drive, USB 3.0 with  Automatic Backup, 256 Bit AES Hardware Encryption,Password Protection,Compatible with Windows and Mac, External HDD-Black")</f>
        <v>Western Digital WD 2TB My Passport Portable Hard Disk Drive, USB 3.0 with  Automatic Backup, 256 Bit AES Hardware Encryption,Password Protection,Compatible with Windows and Mac, External HDD-Black</v>
      </c>
      <c r="L519" s="17" t="str">
        <f>IFERROR(__xludf.DUMMYFUNCTION("""COMPUTED_VALUE"""),"Computers&amp;Accessories|ExternalDevices&amp;DataStorage|ExternalHardDisks")</f>
        <v>Computers&amp;Accessories|ExternalDevices&amp;DataStorage|ExternalHardDisks</v>
      </c>
      <c r="M519" s="23">
        <f>IFERROR(__xludf.DUMMYFUNCTION("""COMPUTED_VALUE"""),5599.0)</f>
        <v>5599</v>
      </c>
      <c r="N519" s="23">
        <f>IFERROR(__xludf.DUMMYFUNCTION("""COMPUTED_VALUE"""),7350.0)</f>
        <v>7350</v>
      </c>
      <c r="O519" s="24">
        <f>IFERROR(__xludf.DUMMYFUNCTION("""COMPUTED_VALUE"""),0.24)</f>
        <v>0.24</v>
      </c>
      <c r="P519" s="17">
        <f>IFERROR(__xludf.DUMMYFUNCTION("""COMPUTED_VALUE"""),4.4)</f>
        <v>4.4</v>
      </c>
      <c r="Q519" s="25">
        <f>IFERROR(__xludf.DUMMYFUNCTION("""COMPUTED_VALUE"""),73005.0)</f>
        <v>73005</v>
      </c>
    </row>
    <row r="520">
      <c r="A520" s="7" t="s">
        <v>57</v>
      </c>
      <c r="B520" s="7" t="s">
        <v>15</v>
      </c>
      <c r="C520" s="8">
        <v>899.0</v>
      </c>
      <c r="D520" s="8">
        <v>1900.0</v>
      </c>
      <c r="E520" s="19">
        <v>0.53</v>
      </c>
      <c r="F520" s="10">
        <v>4.4</v>
      </c>
      <c r="G520" s="11">
        <v>13552.0</v>
      </c>
      <c r="K520" s="17" t="str">
        <f>IFERROR(__xludf.DUMMYFUNCTION("""COMPUTED_VALUE"""),"Logitech C270 Digital HD Webcam with Widescreen HD Video Calling, HD Light Correction, Noise-Reducing Mic, for Skype, FaceTime, Hangouts, WebEx, PC/Mac/Laptop/MacBook/Tablet - (Black, HD 720p/30fps)")</f>
        <v>Logitech C270 Digital HD Webcam with Widescreen HD Video Calling, HD Light Correction, Noise-Reducing Mic, for Skype, FaceTime, Hangouts, WebEx, PC/Mac/Laptop/MacBook/Tablet - (Black, HD 720p/30fps)</v>
      </c>
      <c r="L520" s="17" t="str">
        <f>IFERROR(__xludf.DUMMYFUNCTION("""COMPUTED_VALUE"""),"Computers&amp;Accessories|Accessories&amp;Peripherals|Audio&amp;VideoAccessories|Webcams&amp;VoIPEquipment|Webcams")</f>
        <v>Computers&amp;Accessories|Accessories&amp;Peripherals|Audio&amp;VideoAccessories|Webcams&amp;VoIPEquipment|Webcams</v>
      </c>
      <c r="M520" s="23">
        <f>IFERROR(__xludf.DUMMYFUNCTION("""COMPUTED_VALUE"""),1990.0)</f>
        <v>1990</v>
      </c>
      <c r="N520" s="23">
        <f>IFERROR(__xludf.DUMMYFUNCTION("""COMPUTED_VALUE"""),2595.0)</f>
        <v>2595</v>
      </c>
      <c r="O520" s="24">
        <f>IFERROR(__xludf.DUMMYFUNCTION("""COMPUTED_VALUE"""),0.23)</f>
        <v>0.23</v>
      </c>
      <c r="P520" s="17">
        <f>IFERROR(__xludf.DUMMYFUNCTION("""COMPUTED_VALUE"""),4.3)</f>
        <v>4.3</v>
      </c>
      <c r="Q520" s="25">
        <f>IFERROR(__xludf.DUMMYFUNCTION("""COMPUTED_VALUE"""),20398.0)</f>
        <v>20398</v>
      </c>
    </row>
    <row r="521">
      <c r="A521" s="7" t="s">
        <v>553</v>
      </c>
      <c r="B521" s="7" t="s">
        <v>409</v>
      </c>
      <c r="C521" s="8">
        <v>249.0</v>
      </c>
      <c r="D521" s="8">
        <v>599.0</v>
      </c>
      <c r="E521" s="19">
        <v>0.58</v>
      </c>
      <c r="F521" s="10">
        <v>3.9</v>
      </c>
      <c r="G521" s="11">
        <v>2147.0</v>
      </c>
      <c r="K521" s="17" t="str">
        <f>IFERROR(__xludf.DUMMYFUNCTION("""COMPUTED_VALUE"""),"Portronics MPORT 31 4 Ports USB Hub (USB A to 4 USB-A Ports 4 in 1 Connector USB HUB(Grey)")</f>
        <v>Portronics MPORT 31 4 Ports USB Hub (USB A to 4 USB-A Ports 4 in 1 Connector USB HUB(Grey)</v>
      </c>
      <c r="L521" s="17" t="str">
        <f>IFERROR(__xludf.DUMMYFUNCTION("""COMPUTED_VALUE"""),"Computers&amp;Accessories|Accessories&amp;Peripherals|USBHubs")</f>
        <v>Computers&amp;Accessories|Accessories&amp;Peripherals|USBHubs</v>
      </c>
      <c r="M521" s="23">
        <f>IFERROR(__xludf.DUMMYFUNCTION("""COMPUTED_VALUE"""),499.0)</f>
        <v>499</v>
      </c>
      <c r="N521" s="23">
        <f>IFERROR(__xludf.DUMMYFUNCTION("""COMPUTED_VALUE"""),799.0)</f>
        <v>799</v>
      </c>
      <c r="O521" s="24">
        <f>IFERROR(__xludf.DUMMYFUNCTION("""COMPUTED_VALUE"""),0.38)</f>
        <v>0.38</v>
      </c>
      <c r="P521" s="17">
        <f>IFERROR(__xludf.DUMMYFUNCTION("""COMPUTED_VALUE"""),4.3)</f>
        <v>4.3</v>
      </c>
      <c r="Q521" s="25">
        <f>IFERROR(__xludf.DUMMYFUNCTION("""COMPUTED_VALUE"""),2125.0)</f>
        <v>2125</v>
      </c>
    </row>
    <row r="522">
      <c r="A522" s="7" t="s">
        <v>554</v>
      </c>
      <c r="B522" s="7" t="s">
        <v>490</v>
      </c>
      <c r="C522" s="8">
        <v>299.0</v>
      </c>
      <c r="D522" s="8">
        <v>1199.0</v>
      </c>
      <c r="E522" s="19">
        <v>0.75</v>
      </c>
      <c r="F522" s="10">
        <v>4.5</v>
      </c>
      <c r="G522" s="10">
        <v>596.0</v>
      </c>
      <c r="K522" s="17" t="str">
        <f>IFERROR(__xludf.DUMMYFUNCTION("""COMPUTED_VALUE"""),"AirCase Protective Laptop Bag Sleeve fits Upto 15.6"" Laptop/ MacBook, Wrinkle Free, Padded, Waterproof Light Neoprene case Cover Pouch, for Men &amp; Women, Black- 6 Months Warranty")</f>
        <v>AirCase Protective Laptop Bag Sleeve fits Upto 15.6" Laptop/ MacBook, Wrinkle Free, Padded, Waterproof Light Neoprene case Cover Pouch, for Men &amp; Women, Black- 6 Months Warranty</v>
      </c>
      <c r="L522" s="17" t="str">
        <f>IFERROR(__xludf.DUMMYFUNCTION("""COMPUTED_VALUE"""),"Computers&amp;Accessories|Accessories&amp;Peripherals|LaptopAccessories|Bags&amp;Sleeves|LaptopSleeves&amp;Slipcases")</f>
        <v>Computers&amp;Accessories|Accessories&amp;Peripherals|LaptopAccessories|Bags&amp;Sleeves|LaptopSleeves&amp;Slipcases</v>
      </c>
      <c r="M522" s="23">
        <f>IFERROR(__xludf.DUMMYFUNCTION("""COMPUTED_VALUE"""),449.0)</f>
        <v>449</v>
      </c>
      <c r="N522" s="23">
        <f>IFERROR(__xludf.DUMMYFUNCTION("""COMPUTED_VALUE"""),999.0)</f>
        <v>999</v>
      </c>
      <c r="O522" s="24">
        <f>IFERROR(__xludf.DUMMYFUNCTION("""COMPUTED_VALUE"""),0.55)</f>
        <v>0.55</v>
      </c>
      <c r="P522" s="17">
        <f>IFERROR(__xludf.DUMMYFUNCTION("""COMPUTED_VALUE"""),4.3)</f>
        <v>4.3</v>
      </c>
      <c r="Q522" s="25">
        <f>IFERROR(__xludf.DUMMYFUNCTION("""COMPUTED_VALUE"""),11330.0)</f>
        <v>11330</v>
      </c>
    </row>
    <row r="523">
      <c r="A523" s="7" t="s">
        <v>555</v>
      </c>
      <c r="B523" s="7" t="s">
        <v>469</v>
      </c>
      <c r="C523" s="8">
        <v>79.0</v>
      </c>
      <c r="D523" s="8">
        <v>499.0</v>
      </c>
      <c r="E523" s="19">
        <v>0.84</v>
      </c>
      <c r="F523" s="10">
        <v>4.2</v>
      </c>
      <c r="G523" s="11">
        <v>1949.0</v>
      </c>
      <c r="K523" s="17" t="str">
        <f>IFERROR(__xludf.DUMMYFUNCTION("""COMPUTED_VALUE"""),"Zinq Five Fan Cooling Pad and Laptop Stand with Dual Height Adjustment and Dual USB Port Extension (Black)")</f>
        <v>Zinq Five Fan Cooling Pad and Laptop Stand with Dual Height Adjustment and Dual USB Port Extension (Black)</v>
      </c>
      <c r="L523" s="17" t="str">
        <f>IFERROR(__xludf.DUMMYFUNCTION("""COMPUTED_VALUE"""),"Computers&amp;Accessories|Accessories&amp;Peripherals|LaptopAccessories|CoolingPads")</f>
        <v>Computers&amp;Accessories|Accessories&amp;Peripherals|LaptopAccessories|CoolingPads</v>
      </c>
      <c r="M523" s="23">
        <f>IFERROR(__xludf.DUMMYFUNCTION("""COMPUTED_VALUE"""),999.0)</f>
        <v>999</v>
      </c>
      <c r="N523" s="23">
        <f>IFERROR(__xludf.DUMMYFUNCTION("""COMPUTED_VALUE"""),1999.0)</f>
        <v>1999</v>
      </c>
      <c r="O523" s="24">
        <f>IFERROR(__xludf.DUMMYFUNCTION("""COMPUTED_VALUE"""),0.5)</f>
        <v>0.5</v>
      </c>
      <c r="P523" s="17">
        <f>IFERROR(__xludf.DUMMYFUNCTION("""COMPUTED_VALUE"""),4.2)</f>
        <v>4.2</v>
      </c>
      <c r="Q523" s="25">
        <f>IFERROR(__xludf.DUMMYFUNCTION("""COMPUTED_VALUE"""),27441.0)</f>
        <v>27441</v>
      </c>
    </row>
    <row r="524">
      <c r="A524" s="7" t="s">
        <v>556</v>
      </c>
      <c r="B524" s="7" t="s">
        <v>380</v>
      </c>
      <c r="C524" s="8">
        <v>13999.0</v>
      </c>
      <c r="D524" s="8">
        <v>15999.0</v>
      </c>
      <c r="E524" s="19">
        <v>0.13</v>
      </c>
      <c r="F524" s="10">
        <v>3.9</v>
      </c>
      <c r="G524" s="11">
        <v>2180.0</v>
      </c>
      <c r="K524" s="17" t="str">
        <f>IFERROR(__xludf.DUMMYFUNCTION("""COMPUTED_VALUE"""),"Gizga Essentials Webcam Cover, Privacy Protector Webcam Cover Slide, Compatible with Laptop, Desktop, PC, Smartphone, Protect Your Privacy and Security, Strong Adhesive, Set of 3, Black")</f>
        <v>Gizga Essentials Webcam Cover, Privacy Protector Webcam Cover Slide, Compatible with Laptop, Desktop, PC, Smartphone, Protect Your Privacy and Security, Strong Adhesive, Set of 3, Black</v>
      </c>
      <c r="L524" s="17" t="str">
        <f>IFERROR(__xludf.DUMMYFUNCTION("""COMPUTED_VALUE"""),"Computers&amp;Accessories|Accessories&amp;Peripherals|LaptopAccessories|CameraPrivacyCovers")</f>
        <v>Computers&amp;Accessories|Accessories&amp;Peripherals|LaptopAccessories|CameraPrivacyCovers</v>
      </c>
      <c r="M524" s="23">
        <f>IFERROR(__xludf.DUMMYFUNCTION("""COMPUTED_VALUE"""),69.0)</f>
        <v>69</v>
      </c>
      <c r="N524" s="23">
        <f>IFERROR(__xludf.DUMMYFUNCTION("""COMPUTED_VALUE"""),299.0)</f>
        <v>299</v>
      </c>
      <c r="O524" s="24">
        <f>IFERROR(__xludf.DUMMYFUNCTION("""COMPUTED_VALUE"""),0.77)</f>
        <v>0.77</v>
      </c>
      <c r="P524" s="17">
        <f>IFERROR(__xludf.DUMMYFUNCTION("""COMPUTED_VALUE"""),4.3)</f>
        <v>4.3</v>
      </c>
      <c r="Q524" s="17">
        <f>IFERROR(__xludf.DUMMYFUNCTION("""COMPUTED_VALUE"""),255.0)</f>
        <v>255</v>
      </c>
    </row>
    <row r="525">
      <c r="A525" s="7" t="s">
        <v>557</v>
      </c>
      <c r="B525" s="7" t="s">
        <v>393</v>
      </c>
      <c r="C525" s="8">
        <v>949.0</v>
      </c>
      <c r="D525" s="8">
        <v>999.0</v>
      </c>
      <c r="E525" s="19">
        <v>0.05</v>
      </c>
      <c r="F525" s="10">
        <v>4.2</v>
      </c>
      <c r="G525" s="11">
        <v>31539.0</v>
      </c>
      <c r="K525" s="17" t="str">
        <f>IFERROR(__xludf.DUMMYFUNCTION("""COMPUTED_VALUE"""),"HP Z3700 Wireless Optical Mouse with USB Receiver and 2.4GHz Wireless Connection/ 1200DPI / 16 Months Long Battery Life /Ambidextrous and Slim Design (Modern Gold)")</f>
        <v>HP Z3700 Wireless Optical Mouse with USB Receiver and 2.4GHz Wireless Connection/ 1200DPI / 16 Months Long Battery Life /Ambidextrous and Slim Design (Modern Gold)</v>
      </c>
      <c r="L525" s="17" t="str">
        <f>IFERROR(__xludf.DUMMYFUNCTION("""COMPUTED_VALUE"""),"Computers&amp;Accessories|Accessories&amp;Peripherals|Keyboards,Mice&amp;InputDevices|Mice")</f>
        <v>Computers&amp;Accessories|Accessories&amp;Peripherals|Keyboards,Mice&amp;InputDevices|Mice</v>
      </c>
      <c r="M525" s="23">
        <f>IFERROR(__xludf.DUMMYFUNCTION("""COMPUTED_VALUE"""),899.0)</f>
        <v>899</v>
      </c>
      <c r="N525" s="23">
        <f>IFERROR(__xludf.DUMMYFUNCTION("""COMPUTED_VALUE"""),1499.0)</f>
        <v>1499</v>
      </c>
      <c r="O525" s="24">
        <f>IFERROR(__xludf.DUMMYFUNCTION("""COMPUTED_VALUE"""),0.4)</f>
        <v>0.4</v>
      </c>
      <c r="P525" s="17">
        <f>IFERROR(__xludf.DUMMYFUNCTION("""COMPUTED_VALUE"""),4.2)</f>
        <v>4.2</v>
      </c>
      <c r="Q525" s="25">
        <f>IFERROR(__xludf.DUMMYFUNCTION("""COMPUTED_VALUE"""),23174.0)</f>
        <v>23174</v>
      </c>
    </row>
    <row r="526">
      <c r="A526" s="7" t="s">
        <v>558</v>
      </c>
      <c r="B526" s="7" t="s">
        <v>450</v>
      </c>
      <c r="C526" s="8">
        <v>99.0</v>
      </c>
      <c r="D526" s="8">
        <v>499.0</v>
      </c>
      <c r="E526" s="19">
        <v>0.8</v>
      </c>
      <c r="F526" s="10">
        <v>4.1</v>
      </c>
      <c r="G526" s="11">
        <v>2451.0</v>
      </c>
      <c r="K526" s="17" t="str">
        <f>IFERROR(__xludf.DUMMYFUNCTION("""COMPUTED_VALUE"""),"TABLE MAGIC Multipurpose Laptop Table Mat Finish Top Work at Home Study Table (TM Regular- Black) (Alloy Steel)")</f>
        <v>TABLE MAGIC Multipurpose Laptop Table Mat Finish Top Work at Home Study Table (TM Regular- Black) (Alloy Steel)</v>
      </c>
      <c r="L526" s="17" t="str">
        <f>IFERROR(__xludf.DUMMYFUNCTION("""COMPUTED_VALUE"""),"Computers&amp;Accessories|Accessories&amp;Peripherals|LaptopAccessories")</f>
        <v>Computers&amp;Accessories|Accessories&amp;Peripherals|LaptopAccessories</v>
      </c>
      <c r="M526" s="23">
        <f>IFERROR(__xludf.DUMMYFUNCTION("""COMPUTED_VALUE"""),1399.0)</f>
        <v>1399</v>
      </c>
      <c r="N526" s="23">
        <f>IFERROR(__xludf.DUMMYFUNCTION("""COMPUTED_VALUE"""),2490.0)</f>
        <v>2490</v>
      </c>
      <c r="O526" s="24">
        <f>IFERROR(__xludf.DUMMYFUNCTION("""COMPUTED_VALUE"""),0.44)</f>
        <v>0.44</v>
      </c>
      <c r="P526" s="17">
        <f>IFERROR(__xludf.DUMMYFUNCTION("""COMPUTED_VALUE"""),4.3)</f>
        <v>4.3</v>
      </c>
      <c r="Q526" s="25">
        <f>IFERROR(__xludf.DUMMYFUNCTION("""COMPUTED_VALUE"""),11074.0)</f>
        <v>11074</v>
      </c>
    </row>
    <row r="527">
      <c r="A527" s="7" t="s">
        <v>559</v>
      </c>
      <c r="B527" s="7" t="s">
        <v>373</v>
      </c>
      <c r="C527" s="8">
        <v>2499.0</v>
      </c>
      <c r="D527" s="8">
        <v>7990.0</v>
      </c>
      <c r="E527" s="19">
        <v>0.69</v>
      </c>
      <c r="F527" s="10">
        <v>4.1</v>
      </c>
      <c r="G527" s="10">
        <v>154.0</v>
      </c>
      <c r="K527" s="17" t="str">
        <f>IFERROR(__xludf.DUMMYFUNCTION("""COMPUTED_VALUE"""),"AmazonBasics USB 2.0 - A-Male to A-Female Extension Cable for Personal Computer, Printer (Black, 9.8 Feet/3 Meters)")</f>
        <v>AmazonBasics USB 2.0 - A-Male to A-Female Extension Cable for Personal Computer, Printer (Black, 9.8 Feet/3 Meters)</v>
      </c>
      <c r="L527" s="17" t="str">
        <f>IFERROR(__xludf.DUMMYFUNCTION("""COMPUTED_VALUE"""),"Computers&amp;Accessories|Accessories&amp;Peripherals|Cables&amp;Accessories|Cables|USBCables")</f>
        <v>Computers&amp;Accessories|Accessories&amp;Peripherals|Cables&amp;Accessories|Cables|USBCables</v>
      </c>
      <c r="M527" s="23">
        <f>IFERROR(__xludf.DUMMYFUNCTION("""COMPUTED_VALUE"""),199.0)</f>
        <v>199</v>
      </c>
      <c r="N527" s="23">
        <f>IFERROR(__xludf.DUMMYFUNCTION("""COMPUTED_VALUE"""),750.0)</f>
        <v>750</v>
      </c>
      <c r="O527" s="24">
        <f>IFERROR(__xludf.DUMMYFUNCTION("""COMPUTED_VALUE"""),0.73)</f>
        <v>0.73</v>
      </c>
      <c r="P527" s="17">
        <f>IFERROR(__xludf.DUMMYFUNCTION("""COMPUTED_VALUE"""),4.5)</f>
        <v>4.5</v>
      </c>
      <c r="Q527" s="25">
        <f>IFERROR(__xludf.DUMMYFUNCTION("""COMPUTED_VALUE"""),74976.0)</f>
        <v>74976</v>
      </c>
    </row>
    <row r="528">
      <c r="A528" s="7" t="s">
        <v>560</v>
      </c>
      <c r="B528" s="7" t="s">
        <v>561</v>
      </c>
      <c r="C528" s="8">
        <v>689.0</v>
      </c>
      <c r="D528" s="8">
        <v>1999.0</v>
      </c>
      <c r="E528" s="19">
        <v>0.66</v>
      </c>
      <c r="F528" s="10">
        <v>4.3</v>
      </c>
      <c r="G528" s="11">
        <v>1193.0</v>
      </c>
      <c r="K528" s="17" t="str">
        <f>IFERROR(__xludf.DUMMYFUNCTION("""COMPUTED_VALUE"""),"GIZGA Essentials Portable Tabletop Tablet Stand Mobile Holder, Desktop Stand, Cradle, Dock for iPad, Smartphone, Kindle, E-Reader, Fully Foldable, Adjustable Angle, Anti-Slip Pads, Black")</f>
        <v>GIZGA Essentials Portable Tabletop Tablet Stand Mobile Holder, Desktop Stand, Cradle, Dock for iPad, Smartphone, Kindle, E-Reader, Fully Foldable, Adjustable Angle, Anti-Slip Pads, Black</v>
      </c>
      <c r="L528" s="17" t="str">
        <f>IFERROR(__xludf.DUMMYFUNCTION("""COMPUTED_VALUE"""),"Computers&amp;Accessories|Accessories&amp;Peripherals|TabletAccessories|Stands")</f>
        <v>Computers&amp;Accessories|Accessories&amp;Peripherals|TabletAccessories|Stands</v>
      </c>
      <c r="M528" s="23">
        <f>IFERROR(__xludf.DUMMYFUNCTION("""COMPUTED_VALUE"""),149.0)</f>
        <v>149</v>
      </c>
      <c r="N528" s="23">
        <f>IFERROR(__xludf.DUMMYFUNCTION("""COMPUTED_VALUE"""),499.0)</f>
        <v>499</v>
      </c>
      <c r="O528" s="24">
        <f>IFERROR(__xludf.DUMMYFUNCTION("""COMPUTED_VALUE"""),0.7)</f>
        <v>0.7</v>
      </c>
      <c r="P528" s="17">
        <f>IFERROR(__xludf.DUMMYFUNCTION("""COMPUTED_VALUE"""),4.1)</f>
        <v>4.1</v>
      </c>
      <c r="Q528" s="25">
        <f>IFERROR(__xludf.DUMMYFUNCTION("""COMPUTED_VALUE"""),25607.0)</f>
        <v>25607</v>
      </c>
    </row>
    <row r="529">
      <c r="A529" s="7" t="s">
        <v>562</v>
      </c>
      <c r="B529" s="7" t="s">
        <v>511</v>
      </c>
      <c r="C529" s="8">
        <v>499.0</v>
      </c>
      <c r="D529" s="8">
        <v>1899.0</v>
      </c>
      <c r="E529" s="19">
        <v>0.74</v>
      </c>
      <c r="F529" s="10">
        <v>4.1</v>
      </c>
      <c r="G529" s="11">
        <v>1475.0</v>
      </c>
      <c r="K529" s="17" t="str">
        <f>IFERROR(__xludf.DUMMYFUNCTION("""COMPUTED_VALUE"""),"boAt Stone 650 10W Bluetooth Speaker with Upto 7 Hours Playback, IPX5 and Integrated Controls (Blue)")</f>
        <v>boAt Stone 650 10W Bluetooth Speaker with Upto 7 Hours Playback, IPX5 and Integrated Controls (Blue)</v>
      </c>
      <c r="L529" s="17" t="str">
        <f>IFERROR(__xludf.DUMMYFUNCTION("""COMPUTED_VALUE"""),"Electronics|HomeAudio|Speakers|BluetoothSpeakers")</f>
        <v>Electronics|HomeAudio|Speakers|BluetoothSpeakers</v>
      </c>
      <c r="M529" s="23">
        <f>IFERROR(__xludf.DUMMYFUNCTION("""COMPUTED_VALUE"""),1799.0)</f>
        <v>1799</v>
      </c>
      <c r="N529" s="23">
        <f>IFERROR(__xludf.DUMMYFUNCTION("""COMPUTED_VALUE"""),4990.0)</f>
        <v>4990</v>
      </c>
      <c r="O529" s="24">
        <f>IFERROR(__xludf.DUMMYFUNCTION("""COMPUTED_VALUE"""),0.64)</f>
        <v>0.64</v>
      </c>
      <c r="P529" s="17">
        <f>IFERROR(__xludf.DUMMYFUNCTION("""COMPUTED_VALUE"""),4.2)</f>
        <v>4.2</v>
      </c>
      <c r="Q529" s="25">
        <f>IFERROR(__xludf.DUMMYFUNCTION("""COMPUTED_VALUE"""),41226.0)</f>
        <v>41226</v>
      </c>
    </row>
    <row r="530">
      <c r="A530" s="7" t="s">
        <v>563</v>
      </c>
      <c r="B530" s="7" t="s">
        <v>490</v>
      </c>
      <c r="C530" s="8">
        <v>299.0</v>
      </c>
      <c r="D530" s="8">
        <v>999.0</v>
      </c>
      <c r="E530" s="19">
        <v>0.7</v>
      </c>
      <c r="F530" s="10">
        <v>4.3</v>
      </c>
      <c r="G530" s="11">
        <v>8891.0</v>
      </c>
      <c r="K530" s="17" t="str">
        <f>IFERROR(__xludf.DUMMYFUNCTION("""COMPUTED_VALUE"""),"boAt Stone 180 5W Bluetooth Speaker with Upto 10 Hours Playback, 1.75"" Driver, IPX7 &amp; TWS Feature(Black)")</f>
        <v>boAt Stone 180 5W Bluetooth Speaker with Upto 10 Hours Playback, 1.75" Driver, IPX7 &amp; TWS Feature(Black)</v>
      </c>
      <c r="L530" s="17" t="str">
        <f>IFERROR(__xludf.DUMMYFUNCTION("""COMPUTED_VALUE"""),"Electronics|HomeAudio|Speakers|OutdoorSpeakers")</f>
        <v>Electronics|HomeAudio|Speakers|OutdoorSpeakers</v>
      </c>
      <c r="M530" s="23">
        <f>IFERROR(__xludf.DUMMYFUNCTION("""COMPUTED_VALUE"""),999.0)</f>
        <v>999</v>
      </c>
      <c r="N530" s="23">
        <f>IFERROR(__xludf.DUMMYFUNCTION("""COMPUTED_VALUE"""),2490.0)</f>
        <v>2490</v>
      </c>
      <c r="O530" s="24">
        <f>IFERROR(__xludf.DUMMYFUNCTION("""COMPUTED_VALUE"""),0.6)</f>
        <v>0.6</v>
      </c>
      <c r="P530" s="17">
        <f>IFERROR(__xludf.DUMMYFUNCTION("""COMPUTED_VALUE"""),4.1)</f>
        <v>4.1</v>
      </c>
      <c r="Q530" s="25">
        <f>IFERROR(__xludf.DUMMYFUNCTION("""COMPUTED_VALUE"""),18331.0)</f>
        <v>18331</v>
      </c>
    </row>
    <row r="531">
      <c r="A531" s="7" t="s">
        <v>564</v>
      </c>
      <c r="B531" s="7" t="s">
        <v>450</v>
      </c>
      <c r="C531" s="8">
        <v>209.0</v>
      </c>
      <c r="D531" s="8">
        <v>499.0</v>
      </c>
      <c r="E531" s="19">
        <v>0.58</v>
      </c>
      <c r="F531" s="10">
        <v>3.6</v>
      </c>
      <c r="G531" s="10">
        <v>104.0</v>
      </c>
      <c r="K531" s="17" t="str">
        <f>IFERROR(__xludf.DUMMYFUNCTION("""COMPUTED_VALUE"""),"Portronics Ruffpad 8.5M Multicolor LCD Writing Pad with Screen 21.5cm (8.5-inch) for Drawing, Playing, Handwriting Gifts for Kids &amp; Adults, India's first notepad to save and share your child's first creatives via Ruffpad app on your Smartphone(Black)")</f>
        <v>Portronics Ruffpad 8.5M Multicolor LCD Writing Pad with Screen 21.5cm (8.5-inch) for Drawing, Playing, Handwriting Gifts for Kids &amp; Adults, India's first notepad to save and share your child's first creatives via Ruffpad app on your Smartphone(Black)</v>
      </c>
      <c r="L531" s="17" t="str">
        <f>IFERROR(__xludf.DUMMYFUNCTION("""COMPUTED_VALUE"""),"Computers&amp;Accessories|Accessories&amp;Peripherals|Keyboards,Mice&amp;InputDevices|GraphicTablets")</f>
        <v>Computers&amp;Accessories|Accessories&amp;Peripherals|Keyboards,Mice&amp;InputDevices|GraphicTablets</v>
      </c>
      <c r="M531" s="23">
        <f>IFERROR(__xludf.DUMMYFUNCTION("""COMPUTED_VALUE"""),378.0)</f>
        <v>378</v>
      </c>
      <c r="N531" s="23">
        <f>IFERROR(__xludf.DUMMYFUNCTION("""COMPUTED_VALUE"""),999.0)</f>
        <v>999</v>
      </c>
      <c r="O531" s="24">
        <f>IFERROR(__xludf.DUMMYFUNCTION("""COMPUTED_VALUE"""),0.62)</f>
        <v>0.62</v>
      </c>
      <c r="P531" s="17">
        <f>IFERROR(__xludf.DUMMYFUNCTION("""COMPUTED_VALUE"""),4.1)</f>
        <v>4.1</v>
      </c>
      <c r="Q531" s="25">
        <f>IFERROR(__xludf.DUMMYFUNCTION("""COMPUTED_VALUE"""),1779.0)</f>
        <v>1779</v>
      </c>
    </row>
    <row r="532">
      <c r="A532" s="7" t="s">
        <v>565</v>
      </c>
      <c r="B532" s="7" t="s">
        <v>380</v>
      </c>
      <c r="C532" s="8">
        <v>8499.0</v>
      </c>
      <c r="D532" s="8">
        <v>12999.0</v>
      </c>
      <c r="E532" s="19">
        <v>0.35</v>
      </c>
      <c r="F532" s="10">
        <v>4.1</v>
      </c>
      <c r="G532" s="11">
        <v>6662.0</v>
      </c>
      <c r="K532" s="17" t="str">
        <f>IFERROR(__xludf.DUMMYFUNCTION("""COMPUTED_VALUE"""),"BRUSTRO Copytinta Coloured Craft Paper A4 Size 80 GSM Mixed Bright Colour 40 Sheets Pack (10 cols X 4 Sheets) Double Side Color for Office Printing, Art and Craft.")</f>
        <v>BRUSTRO Copytinta Coloured Craft Paper A4 Size 80 GSM Mixed Bright Colour 40 Sheets Pack (10 cols X 4 Sheets) Double Side Color for Office Printing, Art and Craft.</v>
      </c>
      <c r="L532" s="17" t="str">
        <f>IFERROR(__xludf.DUMMYFUNCTION("""COMPUTED_VALUE"""),"OfficeProducts|OfficePaperProducts|Paper|Copy&amp;PrintingPaper|ColouredPaper")</f>
        <v>OfficeProducts|OfficePaperProducts|Paper|Copy&amp;PrintingPaper|ColouredPaper</v>
      </c>
      <c r="M532" s="23">
        <f>IFERROR(__xludf.DUMMYFUNCTION("""COMPUTED_VALUE"""),99.0)</f>
        <v>99</v>
      </c>
      <c r="N532" s="23">
        <f>IFERROR(__xludf.DUMMYFUNCTION("""COMPUTED_VALUE"""),99.0)</f>
        <v>99</v>
      </c>
      <c r="O532" s="24">
        <f>IFERROR(__xludf.DUMMYFUNCTION("""COMPUTED_VALUE"""),0.0)</f>
        <v>0</v>
      </c>
      <c r="P532" s="17">
        <f>IFERROR(__xludf.DUMMYFUNCTION("""COMPUTED_VALUE"""),4.3)</f>
        <v>4.3</v>
      </c>
      <c r="Q532" s="17">
        <f>IFERROR(__xludf.DUMMYFUNCTION("""COMPUTED_VALUE"""),388.0)</f>
        <v>388</v>
      </c>
    </row>
    <row r="533">
      <c r="A533" s="7" t="s">
        <v>566</v>
      </c>
      <c r="B533" s="7" t="s">
        <v>377</v>
      </c>
      <c r="C533" s="8">
        <v>2179.0</v>
      </c>
      <c r="D533" s="8">
        <v>3999.0</v>
      </c>
      <c r="E533" s="19">
        <v>0.46</v>
      </c>
      <c r="F533" s="10">
        <v>4.0</v>
      </c>
      <c r="G533" s="11">
        <v>8380.0</v>
      </c>
      <c r="K533" s="17" t="str">
        <f>IFERROR(__xludf.DUMMYFUNCTION("""COMPUTED_VALUE"""),"Cuzor 12V Mini ups for WiFi Router | Power Backup up to 4 Hours | Replaceable Battery | Ups for Wi-Fi Router and Modem | Ups for Router up to 2A | ups for uninterrupted wi-fi")</f>
        <v>Cuzor 12V Mini ups for WiFi Router | Power Backup up to 4 Hours | Replaceable Battery | Ups for Wi-Fi Router and Modem | Ups for Router up to 2A | ups for uninterrupted wi-fi</v>
      </c>
      <c r="L533" s="17" t="str">
        <f>IFERROR(__xludf.DUMMYFUNCTION("""COMPUTED_VALUE"""),"Computers&amp;Accessories|NetworkingDevices|Routers")</f>
        <v>Computers&amp;Accessories|NetworkingDevices|Routers</v>
      </c>
      <c r="M533" s="23">
        <f>IFERROR(__xludf.DUMMYFUNCTION("""COMPUTED_VALUE"""),1499.0)</f>
        <v>1499</v>
      </c>
      <c r="N533" s="23">
        <f>IFERROR(__xludf.DUMMYFUNCTION("""COMPUTED_VALUE"""),2999.0)</f>
        <v>2999</v>
      </c>
      <c r="O533" s="24">
        <f>IFERROR(__xludf.DUMMYFUNCTION("""COMPUTED_VALUE"""),0.5)</f>
        <v>0.5</v>
      </c>
      <c r="P533" s="17">
        <f>IFERROR(__xludf.DUMMYFUNCTION("""COMPUTED_VALUE"""),4.5)</f>
        <v>4.5</v>
      </c>
      <c r="Q533" s="25">
        <f>IFERROR(__xludf.DUMMYFUNCTION("""COMPUTED_VALUE"""),8656.0)</f>
        <v>8656</v>
      </c>
    </row>
    <row r="534">
      <c r="A534" s="7" t="s">
        <v>567</v>
      </c>
      <c r="B534" s="7" t="s">
        <v>380</v>
      </c>
      <c r="C534" s="8">
        <v>16999.0</v>
      </c>
      <c r="D534" s="8">
        <v>20999.0</v>
      </c>
      <c r="E534" s="19">
        <v>0.19</v>
      </c>
      <c r="F534" s="10">
        <v>4.1</v>
      </c>
      <c r="G534" s="11">
        <v>31822.0</v>
      </c>
      <c r="K534" s="17" t="str">
        <f>IFERROR(__xludf.DUMMYFUNCTION("""COMPUTED_VALUE"""),"Crucial BX500 240GB 3D NAND SATA 6.35 cm (2.5-inch) SSD (CT240BX500SSD1)")</f>
        <v>Crucial BX500 240GB 3D NAND SATA 6.35 cm (2.5-inch) SSD (CT240BX500SSD1)</v>
      </c>
      <c r="L534" s="17" t="str">
        <f>IFERROR(__xludf.DUMMYFUNCTION("""COMPUTED_VALUE"""),"Computers&amp;Accessories|Components|InternalSolidStateDrives")</f>
        <v>Computers&amp;Accessories|Components|InternalSolidStateDrives</v>
      </c>
      <c r="M534" s="23">
        <f>IFERROR(__xludf.DUMMYFUNCTION("""COMPUTED_VALUE"""),1815.0)</f>
        <v>1815</v>
      </c>
      <c r="N534" s="23">
        <f>IFERROR(__xludf.DUMMYFUNCTION("""COMPUTED_VALUE"""),3100.0)</f>
        <v>3100</v>
      </c>
      <c r="O534" s="24">
        <f>IFERROR(__xludf.DUMMYFUNCTION("""COMPUTED_VALUE"""),0.41)</f>
        <v>0.41</v>
      </c>
      <c r="P534" s="17">
        <f>IFERROR(__xludf.DUMMYFUNCTION("""COMPUTED_VALUE"""),4.5)</f>
        <v>4.5</v>
      </c>
      <c r="Q534" s="25">
        <f>IFERROR(__xludf.DUMMYFUNCTION("""COMPUTED_VALUE"""),92925.0)</f>
        <v>92925</v>
      </c>
    </row>
    <row r="535">
      <c r="A535" s="7" t="s">
        <v>568</v>
      </c>
      <c r="B535" s="7" t="s">
        <v>380</v>
      </c>
      <c r="C535" s="8">
        <v>44999.0</v>
      </c>
      <c r="D535" s="8">
        <v>49999.0</v>
      </c>
      <c r="E535" s="19">
        <v>0.1</v>
      </c>
      <c r="F535" s="10">
        <v>4.3</v>
      </c>
      <c r="G535" s="11">
        <v>3075.0</v>
      </c>
      <c r="K535" s="17" t="str">
        <f>IFERROR(__xludf.DUMMYFUNCTION("""COMPUTED_VALUE"""),"Classmate Pulse Spiral Notebook - 240 mm x 180 mm, Soft Cover, 200 Pages, Unruled")</f>
        <v>Classmate Pulse Spiral Notebook - 240 mm x 180 mm, Soft Cover, 200 Pages, Unruled</v>
      </c>
      <c r="L535" s="17" t="str">
        <f>IFERROR(__xludf.DUMMYFUNCTION("""COMPUTED_VALUE"""),"OfficeProducts|OfficePaperProducts|Paper|Stationery|Notebooks,WritingPads&amp;Diaries|CompositionNotebooks")</f>
        <v>OfficeProducts|OfficePaperProducts|Paper|Stationery|Notebooks,WritingPads&amp;Diaries|CompositionNotebooks</v>
      </c>
      <c r="M535" s="23">
        <f>IFERROR(__xludf.DUMMYFUNCTION("""COMPUTED_VALUE"""),67.0)</f>
        <v>67</v>
      </c>
      <c r="N535" s="23">
        <f>IFERROR(__xludf.DUMMYFUNCTION("""COMPUTED_VALUE"""),75.0)</f>
        <v>75</v>
      </c>
      <c r="O535" s="24">
        <f>IFERROR(__xludf.DUMMYFUNCTION("""COMPUTED_VALUE"""),0.11)</f>
        <v>0.11</v>
      </c>
      <c r="P535" s="17">
        <f>IFERROR(__xludf.DUMMYFUNCTION("""COMPUTED_VALUE"""),4.1)</f>
        <v>4.1</v>
      </c>
      <c r="Q535" s="25">
        <f>IFERROR(__xludf.DUMMYFUNCTION("""COMPUTED_VALUE"""),1269.0)</f>
        <v>1269</v>
      </c>
    </row>
    <row r="536">
      <c r="A536" s="7" t="s">
        <v>569</v>
      </c>
      <c r="B536" s="7" t="s">
        <v>389</v>
      </c>
      <c r="C536" s="8">
        <v>2599.0</v>
      </c>
      <c r="D536" s="8">
        <v>2999.0</v>
      </c>
      <c r="E536" s="19">
        <v>0.13</v>
      </c>
      <c r="F536" s="10">
        <v>3.9</v>
      </c>
      <c r="G536" s="11">
        <v>14266.0</v>
      </c>
      <c r="K536" s="17" t="str">
        <f>IFERROR(__xludf.DUMMYFUNCTION("""COMPUTED_VALUE"""),"Portronics My buddy plus Adjustable Laptop cooling Table (Brown)")</f>
        <v>Portronics My buddy plus Adjustable Laptop cooling Table (Brown)</v>
      </c>
      <c r="L536" s="17" t="str">
        <f>IFERROR(__xludf.DUMMYFUNCTION("""COMPUTED_VALUE"""),"Computers&amp;Accessories|Accessories&amp;Peripherals|LaptopAccessories|Lapdesks")</f>
        <v>Computers&amp;Accessories|Accessories&amp;Peripherals|LaptopAccessories|Lapdesks</v>
      </c>
      <c r="M536" s="23">
        <f>IFERROR(__xludf.DUMMYFUNCTION("""COMPUTED_VALUE"""),1889.0)</f>
        <v>1889</v>
      </c>
      <c r="N536" s="23">
        <f>IFERROR(__xludf.DUMMYFUNCTION("""COMPUTED_VALUE"""),2699.0)</f>
        <v>2699</v>
      </c>
      <c r="O536" s="24">
        <f>IFERROR(__xludf.DUMMYFUNCTION("""COMPUTED_VALUE"""),0.3)</f>
        <v>0.3</v>
      </c>
      <c r="P536" s="17">
        <f>IFERROR(__xludf.DUMMYFUNCTION("""COMPUTED_VALUE"""),4.3)</f>
        <v>4.3</v>
      </c>
      <c r="Q536" s="25">
        <f>IFERROR(__xludf.DUMMYFUNCTION("""COMPUTED_VALUE"""),17394.0)</f>
        <v>17394</v>
      </c>
    </row>
    <row r="537">
      <c r="A537" s="7" t="s">
        <v>570</v>
      </c>
      <c r="B537" s="7" t="s">
        <v>373</v>
      </c>
      <c r="C537" s="8">
        <v>2799.0</v>
      </c>
      <c r="D537" s="8">
        <v>6499.0</v>
      </c>
      <c r="E537" s="19">
        <v>0.57</v>
      </c>
      <c r="F537" s="10">
        <v>4.1</v>
      </c>
      <c r="G537" s="11">
        <v>38879.0</v>
      </c>
      <c r="K537" s="17" t="str">
        <f>IFERROR(__xludf.DUMMYFUNCTION("""COMPUTED_VALUE"""),"INOVERA World Map Extended Anti Slip Rubber Gaming Stitched Mouse Pad Desk Mat for Computer Laptop (Black, 900L x 400B x 2H mm)")</f>
        <v>INOVERA World Map Extended Anti Slip Rubber Gaming Stitched Mouse Pad Desk Mat for Computer Laptop (Black, 900L x 400B x 2H mm)</v>
      </c>
      <c r="L537"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537" s="23">
        <f>IFERROR(__xludf.DUMMYFUNCTION("""COMPUTED_VALUE"""),499.0)</f>
        <v>499</v>
      </c>
      <c r="N537" s="23">
        <f>IFERROR(__xludf.DUMMYFUNCTION("""COMPUTED_VALUE"""),999.0)</f>
        <v>999</v>
      </c>
      <c r="O537" s="24">
        <f>IFERROR(__xludf.DUMMYFUNCTION("""COMPUTED_VALUE"""),0.5)</f>
        <v>0.5</v>
      </c>
      <c r="P537" s="17">
        <f>IFERROR(__xludf.DUMMYFUNCTION("""COMPUTED_VALUE"""),4.4)</f>
        <v>4.4</v>
      </c>
      <c r="Q537" s="25">
        <f>IFERROR(__xludf.DUMMYFUNCTION("""COMPUTED_VALUE"""),1030.0)</f>
        <v>1030</v>
      </c>
    </row>
    <row r="538">
      <c r="A538" s="7" t="s">
        <v>571</v>
      </c>
      <c r="B538" s="7" t="s">
        <v>572</v>
      </c>
      <c r="C538" s="8">
        <v>1399.0</v>
      </c>
      <c r="D538" s="8">
        <v>2990.0</v>
      </c>
      <c r="E538" s="19">
        <v>0.53</v>
      </c>
      <c r="F538" s="10">
        <v>4.1</v>
      </c>
      <c r="G538" s="11">
        <v>97175.0</v>
      </c>
      <c r="K538" s="17" t="str">
        <f>IFERROR(__xludf.DUMMYFUNCTION("""COMPUTED_VALUE"""),"Seagate One Touch 2TB External HDD with Password Protection – Black, for Windows and Mac, with 3 yr Data Recovery Services, and 4 Months Adobe CC Photography (STKY2000400)")</f>
        <v>Seagate One Touch 2TB External HDD with Password Protection – Black, for Windows and Mac, with 3 yr Data Recovery Services, and 4 Months Adobe CC Photography (STKY2000400)</v>
      </c>
      <c r="L538" s="17" t="str">
        <f>IFERROR(__xludf.DUMMYFUNCTION("""COMPUTED_VALUE"""),"Computers&amp;Accessories|ExternalDevices&amp;DataStorage|ExternalHardDisks")</f>
        <v>Computers&amp;Accessories|ExternalDevices&amp;DataStorage|ExternalHardDisks</v>
      </c>
      <c r="M538" s="23">
        <f>IFERROR(__xludf.DUMMYFUNCTION("""COMPUTED_VALUE"""),5799.0)</f>
        <v>5799</v>
      </c>
      <c r="N538" s="23">
        <f>IFERROR(__xludf.DUMMYFUNCTION("""COMPUTED_VALUE"""),7999.0)</f>
        <v>7999</v>
      </c>
      <c r="O538" s="24">
        <f>IFERROR(__xludf.DUMMYFUNCTION("""COMPUTED_VALUE"""),0.28)</f>
        <v>0.28</v>
      </c>
      <c r="P538" s="17">
        <f>IFERROR(__xludf.DUMMYFUNCTION("""COMPUTED_VALUE"""),4.5)</f>
        <v>4.5</v>
      </c>
      <c r="Q538" s="25">
        <f>IFERROR(__xludf.DUMMYFUNCTION("""COMPUTED_VALUE"""),50273.0)</f>
        <v>50273</v>
      </c>
    </row>
    <row r="539">
      <c r="A539" s="7" t="s">
        <v>573</v>
      </c>
      <c r="B539" s="7" t="s">
        <v>386</v>
      </c>
      <c r="C539" s="8">
        <v>649.0</v>
      </c>
      <c r="D539" s="8">
        <v>2400.0</v>
      </c>
      <c r="E539" s="19">
        <v>0.73</v>
      </c>
      <c r="F539" s="10">
        <v>4.4</v>
      </c>
      <c r="G539" s="11">
        <v>67260.0</v>
      </c>
      <c r="K539" s="17" t="str">
        <f>IFERROR(__xludf.DUMMYFUNCTION("""COMPUTED_VALUE"""),"Western Digital WD 1.5TB Elements Portable Hard Disk Drive, USB 3.0, Compatible with PC, PS4 and Xbox, External HDD (WDBU6Y0015BBK-WESN)")</f>
        <v>Western Digital WD 1.5TB Elements Portable Hard Disk Drive, USB 3.0, Compatible with PC, PS4 and Xbox, External HDD (WDBU6Y0015BBK-WESN)</v>
      </c>
      <c r="L539" s="17" t="str">
        <f>IFERROR(__xludf.DUMMYFUNCTION("""COMPUTED_VALUE"""),"Computers&amp;Accessories|ExternalDevices&amp;DataStorage|ExternalHardDisks")</f>
        <v>Computers&amp;Accessories|ExternalDevices&amp;DataStorage|ExternalHardDisks</v>
      </c>
      <c r="M539" s="23">
        <f>IFERROR(__xludf.DUMMYFUNCTION("""COMPUTED_VALUE"""),4449.0)</f>
        <v>4449</v>
      </c>
      <c r="N539" s="23">
        <f>IFERROR(__xludf.DUMMYFUNCTION("""COMPUTED_VALUE"""),5734.0)</f>
        <v>5734</v>
      </c>
      <c r="O539" s="24">
        <f>IFERROR(__xludf.DUMMYFUNCTION("""COMPUTED_VALUE"""),0.22)</f>
        <v>0.22</v>
      </c>
      <c r="P539" s="17">
        <f>IFERROR(__xludf.DUMMYFUNCTION("""COMPUTED_VALUE"""),4.4)</f>
        <v>4.4</v>
      </c>
      <c r="Q539" s="25">
        <f>IFERROR(__xludf.DUMMYFUNCTION("""COMPUTED_VALUE"""),25006.0)</f>
        <v>25006</v>
      </c>
    </row>
    <row r="540">
      <c r="A540" s="7" t="s">
        <v>574</v>
      </c>
      <c r="B540" s="7" t="s">
        <v>409</v>
      </c>
      <c r="C540" s="8">
        <v>799.0</v>
      </c>
      <c r="D540" s="8">
        <v>3990.0</v>
      </c>
      <c r="E540" s="19">
        <v>0.8</v>
      </c>
      <c r="F540" s="10">
        <v>3.8</v>
      </c>
      <c r="G540" s="10">
        <v>119.0</v>
      </c>
      <c r="K540" s="17" t="str">
        <f>IFERROR(__xludf.DUMMYFUNCTION("""COMPUTED_VALUE"""),"Redgear MP35 Speed-Type Gaming Mousepad (Black/Red)")</f>
        <v>Redgear MP35 Speed-Type Gaming Mousepad (Black/Red)</v>
      </c>
      <c r="L540" s="17" t="str">
        <f>IFERROR(__xludf.DUMMYFUNCTION("""COMPUTED_VALUE"""),"Computers&amp;Accessories|Accessories&amp;Peripherals|PCGamingPeripherals|Gamepads")</f>
        <v>Computers&amp;Accessories|Accessories&amp;Peripherals|PCGamingPeripherals|Gamepads</v>
      </c>
      <c r="M540" s="23">
        <f>IFERROR(__xludf.DUMMYFUNCTION("""COMPUTED_VALUE"""),299.0)</f>
        <v>299</v>
      </c>
      <c r="N540" s="23">
        <f>IFERROR(__xludf.DUMMYFUNCTION("""COMPUTED_VALUE"""),550.0)</f>
        <v>550</v>
      </c>
      <c r="O540" s="24">
        <f>IFERROR(__xludf.DUMMYFUNCTION("""COMPUTED_VALUE"""),0.46)</f>
        <v>0.46</v>
      </c>
      <c r="P540" s="17">
        <f>IFERROR(__xludf.DUMMYFUNCTION("""COMPUTED_VALUE"""),4.6)</f>
        <v>4.6</v>
      </c>
      <c r="Q540" s="25">
        <f>IFERROR(__xludf.DUMMYFUNCTION("""COMPUTED_VALUE"""),33434.0)</f>
        <v>33434</v>
      </c>
    </row>
    <row r="541">
      <c r="A541" s="7" t="s">
        <v>575</v>
      </c>
      <c r="B541" s="7" t="s">
        <v>576</v>
      </c>
      <c r="C541" s="8">
        <v>149.0</v>
      </c>
      <c r="D541" s="8">
        <v>149.0</v>
      </c>
      <c r="E541" s="19">
        <v>0.0</v>
      </c>
      <c r="F541" s="10">
        <v>4.3</v>
      </c>
      <c r="G541" s="11">
        <v>10833.0</v>
      </c>
      <c r="K541" s="17" t="str">
        <f>IFERROR(__xludf.DUMMYFUNCTION("""COMPUTED_VALUE"""),"Lenovo 400 Wireless Mouse, 1200DPI Optical Sensor, 2.4GHz Wireless Nano USB, 3-Button (Left,Right,Scroll) Upto 8M Left/Right &amp; 100K Scroll clicks &amp; 1yr Battery, Ambidextrous, Ergonomic GY50R91293")</f>
        <v>Lenovo 400 Wireless Mouse, 1200DPI Optical Sensor, 2.4GHz Wireless Nano USB, 3-Button (Left,Right,Scroll) Upto 8M Left/Right &amp; 100K Scroll clicks &amp; 1yr Battery, Ambidextrous, Ergonomic GY50R91293</v>
      </c>
      <c r="L541" s="17" t="str">
        <f>IFERROR(__xludf.DUMMYFUNCTION("""COMPUTED_VALUE"""),"Computers&amp;Accessories|Accessories&amp;Peripherals|Keyboards,Mice&amp;InputDevices|Mice")</f>
        <v>Computers&amp;Accessories|Accessories&amp;Peripherals|Keyboards,Mice&amp;InputDevices|Mice</v>
      </c>
      <c r="M541" s="23">
        <f>IFERROR(__xludf.DUMMYFUNCTION("""COMPUTED_VALUE"""),629.0)</f>
        <v>629</v>
      </c>
      <c r="N541" s="23">
        <f>IFERROR(__xludf.DUMMYFUNCTION("""COMPUTED_VALUE"""),1390.0)</f>
        <v>1390</v>
      </c>
      <c r="O541" s="24">
        <f>IFERROR(__xludf.DUMMYFUNCTION("""COMPUTED_VALUE"""),0.55)</f>
        <v>0.55</v>
      </c>
      <c r="P541" s="17">
        <f>IFERROR(__xludf.DUMMYFUNCTION("""COMPUTED_VALUE"""),4.4)</f>
        <v>4.4</v>
      </c>
      <c r="Q541" s="25">
        <f>IFERROR(__xludf.DUMMYFUNCTION("""COMPUTED_VALUE"""),6301.0)</f>
        <v>6301</v>
      </c>
    </row>
    <row r="542">
      <c r="A542" s="7" t="s">
        <v>75</v>
      </c>
      <c r="B542" s="7" t="s">
        <v>15</v>
      </c>
      <c r="C542" s="8">
        <v>799.0</v>
      </c>
      <c r="D542" s="8">
        <v>2100.0</v>
      </c>
      <c r="E542" s="19">
        <v>0.62</v>
      </c>
      <c r="F542" s="10">
        <v>4.3</v>
      </c>
      <c r="G542" s="11">
        <v>8188.0</v>
      </c>
      <c r="K542" s="17" t="str">
        <f>IFERROR(__xludf.DUMMYFUNCTION("""COMPUTED_VALUE"""),"Logitech K480 Wireless Multi-Device Keyboard for Windows, macOS, iPadOS, Android or Chrome OS, Bluetooth, Compact, Compatible with PC, Mac, Laptop, Smartphone, Tablet - Black")</f>
        <v>Logitech K480 Wireless Multi-Device Keyboard for Windows, macOS, iPadOS, Android or Chrome OS, Bluetooth, Compact, Compatible with PC, Mac, Laptop, Smartphone, Tablet - Black</v>
      </c>
      <c r="L542" s="17" t="str">
        <f>IFERROR(__xludf.DUMMYFUNCTION("""COMPUTED_VALUE"""),"Computers&amp;Accessories|Accessories&amp;Peripherals|Keyboards,Mice&amp;InputDevices|Keyboards")</f>
        <v>Computers&amp;Accessories|Accessories&amp;Peripherals|Keyboards,Mice&amp;InputDevices|Keyboards</v>
      </c>
      <c r="M542" s="23">
        <f>IFERROR(__xludf.DUMMYFUNCTION("""COMPUTED_VALUE"""),2595.0)</f>
        <v>2595</v>
      </c>
      <c r="N542" s="23">
        <f>IFERROR(__xludf.DUMMYFUNCTION("""COMPUTED_VALUE"""),3295.0)</f>
        <v>3295</v>
      </c>
      <c r="O542" s="24">
        <f>IFERROR(__xludf.DUMMYFUNCTION("""COMPUTED_VALUE"""),0.21)</f>
        <v>0.21</v>
      </c>
      <c r="P542" s="17">
        <f>IFERROR(__xludf.DUMMYFUNCTION("""COMPUTED_VALUE"""),4.4)</f>
        <v>4.4</v>
      </c>
      <c r="Q542" s="25">
        <f>IFERROR(__xludf.DUMMYFUNCTION("""COMPUTED_VALUE"""),22618.0)</f>
        <v>22618</v>
      </c>
    </row>
    <row r="543">
      <c r="A543" s="7" t="s">
        <v>577</v>
      </c>
      <c r="B543" s="7" t="s">
        <v>389</v>
      </c>
      <c r="C543" s="8">
        <v>3799.0</v>
      </c>
      <c r="D543" s="8">
        <v>5299.0</v>
      </c>
      <c r="E543" s="19">
        <v>0.28</v>
      </c>
      <c r="F543" s="10">
        <v>3.5</v>
      </c>
      <c r="G543" s="11">
        <v>1641.0</v>
      </c>
      <c r="K543" s="17" t="str">
        <f>IFERROR(__xludf.DUMMYFUNCTION("""COMPUTED_VALUE"""),"Zoul USB C 60W Fast Charging 3A 6ft/2M Long Type C Nylon Braided Data Cable Quick Charger Cable QC 3.0 for Samsung Galaxy M31S M30 S10 S9 S20 Plus, Note 10 9 8, A20e A40 A50 A70 (2M, Grey)")</f>
        <v>Zoul USB C 60W Fast Charging 3A 6ft/2M Long Type C Nylon Braided Data Cable Quick Charger Cable QC 3.0 for Samsung Galaxy M31S M30 S10 S9 S20 Plus, Note 10 9 8, A20e A40 A50 A70 (2M, Grey)</v>
      </c>
      <c r="L543" s="17" t="str">
        <f>IFERROR(__xludf.DUMMYFUNCTION("""COMPUTED_VALUE"""),"Computers&amp;Accessories|Accessories&amp;Peripherals|Cables&amp;Accessories|Cables|USBCables")</f>
        <v>Computers&amp;Accessories|Accessories&amp;Peripherals|Cables&amp;Accessories|Cables|USBCables</v>
      </c>
      <c r="M543" s="23">
        <f>IFERROR(__xludf.DUMMYFUNCTION("""COMPUTED_VALUE"""),389.0)</f>
        <v>389</v>
      </c>
      <c r="N543" s="23">
        <f>IFERROR(__xludf.DUMMYFUNCTION("""COMPUTED_VALUE"""),1099.0)</f>
        <v>1099</v>
      </c>
      <c r="O543" s="24">
        <f>IFERROR(__xludf.DUMMYFUNCTION("""COMPUTED_VALUE"""),0.65)</f>
        <v>0.65</v>
      </c>
      <c r="P543" s="17">
        <f>IFERROR(__xludf.DUMMYFUNCTION("""COMPUTED_VALUE"""),4.3)</f>
        <v>4.3</v>
      </c>
      <c r="Q543" s="17">
        <f>IFERROR(__xludf.DUMMYFUNCTION("""COMPUTED_VALUE"""),974.0)</f>
        <v>974</v>
      </c>
    </row>
    <row r="544">
      <c r="A544" s="7" t="s">
        <v>578</v>
      </c>
      <c r="B544" s="7" t="s">
        <v>516</v>
      </c>
      <c r="C544" s="8">
        <v>199.0</v>
      </c>
      <c r="D544" s="8">
        <v>1899.0</v>
      </c>
      <c r="E544" s="19">
        <v>0.9</v>
      </c>
      <c r="F544" s="10">
        <v>4.0</v>
      </c>
      <c r="G544" s="11">
        <v>4740.0</v>
      </c>
      <c r="K544" s="17" t="str">
        <f>IFERROR(__xludf.DUMMYFUNCTION("""COMPUTED_VALUE"""),"RESONATE RouterUPS CRU12V2A | Zero Drop | UPS for WiFi Router | Mini UPS | Up to 4 Hours PowerBackup | Battery Replacement Program | Router UPS Compatible with 12V &lt;2A Routers, FTTH, Modem, Set Top Box, Alexa, Mini Camera")</f>
        <v>RESONATE RouterUPS CRU12V2A | Zero Drop | UPS for WiFi Router | Mini UPS | Up to 4 Hours PowerBackup | Battery Replacement Program | Router UPS Compatible with 12V &lt;2A Routers, FTTH, Modem, Set Top Box, Alexa, Mini Camera</v>
      </c>
      <c r="L544" s="17" t="str">
        <f>IFERROR(__xludf.DUMMYFUNCTION("""COMPUTED_VALUE"""),"Computers&amp;Accessories|NetworkingDevices|Routers")</f>
        <v>Computers&amp;Accessories|NetworkingDevices|Routers</v>
      </c>
      <c r="M544" s="23">
        <f>IFERROR(__xludf.DUMMYFUNCTION("""COMPUTED_VALUE"""),1799.0)</f>
        <v>1799</v>
      </c>
      <c r="N544" s="23">
        <f>IFERROR(__xludf.DUMMYFUNCTION("""COMPUTED_VALUE"""),2911.0)</f>
        <v>2911</v>
      </c>
      <c r="O544" s="24">
        <f>IFERROR(__xludf.DUMMYFUNCTION("""COMPUTED_VALUE"""),0.38)</f>
        <v>0.38</v>
      </c>
      <c r="P544" s="17">
        <f>IFERROR(__xludf.DUMMYFUNCTION("""COMPUTED_VALUE"""),4.3)</f>
        <v>4.3</v>
      </c>
      <c r="Q544" s="25">
        <f>IFERROR(__xludf.DUMMYFUNCTION("""COMPUTED_VALUE"""),20342.0)</f>
        <v>20342</v>
      </c>
    </row>
    <row r="545">
      <c r="A545" s="7" t="s">
        <v>579</v>
      </c>
      <c r="B545" s="7" t="s">
        <v>380</v>
      </c>
      <c r="C545" s="8">
        <v>23999.0</v>
      </c>
      <c r="D545" s="8">
        <v>32999.0</v>
      </c>
      <c r="E545" s="19">
        <v>0.27</v>
      </c>
      <c r="F545" s="10">
        <v>3.9</v>
      </c>
      <c r="G545" s="11">
        <v>8866.0</v>
      </c>
      <c r="K545" s="17" t="str">
        <f>IFERROR(__xludf.DUMMYFUNCTION("""COMPUTED_VALUE"""),"3M Post-it Sticky Note Cube, 200 Sheets (4 Colors x 50 Sheets) | 3"" x 3"" Size | For notes, reminders, study, school and organizing")</f>
        <v>3M Post-it Sticky Note Cube, 200 Sheets (4 Colors x 50 Sheets) | 3" x 3" Size | For notes, reminders, study, school and organizing</v>
      </c>
      <c r="L545" s="17" t="str">
        <f>IFERROR(__xludf.DUMMYFUNCTION("""COMPUTED_VALUE"""),"OfficeProducts|OfficePaperProducts|Paper|Stationery|Notebooks,WritingPads&amp;Diaries|Notepads&amp;MemoBooks")</f>
        <v>OfficeProducts|OfficePaperProducts|Paper|Stationery|Notebooks,WritingPads&amp;Diaries|Notepads&amp;MemoBooks</v>
      </c>
      <c r="M545" s="23">
        <f>IFERROR(__xludf.DUMMYFUNCTION("""COMPUTED_VALUE"""),90.0)</f>
        <v>90</v>
      </c>
      <c r="N545" s="23">
        <f>IFERROR(__xludf.DUMMYFUNCTION("""COMPUTED_VALUE"""),175.0)</f>
        <v>175</v>
      </c>
      <c r="O545" s="24">
        <f>IFERROR(__xludf.DUMMYFUNCTION("""COMPUTED_VALUE"""),0.49)</f>
        <v>0.49</v>
      </c>
      <c r="P545" s="17">
        <f>IFERROR(__xludf.DUMMYFUNCTION("""COMPUTED_VALUE"""),4.4)</f>
        <v>4.4</v>
      </c>
      <c r="Q545" s="25">
        <f>IFERROR(__xludf.DUMMYFUNCTION("""COMPUTED_VALUE"""),7429.0)</f>
        <v>7429</v>
      </c>
    </row>
    <row r="546">
      <c r="A546" s="7" t="s">
        <v>580</v>
      </c>
      <c r="B546" s="7" t="s">
        <v>380</v>
      </c>
      <c r="C546" s="8">
        <v>29990.0</v>
      </c>
      <c r="D546" s="8">
        <v>39990.0</v>
      </c>
      <c r="E546" s="19">
        <v>0.25</v>
      </c>
      <c r="F546" s="10">
        <v>4.3</v>
      </c>
      <c r="G546" s="11">
        <v>8399.0</v>
      </c>
      <c r="K546" s="17" t="str">
        <f>IFERROR(__xludf.DUMMYFUNCTION("""COMPUTED_VALUE"""),"Fire-Boltt Ninja Calling 1.69"" Bluetooth Calling Smart Watch, Dial Pad, Speaker, AI Voice Assistant with 450 NITS Peak Brightness, Wrist Gaming &amp; 100+ Watch Faces with SpO2, HR, Multiple Sports Mode")</f>
        <v>Fire-Boltt Ninja Calling 1.69" Bluetooth Calling Smart Watch, Dial Pad, Speaker, AI Voice Assistant with 450 NITS Peak Brightness, Wrist Gaming &amp; 100+ Watch Faces with SpO2, HR, Multiple Sports Mode</v>
      </c>
      <c r="L546" s="17" t="str">
        <f>IFERROR(__xludf.DUMMYFUNCTION("""COMPUTED_VALUE"""),"Electronics|WearableTechnology|SmartWatches")</f>
        <v>Electronics|WearableTechnology|SmartWatches</v>
      </c>
      <c r="M546" s="23">
        <f>IFERROR(__xludf.DUMMYFUNCTION("""COMPUTED_VALUE"""),1999.0)</f>
        <v>1999</v>
      </c>
      <c r="N546" s="23">
        <f>IFERROR(__xludf.DUMMYFUNCTION("""COMPUTED_VALUE"""),7999.0)</f>
        <v>7999</v>
      </c>
      <c r="O546" s="24">
        <f>IFERROR(__xludf.DUMMYFUNCTION("""COMPUTED_VALUE"""),0.75)</f>
        <v>0.75</v>
      </c>
      <c r="P546" s="17">
        <f>IFERROR(__xludf.DUMMYFUNCTION("""COMPUTED_VALUE"""),4.2)</f>
        <v>4.2</v>
      </c>
      <c r="Q546" s="25">
        <f>IFERROR(__xludf.DUMMYFUNCTION("""COMPUTED_VALUE"""),31305.0)</f>
        <v>31305</v>
      </c>
    </row>
    <row r="547">
      <c r="A547" s="7" t="s">
        <v>581</v>
      </c>
      <c r="B547" s="7" t="s">
        <v>373</v>
      </c>
      <c r="C547" s="8">
        <v>281.0</v>
      </c>
      <c r="D547" s="8">
        <v>1999.0</v>
      </c>
      <c r="E547" s="19">
        <v>0.86</v>
      </c>
      <c r="F547" s="10">
        <v>2.8</v>
      </c>
      <c r="G547" s="10">
        <v>87.0</v>
      </c>
      <c r="K547" s="17" t="str">
        <f>IFERROR(__xludf.DUMMYFUNCTION("""COMPUTED_VALUE"""),"Gizga Essentials Laptop Power Cable Cord- 3 Pin Adapter Isi Certified(1 Meter/3.3 Feet)")</f>
        <v>Gizga Essentials Laptop Power Cable Cord- 3 Pin Adapter Isi Certified(1 Meter/3.3 Feet)</v>
      </c>
      <c r="L547" s="17" t="str">
        <f>IFERROR(__xludf.DUMMYFUNCTION("""COMPUTED_VALUE"""),"Computers&amp;Accessories|Accessories&amp;Peripherals|LaptopAccessories|LaptopChargers&amp;PowerSupplies")</f>
        <v>Computers&amp;Accessories|Accessories&amp;Peripherals|LaptopAccessories|LaptopChargers&amp;PowerSupplies</v>
      </c>
      <c r="M547" s="23">
        <f>IFERROR(__xludf.DUMMYFUNCTION("""COMPUTED_VALUE"""),179.0)</f>
        <v>179</v>
      </c>
      <c r="N547" s="23">
        <f>IFERROR(__xludf.DUMMYFUNCTION("""COMPUTED_VALUE"""),499.0)</f>
        <v>499</v>
      </c>
      <c r="O547" s="24">
        <f>IFERROR(__xludf.DUMMYFUNCTION("""COMPUTED_VALUE"""),0.64)</f>
        <v>0.64</v>
      </c>
      <c r="P547" s="17">
        <f>IFERROR(__xludf.DUMMYFUNCTION("""COMPUTED_VALUE"""),4.1)</f>
        <v>4.1</v>
      </c>
      <c r="Q547" s="25">
        <f>IFERROR(__xludf.DUMMYFUNCTION("""COMPUTED_VALUE"""),10174.0)</f>
        <v>10174</v>
      </c>
    </row>
    <row r="548">
      <c r="A548" s="7" t="s">
        <v>582</v>
      </c>
      <c r="B548" s="7" t="s">
        <v>380</v>
      </c>
      <c r="C548" s="8">
        <v>7998.0</v>
      </c>
      <c r="D548" s="8">
        <v>11999.0</v>
      </c>
      <c r="E548" s="19">
        <v>0.33</v>
      </c>
      <c r="F548" s="10">
        <v>3.8</v>
      </c>
      <c r="G548" s="10">
        <v>125.0</v>
      </c>
      <c r="K548" s="17" t="str">
        <f>IFERROR(__xludf.DUMMYFUNCTION("""COMPUTED_VALUE"""),"Logitech MK270r USB Wireless Keyboard and Mouse Set for Windows, 2.4 GHz Wireless, Spill-resistant Design, 8 Multimedia &amp; Shortcut Keys, 2-Year Battery Life, PC/Laptop- Black")</f>
        <v>Logitech MK270r USB Wireless Keyboard and Mouse Set for Windows, 2.4 GHz Wireless, Spill-resistant Design, 8 Multimedia &amp; Shortcut Keys, 2-Year Battery Life, PC/Laptop- Black</v>
      </c>
      <c r="L548" s="17" t="str">
        <f>IFERROR(__xludf.DUMMYFUNCTION("""COMPUTED_VALUE"""),"Computers&amp;Accessories|Accessories&amp;Peripherals|Keyboards,Mice&amp;InputDevices|Keyboard&amp;MouseSets")</f>
        <v>Computers&amp;Accessories|Accessories&amp;Peripherals|Keyboards,Mice&amp;InputDevices|Keyboard&amp;MouseSets</v>
      </c>
      <c r="M548" s="23">
        <f>IFERROR(__xludf.DUMMYFUNCTION("""COMPUTED_VALUE"""),1345.0)</f>
        <v>1345</v>
      </c>
      <c r="N548" s="23">
        <f>IFERROR(__xludf.DUMMYFUNCTION("""COMPUTED_VALUE"""),2295.0)</f>
        <v>2295</v>
      </c>
      <c r="O548" s="24">
        <f>IFERROR(__xludf.DUMMYFUNCTION("""COMPUTED_VALUE"""),0.41)</f>
        <v>0.41</v>
      </c>
      <c r="P548" s="17">
        <f>IFERROR(__xludf.DUMMYFUNCTION("""COMPUTED_VALUE"""),4.2)</f>
        <v>4.2</v>
      </c>
      <c r="Q548" s="25">
        <f>IFERROR(__xludf.DUMMYFUNCTION("""COMPUTED_VALUE"""),17413.0)</f>
        <v>17413</v>
      </c>
    </row>
    <row r="549">
      <c r="A549" s="7" t="s">
        <v>583</v>
      </c>
      <c r="B549" s="7" t="s">
        <v>373</v>
      </c>
      <c r="C549" s="8">
        <v>249.0</v>
      </c>
      <c r="D549" s="8">
        <v>999.0</v>
      </c>
      <c r="E549" s="19">
        <v>0.75</v>
      </c>
      <c r="F549" s="10">
        <v>4.5</v>
      </c>
      <c r="G549" s="10">
        <v>38.0</v>
      </c>
      <c r="K549" s="17" t="str">
        <f>IFERROR(__xludf.DUMMYFUNCTION("""COMPUTED_VALUE"""),"DIGITEK® (DTR-200MT) (18 CM) Portable &amp; Flexible Mini Tripod with Mobile Holder &amp; 360 Degree Ball Head, For Smart Phones, Compact Cameras, GoPro, Maximum Operating Height: 7.87 Inch, Maximum Load Upto: 1 kgs")</f>
        <v>DIGITEK® (DTR-200MT) (18 CM) Portable &amp; Flexible Mini Tripod with Mobile Holder &amp; 360 Degree Ball Head, For Smart Phones, Compact Cameras, GoPro, Maximum Operating Height: 7.87 Inch, Maximum Load Upto: 1 kgs</v>
      </c>
      <c r="L549" s="17" t="str">
        <f>IFERROR(__xludf.DUMMYFUNCTION("""COMPUTED_VALUE"""),"Electronics|Cameras&amp;Photography|Accessories|Tripods&amp;Monopods|TripodLegs")</f>
        <v>Electronics|Cameras&amp;Photography|Accessories|Tripods&amp;Monopods|TripodLegs</v>
      </c>
      <c r="M549" s="23">
        <f>IFERROR(__xludf.DUMMYFUNCTION("""COMPUTED_VALUE"""),349.0)</f>
        <v>349</v>
      </c>
      <c r="N549" s="23">
        <f>IFERROR(__xludf.DUMMYFUNCTION("""COMPUTED_VALUE"""),995.0)</f>
        <v>995</v>
      </c>
      <c r="O549" s="24">
        <f>IFERROR(__xludf.DUMMYFUNCTION("""COMPUTED_VALUE"""),0.65)</f>
        <v>0.65</v>
      </c>
      <c r="P549" s="17">
        <f>IFERROR(__xludf.DUMMYFUNCTION("""COMPUTED_VALUE"""),4.2)</f>
        <v>4.2</v>
      </c>
      <c r="Q549" s="25">
        <f>IFERROR(__xludf.DUMMYFUNCTION("""COMPUTED_VALUE"""),6676.0)</f>
        <v>6676</v>
      </c>
    </row>
    <row r="550">
      <c r="A550" s="7" t="s">
        <v>584</v>
      </c>
      <c r="B550" s="7" t="s">
        <v>490</v>
      </c>
      <c r="C550" s="8">
        <v>299.0</v>
      </c>
      <c r="D550" s="8">
        <v>599.0</v>
      </c>
      <c r="E550" s="19">
        <v>0.5</v>
      </c>
      <c r="F550" s="10">
        <v>4.3</v>
      </c>
      <c r="G550" s="11">
        <v>4674.0</v>
      </c>
      <c r="K550" s="17" t="str">
        <f>IFERROR(__xludf.DUMMYFUNCTION("""COMPUTED_VALUE"""),"FEDUS Cat6 Ethernet Cable, 10 Meter High Speed 550MHZ / 10 Gigabit Speed UTP LAN Cable, Network Cable Internet Cable RJ45 Cable LAN Wire, Patch Computer Cord Gigabit Category 6 Wires for Modem, Router")</f>
        <v>FEDUS Cat6 Ethernet Cable, 10 Meter High Speed 550MHZ / 10 Gigabit Speed UTP LAN Cable, Network Cable Internet Cable RJ45 Cable LAN Wire, Patch Computer Cord Gigabit Category 6 Wires for Modem, Router</v>
      </c>
      <c r="L550" s="17" t="str">
        <f>IFERROR(__xludf.DUMMYFUNCTION("""COMPUTED_VALUE"""),"Computers&amp;Accessories|Accessories&amp;Peripherals|Cables&amp;Accessories|Cables|EthernetCables")</f>
        <v>Computers&amp;Accessories|Accessories&amp;Peripherals|Cables&amp;Accessories|Cables|EthernetCables</v>
      </c>
      <c r="M550" s="23">
        <f>IFERROR(__xludf.DUMMYFUNCTION("""COMPUTED_VALUE"""),287.0)</f>
        <v>287</v>
      </c>
      <c r="N550" s="23">
        <f>IFERROR(__xludf.DUMMYFUNCTION("""COMPUTED_VALUE"""),499.0)</f>
        <v>499</v>
      </c>
      <c r="O550" s="24">
        <f>IFERROR(__xludf.DUMMYFUNCTION("""COMPUTED_VALUE"""),0.42)</f>
        <v>0.42</v>
      </c>
      <c r="P550" s="17">
        <f>IFERROR(__xludf.DUMMYFUNCTION("""COMPUTED_VALUE"""),4.4)</f>
        <v>4.4</v>
      </c>
      <c r="Q550" s="25">
        <f>IFERROR(__xludf.DUMMYFUNCTION("""COMPUTED_VALUE"""),8076.0)</f>
        <v>8076</v>
      </c>
    </row>
    <row r="551">
      <c r="A551" s="7" t="s">
        <v>585</v>
      </c>
      <c r="B551" s="7" t="s">
        <v>373</v>
      </c>
      <c r="C551" s="8">
        <v>499.0</v>
      </c>
      <c r="D551" s="8">
        <v>1899.0</v>
      </c>
      <c r="E551" s="19">
        <v>0.74</v>
      </c>
      <c r="F551" s="10">
        <v>4.1</v>
      </c>
      <c r="G551" s="10">
        <v>412.0</v>
      </c>
      <c r="K551" s="17" t="str">
        <f>IFERROR(__xludf.DUMMYFUNCTION("""COMPUTED_VALUE"""),"Samsung Original Type C to C Cable - 3.28 Feet (1 Meter), White")</f>
        <v>Samsung Original Type C to C Cable - 3.28 Feet (1 Meter), White</v>
      </c>
      <c r="L551" s="17" t="str">
        <f>IFERROR(__xludf.DUMMYFUNCTION("""COMPUTED_VALUE"""),"Computers&amp;Accessories|Accessories&amp;Peripherals|Cables&amp;Accessories|Cables|USBCables")</f>
        <v>Computers&amp;Accessories|Accessories&amp;Peripherals|Cables&amp;Accessories|Cables|USBCables</v>
      </c>
      <c r="M551" s="23">
        <f>IFERROR(__xludf.DUMMYFUNCTION("""COMPUTED_VALUE"""),599.0)</f>
        <v>599</v>
      </c>
      <c r="N551" s="23">
        <f>IFERROR(__xludf.DUMMYFUNCTION("""COMPUTED_VALUE"""),599.0)</f>
        <v>599</v>
      </c>
      <c r="O551" s="24">
        <f>IFERROR(__xludf.DUMMYFUNCTION("""COMPUTED_VALUE"""),0.0)</f>
        <v>0</v>
      </c>
      <c r="P551" s="17">
        <f>IFERROR(__xludf.DUMMYFUNCTION("""COMPUTED_VALUE"""),4.3)</f>
        <v>4.3</v>
      </c>
      <c r="Q551" s="17">
        <f>IFERROR(__xludf.DUMMYFUNCTION("""COMPUTED_VALUE"""),355.0)</f>
        <v>355</v>
      </c>
    </row>
    <row r="552">
      <c r="A552" s="7" t="s">
        <v>586</v>
      </c>
      <c r="B552" s="7" t="s">
        <v>373</v>
      </c>
      <c r="C552" s="8">
        <v>899.0</v>
      </c>
      <c r="D552" s="8">
        <v>3499.0</v>
      </c>
      <c r="E552" s="19">
        <v>0.74</v>
      </c>
      <c r="F552" s="10">
        <v>3.0</v>
      </c>
      <c r="G552" s="10">
        <v>681.0</v>
      </c>
      <c r="K552" s="17" t="str">
        <f>IFERROR(__xludf.DUMMYFUNCTION("""COMPUTED_VALUE"""),"Kingston DataTraveler Exodia DTX/32 GB Pen Drive USB 3.2 Gen 1 (Multicolor)")</f>
        <v>Kingston DataTraveler Exodia DTX/32 GB Pen Drive USB 3.2 Gen 1 (Multicolor)</v>
      </c>
      <c r="L552" s="17" t="str">
        <f>IFERROR(__xludf.DUMMYFUNCTION("""COMPUTED_VALUE"""),"Computers&amp;Accessories|ExternalDevices&amp;DataStorage|PenDrives")</f>
        <v>Computers&amp;Accessories|ExternalDevices&amp;DataStorage|PenDrives</v>
      </c>
      <c r="M552" s="23">
        <f>IFERROR(__xludf.DUMMYFUNCTION("""COMPUTED_VALUE"""),349.0)</f>
        <v>349</v>
      </c>
      <c r="N552" s="23">
        <f>IFERROR(__xludf.DUMMYFUNCTION("""COMPUTED_VALUE"""),450.0)</f>
        <v>450</v>
      </c>
      <c r="O552" s="24">
        <f>IFERROR(__xludf.DUMMYFUNCTION("""COMPUTED_VALUE"""),0.22)</f>
        <v>0.22</v>
      </c>
      <c r="P552" s="17">
        <f>IFERROR(__xludf.DUMMYFUNCTION("""COMPUTED_VALUE"""),4.1)</f>
        <v>4.1</v>
      </c>
      <c r="Q552" s="25">
        <f>IFERROR(__xludf.DUMMYFUNCTION("""COMPUTED_VALUE"""),18656.0)</f>
        <v>18656</v>
      </c>
    </row>
    <row r="553">
      <c r="A553" s="7" t="s">
        <v>587</v>
      </c>
      <c r="B553" s="7" t="s">
        <v>377</v>
      </c>
      <c r="C553" s="8">
        <v>1599.0</v>
      </c>
      <c r="D553" s="8">
        <v>3499.0</v>
      </c>
      <c r="E553" s="19">
        <v>0.54</v>
      </c>
      <c r="F553" s="10">
        <v>4.0</v>
      </c>
      <c r="G553" s="11">
        <v>36384.0</v>
      </c>
      <c r="K553" s="17" t="str">
        <f>IFERROR(__xludf.DUMMYFUNCTION("""COMPUTED_VALUE"""),"Duracell Rechargeable AA 2500mAh Batteries, 4 Pcs")</f>
        <v>Duracell Rechargeable AA 2500mAh Batteries, 4 Pcs</v>
      </c>
      <c r="L553" s="17" t="str">
        <f>IFERROR(__xludf.DUMMYFUNCTION("""COMPUTED_VALUE"""),"Electronics|GeneralPurposeBatteries&amp;BatteryChargers|DisposableBatteries")</f>
        <v>Electronics|GeneralPurposeBatteries&amp;BatteryChargers|DisposableBatteries</v>
      </c>
      <c r="M553" s="23">
        <f>IFERROR(__xludf.DUMMYFUNCTION("""COMPUTED_VALUE"""),879.0)</f>
        <v>879</v>
      </c>
      <c r="N553" s="23">
        <f>IFERROR(__xludf.DUMMYFUNCTION("""COMPUTED_VALUE"""),1109.0)</f>
        <v>1109</v>
      </c>
      <c r="O553" s="24">
        <f>IFERROR(__xludf.DUMMYFUNCTION("""COMPUTED_VALUE"""),0.21)</f>
        <v>0.21</v>
      </c>
      <c r="P553" s="17">
        <f>IFERROR(__xludf.DUMMYFUNCTION("""COMPUTED_VALUE"""),4.4)</f>
        <v>4.4</v>
      </c>
      <c r="Q553" s="25">
        <f>IFERROR(__xludf.DUMMYFUNCTION("""COMPUTED_VALUE"""),31599.0)</f>
        <v>31599</v>
      </c>
    </row>
    <row r="554">
      <c r="A554" s="7" t="s">
        <v>588</v>
      </c>
      <c r="B554" s="7" t="s">
        <v>589</v>
      </c>
      <c r="C554" s="8">
        <v>120.0</v>
      </c>
      <c r="D554" s="8">
        <v>999.0</v>
      </c>
      <c r="E554" s="19">
        <v>0.88</v>
      </c>
      <c r="F554" s="10">
        <v>3.9</v>
      </c>
      <c r="G554" s="11">
        <v>6491.0</v>
      </c>
      <c r="K554" s="17" t="str">
        <f>IFERROR(__xludf.DUMMYFUNCTION("""COMPUTED_VALUE"""),"Amazonbasics Nylon Braided Usb-C To Lightning Cable, Fast Charging Mfi Certified Smartphone, Iphone Charger (6-Foot, Dark Grey)")</f>
        <v>Amazonbasics Nylon Braided Usb-C To Lightning Cable, Fast Charging Mfi Certified Smartphone, Iphone Charger (6-Foot, Dark Grey)</v>
      </c>
      <c r="L554" s="17" t="str">
        <f>IFERROR(__xludf.DUMMYFUNCTION("""COMPUTED_VALUE"""),"Computers&amp;Accessories|Accessories&amp;Peripherals|Cables&amp;Accessories|Cables|USBCables")</f>
        <v>Computers&amp;Accessories|Accessories&amp;Peripherals|Cables&amp;Accessories|Cables|USBCables</v>
      </c>
      <c r="M554" s="23">
        <f>IFERROR(__xludf.DUMMYFUNCTION("""COMPUTED_VALUE"""),899.0)</f>
        <v>899</v>
      </c>
      <c r="N554" s="23">
        <f>IFERROR(__xludf.DUMMYFUNCTION("""COMPUTED_VALUE"""),1900.0)</f>
        <v>1900</v>
      </c>
      <c r="O554" s="24">
        <f>IFERROR(__xludf.DUMMYFUNCTION("""COMPUTED_VALUE"""),0.53)</f>
        <v>0.53</v>
      </c>
      <c r="P554" s="17">
        <f>IFERROR(__xludf.DUMMYFUNCTION("""COMPUTED_VALUE"""),4.4)</f>
        <v>4.4</v>
      </c>
      <c r="Q554" s="25">
        <f>IFERROR(__xludf.DUMMYFUNCTION("""COMPUTED_VALUE"""),13552.0)</f>
        <v>13552</v>
      </c>
    </row>
    <row r="555">
      <c r="A555" s="7" t="s">
        <v>590</v>
      </c>
      <c r="B555" s="7" t="s">
        <v>373</v>
      </c>
      <c r="C555" s="8">
        <v>3999.0</v>
      </c>
      <c r="D555" s="8">
        <v>6999.0</v>
      </c>
      <c r="E555" s="19">
        <v>0.43</v>
      </c>
      <c r="F555" s="10">
        <v>4.1</v>
      </c>
      <c r="G555" s="11">
        <v>10229.0</v>
      </c>
      <c r="K555" s="17" t="str">
        <f>IFERROR(__xludf.DUMMYFUNCTION("""COMPUTED_VALUE"""),"Portronics Ruffpad 12E Re-Writable LCD Writing Pad with 30.4cm (12 inch) Writing Area, Single Tap Erase, Smart Lock, Long Battery Life, India's first notepad to save and share your child's first creatives via Ruffpad app on your Smartphone(Black)")</f>
        <v>Portronics Ruffpad 12E Re-Writable LCD Writing Pad with 30.4cm (12 inch) Writing Area, Single Tap Erase, Smart Lock, Long Battery Life, India's first notepad to save and share your child's first creatives via Ruffpad app on your Smartphone(Black)</v>
      </c>
      <c r="L555" s="17" t="str">
        <f>IFERROR(__xludf.DUMMYFUNCTION("""COMPUTED_VALUE"""),"Computers&amp;Accessories|Accessories&amp;Peripherals|Keyboards,Mice&amp;InputDevices|GraphicTablets")</f>
        <v>Computers&amp;Accessories|Accessories&amp;Peripherals|Keyboards,Mice&amp;InputDevices|GraphicTablets</v>
      </c>
      <c r="M555" s="23">
        <f>IFERROR(__xludf.DUMMYFUNCTION("""COMPUTED_VALUE"""),469.0)</f>
        <v>469</v>
      </c>
      <c r="N555" s="23">
        <f>IFERROR(__xludf.DUMMYFUNCTION("""COMPUTED_VALUE"""),1499.0)</f>
        <v>1499</v>
      </c>
      <c r="O555" s="24">
        <f>IFERROR(__xludf.DUMMYFUNCTION("""COMPUTED_VALUE"""),0.69)</f>
        <v>0.69</v>
      </c>
      <c r="P555" s="17">
        <f>IFERROR(__xludf.DUMMYFUNCTION("""COMPUTED_VALUE"""),4.1)</f>
        <v>4.1</v>
      </c>
      <c r="Q555" s="17">
        <f>IFERROR(__xludf.DUMMYFUNCTION("""COMPUTED_VALUE"""),352.0)</f>
        <v>352</v>
      </c>
    </row>
    <row r="556">
      <c r="A556" s="7" t="s">
        <v>540</v>
      </c>
      <c r="B556" s="7" t="s">
        <v>380</v>
      </c>
      <c r="C556" s="8">
        <v>12999.0</v>
      </c>
      <c r="D556" s="8">
        <v>18999.0</v>
      </c>
      <c r="E556" s="19">
        <v>0.32</v>
      </c>
      <c r="F556" s="10">
        <v>4.1</v>
      </c>
      <c r="G556" s="11">
        <v>50772.0</v>
      </c>
      <c r="K556" s="17" t="str">
        <f>IFERROR(__xludf.DUMMYFUNCTION("""COMPUTED_VALUE"""),"Verilux® USB C Hub Multiport Adapter- 6 in 1 Portable Aluminum Type C Hub with 4K HDMI Output, USB 2.0/3.0 Ports, SD/Micro SD Card Reader Compatible for MacBook Pro 2016-2020, MacBook Air 2018-2020, Type-C Devices")</f>
        <v>Verilux® USB C Hub Multiport Adapter- 6 in 1 Portable Aluminum Type C Hub with 4K HDMI Output, USB 2.0/3.0 Ports, SD/Micro SD Card Reader Compatible for MacBook Pro 2016-2020, MacBook Air 2018-2020, Type-C Devices</v>
      </c>
      <c r="L556" s="17" t="str">
        <f>IFERROR(__xludf.DUMMYFUNCTION("""COMPUTED_VALUE"""),"Computers&amp;Accessories|Accessories&amp;Peripherals|USBHubs")</f>
        <v>Computers&amp;Accessories|Accessories&amp;Peripherals|USBHubs</v>
      </c>
      <c r="M556" s="23">
        <f>IFERROR(__xludf.DUMMYFUNCTION("""COMPUTED_VALUE"""),1187.0)</f>
        <v>1187</v>
      </c>
      <c r="N556" s="23">
        <f>IFERROR(__xludf.DUMMYFUNCTION("""COMPUTED_VALUE"""),1929.0)</f>
        <v>1929</v>
      </c>
      <c r="O556" s="24">
        <f>IFERROR(__xludf.DUMMYFUNCTION("""COMPUTED_VALUE"""),0.38)</f>
        <v>0.38</v>
      </c>
      <c r="P556" s="17">
        <f>IFERROR(__xludf.DUMMYFUNCTION("""COMPUTED_VALUE"""),4.1)</f>
        <v>4.1</v>
      </c>
      <c r="Q556" s="25">
        <f>IFERROR(__xludf.DUMMYFUNCTION("""COMPUTED_VALUE"""),1662.0)</f>
        <v>1662</v>
      </c>
    </row>
    <row r="557">
      <c r="A557" s="7" t="s">
        <v>591</v>
      </c>
      <c r="B557" s="7" t="s">
        <v>516</v>
      </c>
      <c r="C557" s="8">
        <v>1599.0</v>
      </c>
      <c r="D557" s="8">
        <v>2599.0</v>
      </c>
      <c r="E557" s="19">
        <v>0.38</v>
      </c>
      <c r="F557" s="10">
        <v>4.3</v>
      </c>
      <c r="G557" s="11">
        <v>1801.0</v>
      </c>
      <c r="K557" s="17" t="str">
        <f>IFERROR(__xludf.DUMMYFUNCTION("""COMPUTED_VALUE"""),"HP Wired Mouse 100 with 1600 DPI Optical Sensor, USB Plug-and -Play,ambidextrous Design, Built-in Scrolling and 3 Handy Buttons. 3-Years Warranty (6VY96AA)")</f>
        <v>HP Wired Mouse 100 with 1600 DPI Optical Sensor, USB Plug-and -Play,ambidextrous Design, Built-in Scrolling and 3 Handy Buttons. 3-Years Warranty (6VY96AA)</v>
      </c>
      <c r="L557" s="17" t="str">
        <f>IFERROR(__xludf.DUMMYFUNCTION("""COMPUTED_VALUE"""),"Computers&amp;Accessories|Accessories&amp;Peripherals|Keyboards,Mice&amp;InputDevices|Mice")</f>
        <v>Computers&amp;Accessories|Accessories&amp;Peripherals|Keyboards,Mice&amp;InputDevices|Mice</v>
      </c>
      <c r="M557" s="23">
        <f>IFERROR(__xludf.DUMMYFUNCTION("""COMPUTED_VALUE"""),328.0)</f>
        <v>328</v>
      </c>
      <c r="N557" s="23">
        <f>IFERROR(__xludf.DUMMYFUNCTION("""COMPUTED_VALUE"""),399.0)</f>
        <v>399</v>
      </c>
      <c r="O557" s="24">
        <f>IFERROR(__xludf.DUMMYFUNCTION("""COMPUTED_VALUE"""),0.18)</f>
        <v>0.18</v>
      </c>
      <c r="P557" s="17">
        <f>IFERROR(__xludf.DUMMYFUNCTION("""COMPUTED_VALUE"""),4.1)</f>
        <v>4.1</v>
      </c>
      <c r="Q557" s="25">
        <f>IFERROR(__xludf.DUMMYFUNCTION("""COMPUTED_VALUE"""),3441.0)</f>
        <v>3441</v>
      </c>
    </row>
    <row r="558">
      <c r="A558" s="7" t="s">
        <v>592</v>
      </c>
      <c r="B558" s="7" t="s">
        <v>409</v>
      </c>
      <c r="C558" s="8">
        <v>699.0</v>
      </c>
      <c r="D558" s="8">
        <v>1199.0</v>
      </c>
      <c r="E558" s="19">
        <v>0.42</v>
      </c>
      <c r="F558" s="10">
        <v>4.0</v>
      </c>
      <c r="G558" s="11">
        <v>14404.0</v>
      </c>
      <c r="K558" s="17" t="str">
        <f>IFERROR(__xludf.DUMMYFUNCTION("""COMPUTED_VALUE"""),"ProElite Faux Leather Smart Flip Case Cover for Apple iPad 10.2"" 9th Gen (2021) / 8th Gen / 7th Gen with Stylus Pen, Black")</f>
        <v>ProElite Faux Leather Smart Flip Case Cover for Apple iPad 10.2" 9th Gen (2021) / 8th Gen / 7th Gen with Stylus Pen, Black</v>
      </c>
      <c r="L558" s="17" t="str">
        <f>IFERROR(__xludf.DUMMYFUNCTION("""COMPUTED_VALUE"""),"Computers&amp;Accessories|Accessories&amp;Peripherals|TabletAccessories|Bags,Cases&amp;Sleeves|Cases")</f>
        <v>Computers&amp;Accessories|Accessories&amp;Peripherals|TabletAccessories|Bags,Cases&amp;Sleeves|Cases</v>
      </c>
      <c r="M558" s="23">
        <f>IFERROR(__xludf.DUMMYFUNCTION("""COMPUTED_VALUE"""),549.0)</f>
        <v>549</v>
      </c>
      <c r="N558" s="23">
        <f>IFERROR(__xludf.DUMMYFUNCTION("""COMPUTED_VALUE"""),1499.0)</f>
        <v>1499</v>
      </c>
      <c r="O558" s="24">
        <f>IFERROR(__xludf.DUMMYFUNCTION("""COMPUTED_VALUE"""),0.63)</f>
        <v>0.63</v>
      </c>
      <c r="P558" s="17">
        <f>IFERROR(__xludf.DUMMYFUNCTION("""COMPUTED_VALUE"""),4.3)</f>
        <v>4.3</v>
      </c>
      <c r="Q558" s="25">
        <f>IFERROR(__xludf.DUMMYFUNCTION("""COMPUTED_VALUE"""),11006.0)</f>
        <v>11006</v>
      </c>
    </row>
    <row r="559">
      <c r="A559" s="7" t="s">
        <v>593</v>
      </c>
      <c r="B559" s="7" t="s">
        <v>594</v>
      </c>
      <c r="C559" s="8">
        <v>99.0</v>
      </c>
      <c r="D559" s="8">
        <v>999.0</v>
      </c>
      <c r="E559" s="19">
        <v>0.9</v>
      </c>
      <c r="F559" s="10">
        <v>4.4</v>
      </c>
      <c r="G559" s="10">
        <v>305.0</v>
      </c>
      <c r="K559" s="17" t="str">
        <f>IFERROR(__xludf.DUMMYFUNCTION("""COMPUTED_VALUE"""),"Classmate Pulse 6 Subject Notebook - Unruled, 300 Pages, Spiral Binding, 240mm*180mm")</f>
        <v>Classmate Pulse 6 Subject Notebook - Unruled, 300 Pages, Spiral Binding, 240mm*180mm</v>
      </c>
      <c r="L559" s="17" t="str">
        <f>IFERROR(__xludf.DUMMYFUNCTION("""COMPUTED_VALUE"""),"OfficeProducts|OfficePaperProducts|Paper|Stationery|Notebooks,WritingPads&amp;Diaries|WireboundNotebooks")</f>
        <v>OfficeProducts|OfficePaperProducts|Paper|Stationery|Notebooks,WritingPads&amp;Diaries|WireboundNotebooks</v>
      </c>
      <c r="M559" s="23">
        <f>IFERROR(__xludf.DUMMYFUNCTION("""COMPUTED_VALUE"""),114.0)</f>
        <v>114</v>
      </c>
      <c r="N559" s="23">
        <f>IFERROR(__xludf.DUMMYFUNCTION("""COMPUTED_VALUE"""),120.0)</f>
        <v>120</v>
      </c>
      <c r="O559" s="24">
        <f>IFERROR(__xludf.DUMMYFUNCTION("""COMPUTED_VALUE"""),0.05)</f>
        <v>0.05</v>
      </c>
      <c r="P559" s="17">
        <f>IFERROR(__xludf.DUMMYFUNCTION("""COMPUTED_VALUE"""),4.2)</f>
        <v>4.2</v>
      </c>
      <c r="Q559" s="25">
        <f>IFERROR(__xludf.DUMMYFUNCTION("""COMPUTED_VALUE"""),8938.0)</f>
        <v>8938</v>
      </c>
    </row>
    <row r="560">
      <c r="A560" s="7" t="s">
        <v>595</v>
      </c>
      <c r="B560" s="7" t="s">
        <v>380</v>
      </c>
      <c r="C560" s="8">
        <v>7915.0</v>
      </c>
      <c r="D560" s="8">
        <v>9999.0</v>
      </c>
      <c r="E560" s="19">
        <v>0.21</v>
      </c>
      <c r="F560" s="10">
        <v>4.3</v>
      </c>
      <c r="G560" s="11">
        <v>1376.0</v>
      </c>
      <c r="K560" s="17" t="str">
        <f>IFERROR(__xludf.DUMMYFUNCTION("""COMPUTED_VALUE"""),"Pentonic Multicolor Ball Point Pen, Pack of 10")</f>
        <v>Pentonic Multicolor Ball Point Pen, Pack of 10</v>
      </c>
      <c r="L560" s="17" t="str">
        <f>IFERROR(__xludf.DUMMYFUNCTION("""COMPUTED_VALUE"""),"OfficeProducts|OfficePaperProducts|Paper|Stationery|Pens,Pencils&amp;WritingSupplies|Pens&amp;Refills|StickBallpointPens")</f>
        <v>OfficeProducts|OfficePaperProducts|Paper|Stationery|Pens,Pencils&amp;WritingSupplies|Pens&amp;Refills|StickBallpointPens</v>
      </c>
      <c r="M560" s="23">
        <f>IFERROR(__xludf.DUMMYFUNCTION("""COMPUTED_VALUE"""),120.0)</f>
        <v>120</v>
      </c>
      <c r="N560" s="23">
        <f>IFERROR(__xludf.DUMMYFUNCTION("""COMPUTED_VALUE"""),120.0)</f>
        <v>120</v>
      </c>
      <c r="O560" s="24">
        <f>IFERROR(__xludf.DUMMYFUNCTION("""COMPUTED_VALUE"""),0.0)</f>
        <v>0</v>
      </c>
      <c r="P560" s="17">
        <f>IFERROR(__xludf.DUMMYFUNCTION("""COMPUTED_VALUE"""),4.1)</f>
        <v>4.1</v>
      </c>
      <c r="Q560" s="25">
        <f>IFERROR(__xludf.DUMMYFUNCTION("""COMPUTED_VALUE"""),4308.0)</f>
        <v>4308</v>
      </c>
    </row>
    <row r="561">
      <c r="A561" s="7" t="s">
        <v>596</v>
      </c>
      <c r="B561" s="7" t="s">
        <v>373</v>
      </c>
      <c r="C561" s="8">
        <v>1499.0</v>
      </c>
      <c r="D561" s="8">
        <v>7999.0</v>
      </c>
      <c r="E561" s="19">
        <v>0.81</v>
      </c>
      <c r="F561" s="10">
        <v>4.2</v>
      </c>
      <c r="G561" s="11">
        <v>22638.0</v>
      </c>
      <c r="K561" s="17" t="str">
        <f>IFERROR(__xludf.DUMMYFUNCTION("""COMPUTED_VALUE"""),"Duracell Type C To Type C 5A (100W) Braided Sync &amp; Fast Charging Cable, 3.9 Feet (1.2M). USB C to C Cable, Supports PD &amp; QC 3.0 Charging, 5 GBPS Data Transmission – Black")</f>
        <v>Duracell Type C To Type C 5A (100W) Braided Sync &amp; Fast Charging Cable, 3.9 Feet (1.2M). USB C to C Cable, Supports PD &amp; QC 3.0 Charging, 5 GBPS Data Transmission – Black</v>
      </c>
      <c r="L561" s="17" t="str">
        <f>IFERROR(__xludf.DUMMYFUNCTION("""COMPUTED_VALUE"""),"Computers&amp;Accessories|Accessories&amp;Peripherals|Cables&amp;Accessories|Cables|USBCables")</f>
        <v>Computers&amp;Accessories|Accessories&amp;Peripherals|Cables&amp;Accessories|Cables|USBCables</v>
      </c>
      <c r="M561" s="23">
        <f>IFERROR(__xludf.DUMMYFUNCTION("""COMPUTED_VALUE"""),970.0)</f>
        <v>970</v>
      </c>
      <c r="N561" s="23">
        <f>IFERROR(__xludf.DUMMYFUNCTION("""COMPUTED_VALUE"""),1999.0)</f>
        <v>1999</v>
      </c>
      <c r="O561" s="24">
        <f>IFERROR(__xludf.DUMMYFUNCTION("""COMPUTED_VALUE"""),0.51)</f>
        <v>0.51</v>
      </c>
      <c r="P561" s="17">
        <f>IFERROR(__xludf.DUMMYFUNCTION("""COMPUTED_VALUE"""),4.2)</f>
        <v>4.2</v>
      </c>
      <c r="Q561" s="17">
        <f>IFERROR(__xludf.DUMMYFUNCTION("""COMPUTED_VALUE"""),462.0)</f>
        <v>462</v>
      </c>
    </row>
    <row r="562">
      <c r="A562" s="7" t="s">
        <v>597</v>
      </c>
      <c r="B562" s="7" t="s">
        <v>389</v>
      </c>
      <c r="C562" s="8">
        <v>1055.0</v>
      </c>
      <c r="D562" s="8">
        <v>1249.0</v>
      </c>
      <c r="E562" s="19">
        <v>0.16</v>
      </c>
      <c r="F562" s="10">
        <v>3.8</v>
      </c>
      <c r="G562" s="11">
        <v>2352.0</v>
      </c>
      <c r="K562" s="17" t="str">
        <f>IFERROR(__xludf.DUMMYFUNCTION("""COMPUTED_VALUE"""),"AmazonBasics USB 2.0 Cable - A-Male to B-Male - for Personal Computer, Printer- 6 Feet (1.8 Meters), Black")</f>
        <v>AmazonBasics USB 2.0 Cable - A-Male to B-Male - for Personal Computer, Printer- 6 Feet (1.8 Meters), Black</v>
      </c>
      <c r="L562" s="17" t="str">
        <f>IFERROR(__xludf.DUMMYFUNCTION("""COMPUTED_VALUE"""),"Computers&amp;Accessories|Accessories&amp;Peripherals|Cables&amp;Accessories|Cables|USBCables")</f>
        <v>Computers&amp;Accessories|Accessories&amp;Peripherals|Cables&amp;Accessories|Cables|USBCables</v>
      </c>
      <c r="M562" s="23">
        <f>IFERROR(__xludf.DUMMYFUNCTION("""COMPUTED_VALUE"""),209.0)</f>
        <v>209</v>
      </c>
      <c r="N562" s="23">
        <f>IFERROR(__xludf.DUMMYFUNCTION("""COMPUTED_VALUE"""),695.0)</f>
        <v>695</v>
      </c>
      <c r="O562" s="24">
        <f>IFERROR(__xludf.DUMMYFUNCTION("""COMPUTED_VALUE"""),0.7)</f>
        <v>0.7</v>
      </c>
      <c r="P562" s="17">
        <f>IFERROR(__xludf.DUMMYFUNCTION("""COMPUTED_VALUE"""),4.5)</f>
        <v>4.5</v>
      </c>
      <c r="Q562" s="17" t="str">
        <f>IFERROR(__xludf.DUMMYFUNCTION("""COMPUTED_VALUE"""),"1,07,686")</f>
        <v>1,07,686</v>
      </c>
    </row>
    <row r="563">
      <c r="A563" s="7" t="s">
        <v>598</v>
      </c>
      <c r="B563" s="7" t="s">
        <v>490</v>
      </c>
      <c r="C563" s="8">
        <v>150.0</v>
      </c>
      <c r="D563" s="8">
        <v>599.0</v>
      </c>
      <c r="E563" s="19">
        <v>0.75</v>
      </c>
      <c r="F563" s="10">
        <v>4.3</v>
      </c>
      <c r="G563" s="10">
        <v>714.0</v>
      </c>
      <c r="K563" s="17" t="str">
        <f>IFERROR(__xludf.DUMMYFUNCTION("""COMPUTED_VALUE"""),"Logitech Pebble M350 Wireless Mouse with Bluetooth or USB - Silent, Slim Computer Mouse with Quiet Click for Laptop, Notebook, PC and Mac - Graphite")</f>
        <v>Logitech Pebble M350 Wireless Mouse with Bluetooth or USB - Silent, Slim Computer Mouse with Quiet Click for Laptop, Notebook, PC and Mac - Graphite</v>
      </c>
      <c r="L563" s="17" t="str">
        <f>IFERROR(__xludf.DUMMYFUNCTION("""COMPUTED_VALUE"""),"Computers&amp;Accessories|Accessories&amp;Peripherals|Keyboards,Mice&amp;InputDevices|Mice")</f>
        <v>Computers&amp;Accessories|Accessories&amp;Peripherals|Keyboards,Mice&amp;InputDevices|Mice</v>
      </c>
      <c r="M563" s="23">
        <f>IFERROR(__xludf.DUMMYFUNCTION("""COMPUTED_VALUE"""),1490.0)</f>
        <v>1490</v>
      </c>
      <c r="N563" s="23">
        <f>IFERROR(__xludf.DUMMYFUNCTION("""COMPUTED_VALUE"""),2295.0)</f>
        <v>2295</v>
      </c>
      <c r="O563" s="24">
        <f>IFERROR(__xludf.DUMMYFUNCTION("""COMPUTED_VALUE"""),0.35)</f>
        <v>0.35</v>
      </c>
      <c r="P563" s="17">
        <f>IFERROR(__xludf.DUMMYFUNCTION("""COMPUTED_VALUE"""),4.6)</f>
        <v>4.6</v>
      </c>
      <c r="Q563" s="25">
        <f>IFERROR(__xludf.DUMMYFUNCTION("""COMPUTED_VALUE"""),10652.0)</f>
        <v>10652</v>
      </c>
    </row>
    <row r="564">
      <c r="A564" s="7" t="s">
        <v>94</v>
      </c>
      <c r="B564" s="7" t="s">
        <v>15</v>
      </c>
      <c r="C564" s="8">
        <v>219.0</v>
      </c>
      <c r="D564" s="8">
        <v>700.0</v>
      </c>
      <c r="E564" s="19">
        <v>0.69</v>
      </c>
      <c r="F564" s="10">
        <v>4.3</v>
      </c>
      <c r="G564" s="11">
        <v>20052.0</v>
      </c>
      <c r="K564" s="17" t="str">
        <f>IFERROR(__xludf.DUMMYFUNCTION("""COMPUTED_VALUE"""),"Apsara Platinum Pencils Value Pack - Pack of 20")</f>
        <v>Apsara Platinum Pencils Value Pack - Pack of 20</v>
      </c>
      <c r="L564" s="17" t="str">
        <f>IFERROR(__xludf.DUMMYFUNCTION("""COMPUTED_VALUE"""),"Home&amp;Kitchen|CraftMaterials|DrawingMaterials|DrawingMedia|Pencils|WoodenPencils")</f>
        <v>Home&amp;Kitchen|CraftMaterials|DrawingMaterials|DrawingMedia|Pencils|WoodenPencils</v>
      </c>
      <c r="M564" s="23">
        <f>IFERROR(__xludf.DUMMYFUNCTION("""COMPUTED_VALUE"""),99.0)</f>
        <v>99</v>
      </c>
      <c r="N564" s="23">
        <f>IFERROR(__xludf.DUMMYFUNCTION("""COMPUTED_VALUE"""),99.0)</f>
        <v>99</v>
      </c>
      <c r="O564" s="24">
        <f>IFERROR(__xludf.DUMMYFUNCTION("""COMPUTED_VALUE"""),0.0)</f>
        <v>0</v>
      </c>
      <c r="P564" s="17">
        <f>IFERROR(__xludf.DUMMYFUNCTION("""COMPUTED_VALUE"""),4.3)</f>
        <v>4.3</v>
      </c>
      <c r="Q564" s="25">
        <f>IFERROR(__xludf.DUMMYFUNCTION("""COMPUTED_VALUE"""),5036.0)</f>
        <v>5036</v>
      </c>
    </row>
    <row r="565">
      <c r="A565" s="7" t="s">
        <v>599</v>
      </c>
      <c r="B565" s="7" t="s">
        <v>516</v>
      </c>
      <c r="C565" s="8">
        <v>474.0</v>
      </c>
      <c r="D565" s="8">
        <v>1799.0</v>
      </c>
      <c r="E565" s="19">
        <v>0.74</v>
      </c>
      <c r="F565" s="10">
        <v>4.3</v>
      </c>
      <c r="G565" s="11">
        <v>1454.0</v>
      </c>
      <c r="K565" s="17" t="str">
        <f>IFERROR(__xludf.DUMMYFUNCTION("""COMPUTED_VALUE"""),"Ant Esports GM320 RGB Optical Wired Gaming Mouse | 8 Programmable Buttons | 12800 DPI")</f>
        <v>Ant Esports GM320 RGB Optical Wired Gaming Mouse | 8 Programmable Buttons | 12800 DPI</v>
      </c>
      <c r="L565" s="17" t="str">
        <f>IFERROR(__xludf.DUMMYFUNCTION("""COMPUTED_VALUE"""),"Computers&amp;Accessories|Accessories&amp;Peripherals|PCGamingPeripherals|GamingMice")</f>
        <v>Computers&amp;Accessories|Accessories&amp;Peripherals|PCGamingPeripherals|GamingMice</v>
      </c>
      <c r="M565" s="23">
        <f>IFERROR(__xludf.DUMMYFUNCTION("""COMPUTED_VALUE"""),575.0)</f>
        <v>575</v>
      </c>
      <c r="N565" s="23">
        <f>IFERROR(__xludf.DUMMYFUNCTION("""COMPUTED_VALUE"""),2799.0)</f>
        <v>2799</v>
      </c>
      <c r="O565" s="24">
        <f>IFERROR(__xludf.DUMMYFUNCTION("""COMPUTED_VALUE"""),0.79)</f>
        <v>0.79</v>
      </c>
      <c r="P565" s="17">
        <f>IFERROR(__xludf.DUMMYFUNCTION("""COMPUTED_VALUE"""),4.2)</f>
        <v>4.2</v>
      </c>
      <c r="Q565" s="25">
        <f>IFERROR(__xludf.DUMMYFUNCTION("""COMPUTED_VALUE"""),8537.0)</f>
        <v>8537</v>
      </c>
    </row>
    <row r="566">
      <c r="A566" s="7" t="s">
        <v>98</v>
      </c>
      <c r="B566" s="7" t="s">
        <v>15</v>
      </c>
      <c r="C566" s="8">
        <v>115.0</v>
      </c>
      <c r="D566" s="8">
        <v>499.0</v>
      </c>
      <c r="E566" s="19">
        <v>0.77</v>
      </c>
      <c r="F566" s="10">
        <v>4.0</v>
      </c>
      <c r="G566" s="11">
        <v>7732.0</v>
      </c>
      <c r="K566" s="17" t="str">
        <f>IFERROR(__xludf.DUMMYFUNCTION("""COMPUTED_VALUE"""),"Pilot V7 Liquid Ink Roller Ball Pen (2 Blue + 1 Black)")</f>
        <v>Pilot V7 Liquid Ink Roller Ball Pen (2 Blue + 1 Black)</v>
      </c>
      <c r="L566" s="17" t="str">
        <f>IFERROR(__xludf.DUMMYFUNCTION("""COMPUTED_VALUE"""),"OfficeProducts|OfficePaperProducts|Paper|Stationery|Pens,Pencils&amp;WritingSupplies|Pens&amp;Refills|RetractableBallpointPens")</f>
        <v>OfficeProducts|OfficePaperProducts|Paper|Stationery|Pens,Pencils&amp;WritingSupplies|Pens&amp;Refills|RetractableBallpointPens</v>
      </c>
      <c r="M566" s="23">
        <f>IFERROR(__xludf.DUMMYFUNCTION("""COMPUTED_VALUE"""),178.0)</f>
        <v>178</v>
      </c>
      <c r="N566" s="23">
        <f>IFERROR(__xludf.DUMMYFUNCTION("""COMPUTED_VALUE"""),210.0)</f>
        <v>210</v>
      </c>
      <c r="O566" s="24">
        <f>IFERROR(__xludf.DUMMYFUNCTION("""COMPUTED_VALUE"""),0.15)</f>
        <v>0.15</v>
      </c>
      <c r="P566" s="17">
        <f>IFERROR(__xludf.DUMMYFUNCTION("""COMPUTED_VALUE"""),4.3)</f>
        <v>4.3</v>
      </c>
      <c r="Q566" s="25">
        <f>IFERROR(__xludf.DUMMYFUNCTION("""COMPUTED_VALUE"""),2450.0)</f>
        <v>2450</v>
      </c>
    </row>
    <row r="567">
      <c r="A567" s="7" t="s">
        <v>600</v>
      </c>
      <c r="B567" s="7" t="s">
        <v>409</v>
      </c>
      <c r="C567" s="8">
        <v>239.0</v>
      </c>
      <c r="D567" s="8">
        <v>599.0</v>
      </c>
      <c r="E567" s="19">
        <v>0.6</v>
      </c>
      <c r="F567" s="10">
        <v>3.9</v>
      </c>
      <c r="G567" s="11">
        <v>2147.0</v>
      </c>
      <c r="K567" s="17" t="str">
        <f>IFERROR(__xludf.DUMMYFUNCTION("""COMPUTED_VALUE"""),"IT2M Designer Mouse Pad for Laptop/Computer (9.2 X 7.6 Inches, 12788)")</f>
        <v>IT2M Designer Mouse Pad for Laptop/Computer (9.2 X 7.6 Inches, 12788)</v>
      </c>
      <c r="L567"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567" s="23">
        <f>IFERROR(__xludf.DUMMYFUNCTION("""COMPUTED_VALUE"""),199.0)</f>
        <v>199</v>
      </c>
      <c r="N567" s="23">
        <f>IFERROR(__xludf.DUMMYFUNCTION("""COMPUTED_VALUE"""),499.0)</f>
        <v>499</v>
      </c>
      <c r="O567" s="24">
        <f>IFERROR(__xludf.DUMMYFUNCTION("""COMPUTED_VALUE"""),0.6)</f>
        <v>0.6</v>
      </c>
      <c r="P567" s="17">
        <f>IFERROR(__xludf.DUMMYFUNCTION("""COMPUTED_VALUE"""),4.3)</f>
        <v>4.3</v>
      </c>
      <c r="Q567" s="25">
        <f>IFERROR(__xludf.DUMMYFUNCTION("""COMPUTED_VALUE"""),9998.0)</f>
        <v>9998</v>
      </c>
    </row>
    <row r="568">
      <c r="A568" s="7" t="s">
        <v>601</v>
      </c>
      <c r="B568" s="7" t="s">
        <v>380</v>
      </c>
      <c r="C568" s="8">
        <v>7499.0</v>
      </c>
      <c r="D568" s="8">
        <v>9499.0</v>
      </c>
      <c r="E568" s="19">
        <v>0.21</v>
      </c>
      <c r="F568" s="10">
        <v>4.1</v>
      </c>
      <c r="G568" s="7" t="s">
        <v>513</v>
      </c>
      <c r="K568" s="17" t="str">
        <f>IFERROR(__xludf.DUMMYFUNCTION("""COMPUTED_VALUE"""),"Noise ColorFit Ultra Buzz Bluetooth Calling Smart Watch with 1.75"" HD Display, 320x385 px Resolution, 100 Sports Modes, Stock Market Info Smartwatch for Men &amp; Women (Olive Green)")</f>
        <v>Noise ColorFit Ultra Buzz Bluetooth Calling Smart Watch with 1.75" HD Display, 320x385 px Resolution, 100 Sports Modes, Stock Market Info Smartwatch for Men &amp; Women (Olive Green)</v>
      </c>
      <c r="L568" s="17" t="str">
        <f>IFERROR(__xludf.DUMMYFUNCTION("""COMPUTED_VALUE"""),"Electronics|WearableTechnology|SmartWatches")</f>
        <v>Electronics|WearableTechnology|SmartWatches</v>
      </c>
      <c r="M568" s="23">
        <f>IFERROR(__xludf.DUMMYFUNCTION("""COMPUTED_VALUE"""),2499.0)</f>
        <v>2499</v>
      </c>
      <c r="N568" s="23">
        <f>IFERROR(__xludf.DUMMYFUNCTION("""COMPUTED_VALUE"""),5999.0)</f>
        <v>5999</v>
      </c>
      <c r="O568" s="24">
        <f>IFERROR(__xludf.DUMMYFUNCTION("""COMPUTED_VALUE"""),0.58)</f>
        <v>0.58</v>
      </c>
      <c r="P568" s="17">
        <f>IFERROR(__xludf.DUMMYFUNCTION("""COMPUTED_VALUE"""),4.1)</f>
        <v>4.1</v>
      </c>
      <c r="Q568" s="25">
        <f>IFERROR(__xludf.DUMMYFUNCTION("""COMPUTED_VALUE"""),5852.0)</f>
        <v>5852</v>
      </c>
    </row>
    <row r="569">
      <c r="A569" s="7" t="s">
        <v>602</v>
      </c>
      <c r="B569" s="7" t="s">
        <v>373</v>
      </c>
      <c r="C569" s="8">
        <v>265.0</v>
      </c>
      <c r="D569" s="8">
        <v>999.0</v>
      </c>
      <c r="E569" s="19">
        <v>0.73</v>
      </c>
      <c r="F569" s="10">
        <v>3.7</v>
      </c>
      <c r="G569" s="10">
        <v>465.0</v>
      </c>
      <c r="K569" s="17" t="str">
        <f>IFERROR(__xludf.DUMMYFUNCTION("""COMPUTED_VALUE"""),"Lapster Caddy for ssd and HDD, Optical Bay 2nd Hard Drive Caddy, Caddy 9.5mm for Laptop")</f>
        <v>Lapster Caddy for ssd and HDD, Optical Bay 2nd Hard Drive Caddy, Caddy 9.5mm for Laptop</v>
      </c>
      <c r="L569" s="17" t="str">
        <f>IFERROR(__xludf.DUMMYFUNCTION("""COMPUTED_VALUE"""),"Computers&amp;Accessories|Components|InternalHardDrives")</f>
        <v>Computers&amp;Accessories|Components|InternalHardDrives</v>
      </c>
      <c r="M569" s="23">
        <f>IFERROR(__xludf.DUMMYFUNCTION("""COMPUTED_VALUE"""),199.0)</f>
        <v>199</v>
      </c>
      <c r="N569" s="23">
        <f>IFERROR(__xludf.DUMMYFUNCTION("""COMPUTED_VALUE"""),999.0)</f>
        <v>999</v>
      </c>
      <c r="O569" s="24">
        <f>IFERROR(__xludf.DUMMYFUNCTION("""COMPUTED_VALUE"""),0.8)</f>
        <v>0.8</v>
      </c>
      <c r="P569" s="17">
        <f>IFERROR(__xludf.DUMMYFUNCTION("""COMPUTED_VALUE"""),4.2)</f>
        <v>4.2</v>
      </c>
      <c r="Q569" s="17">
        <f>IFERROR(__xludf.DUMMYFUNCTION("""COMPUTED_VALUE"""),362.0)</f>
        <v>362</v>
      </c>
    </row>
    <row r="570">
      <c r="A570" s="7" t="s">
        <v>603</v>
      </c>
      <c r="B570" s="7" t="s">
        <v>380</v>
      </c>
      <c r="C570" s="8">
        <v>37990.0</v>
      </c>
      <c r="D570" s="8">
        <v>74999.0</v>
      </c>
      <c r="E570" s="19">
        <v>0.49</v>
      </c>
      <c r="F570" s="10">
        <v>4.2</v>
      </c>
      <c r="G570" s="11">
        <v>27790.0</v>
      </c>
      <c r="K570" s="17" t="str">
        <f>IFERROR(__xludf.DUMMYFUNCTION("""COMPUTED_VALUE"""),"SanDisk Extreme SD UHS I 64GB Card for 4K Video for DSLR and Mirrorless Cameras 170MB/s Read &amp; 80MB/s Write")</f>
        <v>SanDisk Extreme SD UHS I 64GB Card for 4K Video for DSLR and Mirrorless Cameras 170MB/s Read &amp; 80MB/s Write</v>
      </c>
      <c r="L570" s="17" t="str">
        <f>IFERROR(__xludf.DUMMYFUNCTION("""COMPUTED_VALUE"""),"Electronics|Accessories|MemoryCards|MicroSD")</f>
        <v>Electronics|Accessories|MemoryCards|MicroSD</v>
      </c>
      <c r="M570" s="23">
        <f>IFERROR(__xludf.DUMMYFUNCTION("""COMPUTED_VALUE"""),939.0)</f>
        <v>939</v>
      </c>
      <c r="N570" s="23">
        <f>IFERROR(__xludf.DUMMYFUNCTION("""COMPUTED_VALUE"""),1800.0)</f>
        <v>1800</v>
      </c>
      <c r="O570" s="24">
        <f>IFERROR(__xludf.DUMMYFUNCTION("""COMPUTED_VALUE"""),0.48)</f>
        <v>0.48</v>
      </c>
      <c r="P570" s="17">
        <f>IFERROR(__xludf.DUMMYFUNCTION("""COMPUTED_VALUE"""),4.5)</f>
        <v>4.5</v>
      </c>
      <c r="Q570" s="17" t="str">
        <f>IFERROR(__xludf.DUMMYFUNCTION("""COMPUTED_VALUE"""),"2,05,052")</f>
        <v>2,05,052</v>
      </c>
    </row>
    <row r="571">
      <c r="A571" s="7" t="s">
        <v>100</v>
      </c>
      <c r="B571" s="7" t="s">
        <v>15</v>
      </c>
      <c r="C571" s="8">
        <v>199.0</v>
      </c>
      <c r="D571" s="8">
        <v>499.0</v>
      </c>
      <c r="E571" s="19">
        <v>0.6</v>
      </c>
      <c r="F571" s="10">
        <v>4.1</v>
      </c>
      <c r="G571" s="10">
        <v>602.0</v>
      </c>
      <c r="K571" s="17" t="str">
        <f>IFERROR(__xludf.DUMMYFUNCTION("""COMPUTED_VALUE"""),"Lenovo 600 Bluetooth 5.0 Silent Mouse: Compact, Portable, Dongle-Free Multi-Device connectivity with Microsoft Swift Pair | 3-Level Adjustable DPI up to 2400 | Battery Life: up to 1 yr")</f>
        <v>Lenovo 600 Bluetooth 5.0 Silent Mouse: Compact, Portable, Dongle-Free Multi-Device connectivity with Microsoft Swift Pair | 3-Level Adjustable DPI up to 2400 | Battery Life: up to 1 yr</v>
      </c>
      <c r="L571" s="17" t="str">
        <f>IFERROR(__xludf.DUMMYFUNCTION("""COMPUTED_VALUE"""),"Computers&amp;Accessories|Accessories&amp;Peripherals|Keyboards,Mice&amp;InputDevices|Mice")</f>
        <v>Computers&amp;Accessories|Accessories&amp;Peripherals|Keyboards,Mice&amp;InputDevices|Mice</v>
      </c>
      <c r="M571" s="23">
        <f>IFERROR(__xludf.DUMMYFUNCTION("""COMPUTED_VALUE"""),1439.0)</f>
        <v>1439</v>
      </c>
      <c r="N571" s="23">
        <f>IFERROR(__xludf.DUMMYFUNCTION("""COMPUTED_VALUE"""),2890.0)</f>
        <v>2890</v>
      </c>
      <c r="O571" s="24">
        <f>IFERROR(__xludf.DUMMYFUNCTION("""COMPUTED_VALUE"""),0.5)</f>
        <v>0.5</v>
      </c>
      <c r="P571" s="17">
        <f>IFERROR(__xludf.DUMMYFUNCTION("""COMPUTED_VALUE"""),4.5)</f>
        <v>4.5</v>
      </c>
      <c r="Q571" s="25">
        <f>IFERROR(__xludf.DUMMYFUNCTION("""COMPUTED_VALUE"""),4099.0)</f>
        <v>4099</v>
      </c>
    </row>
    <row r="572">
      <c r="A572" s="7" t="s">
        <v>101</v>
      </c>
      <c r="B572" s="7" t="s">
        <v>15</v>
      </c>
      <c r="C572" s="8">
        <v>179.0</v>
      </c>
      <c r="D572" s="8">
        <v>399.0</v>
      </c>
      <c r="E572" s="19">
        <v>0.55</v>
      </c>
      <c r="F572" s="10">
        <v>4.0</v>
      </c>
      <c r="G572" s="11">
        <v>1423.0</v>
      </c>
      <c r="K572" s="17" t="str">
        <f>IFERROR(__xludf.DUMMYFUNCTION("""COMPUTED_VALUE"""),"Classmate Soft Cover 6 Subject Spiral Binding Notebook, Unruled, 300 Pages")</f>
        <v>Classmate Soft Cover 6 Subject Spiral Binding Notebook, Unruled, 300 Pages</v>
      </c>
      <c r="L572" s="17" t="str">
        <f>IFERROR(__xludf.DUMMYFUNCTION("""COMPUTED_VALUE"""),"OfficeProducts|OfficePaperProducts|Paper|Stationery|Notebooks,WritingPads&amp;Diaries|WireboundNotebooks")</f>
        <v>OfficeProducts|OfficePaperProducts|Paper|Stationery|Notebooks,WritingPads&amp;Diaries|WireboundNotebooks</v>
      </c>
      <c r="M572" s="23">
        <f>IFERROR(__xludf.DUMMYFUNCTION("""COMPUTED_VALUE"""),157.0)</f>
        <v>157</v>
      </c>
      <c r="N572" s="23">
        <f>IFERROR(__xludf.DUMMYFUNCTION("""COMPUTED_VALUE"""),160.0)</f>
        <v>160</v>
      </c>
      <c r="O572" s="24">
        <f>IFERROR(__xludf.DUMMYFUNCTION("""COMPUTED_VALUE"""),0.02)</f>
        <v>0.02</v>
      </c>
      <c r="P572" s="17">
        <f>IFERROR(__xludf.DUMMYFUNCTION("""COMPUTED_VALUE"""),4.5)</f>
        <v>4.5</v>
      </c>
      <c r="Q572" s="25">
        <f>IFERROR(__xludf.DUMMYFUNCTION("""COMPUTED_VALUE"""),4428.0)</f>
        <v>4428</v>
      </c>
    </row>
    <row r="573">
      <c r="A573" s="7" t="s">
        <v>604</v>
      </c>
      <c r="B573" s="7" t="s">
        <v>441</v>
      </c>
      <c r="C573" s="8">
        <v>1799.0</v>
      </c>
      <c r="D573" s="8">
        <v>3999.0</v>
      </c>
      <c r="E573" s="19">
        <v>0.55</v>
      </c>
      <c r="F573" s="10">
        <v>4.6</v>
      </c>
      <c r="G573" s="10">
        <v>245.0</v>
      </c>
      <c r="K573" s="17" t="str">
        <f>IFERROR(__xludf.DUMMYFUNCTION("""COMPUTED_VALUE"""),"TP-Link Nano AC600 USB Wi-Fi Adapter(Archer T2U Nano)- 2.4G/5G Dual Band Wireless Network Adapter for PC Desktop Laptop, Mini Travel Size, Supports Windows 11,10, 8.1, 8, 7, XP/Mac OS 10.9-10.15")</f>
        <v>TP-Link Nano AC600 USB Wi-Fi Adapter(Archer T2U Nano)- 2.4G/5G Dual Band Wireless Network Adapter for PC Desktop Laptop, Mini Travel Size, Supports Windows 11,10, 8.1, 8, 7, XP/Mac OS 10.9-10.15</v>
      </c>
      <c r="L573" s="17" t="str">
        <f>IFERROR(__xludf.DUMMYFUNCTION("""COMPUTED_VALUE"""),"Computers&amp;Accessories|NetworkingDevices|NetworkAdapters|WirelessUSBAdapters")</f>
        <v>Computers&amp;Accessories|NetworkingDevices|NetworkAdapters|WirelessUSBAdapters</v>
      </c>
      <c r="M573" s="23">
        <f>IFERROR(__xludf.DUMMYFUNCTION("""COMPUTED_VALUE"""),999.0)</f>
        <v>999</v>
      </c>
      <c r="N573" s="23">
        <f>IFERROR(__xludf.DUMMYFUNCTION("""COMPUTED_VALUE"""),1599.0)</f>
        <v>1599</v>
      </c>
      <c r="O573" s="24">
        <f>IFERROR(__xludf.DUMMYFUNCTION("""COMPUTED_VALUE"""),0.38)</f>
        <v>0.38</v>
      </c>
      <c r="P573" s="17">
        <f>IFERROR(__xludf.DUMMYFUNCTION("""COMPUTED_VALUE"""),4.3)</f>
        <v>4.3</v>
      </c>
      <c r="Q573" s="25">
        <f>IFERROR(__xludf.DUMMYFUNCTION("""COMPUTED_VALUE"""),12093.0)</f>
        <v>12093</v>
      </c>
    </row>
    <row r="574">
      <c r="A574" s="7" t="s">
        <v>605</v>
      </c>
      <c r="B574" s="7" t="s">
        <v>380</v>
      </c>
      <c r="C574" s="8">
        <v>8499.0</v>
      </c>
      <c r="D574" s="8">
        <v>11999.0</v>
      </c>
      <c r="E574" s="19">
        <v>0.29</v>
      </c>
      <c r="F574" s="10">
        <v>3.9</v>
      </c>
      <c r="G574" s="10">
        <v>276.0</v>
      </c>
      <c r="K574" s="17" t="str">
        <f>IFERROR(__xludf.DUMMYFUNCTION("""COMPUTED_VALUE"""),"KLAM LCD Writing Tablet Screenwriting Toys Board Smart Digital E-Note Pad 8.5 Inch Light Weight Magic Slate for Drawing Playing Noting by Kids and Adults Best Birthday Gift Girls Boys, Multicolor")</f>
        <v>KLAM LCD Writing Tablet Screenwriting Toys Board Smart Digital E-Note Pad 8.5 Inch Light Weight Magic Slate for Drawing Playing Noting by Kids and Adults Best Birthday Gift Girls Boys, Multicolor</v>
      </c>
      <c r="L574" s="17" t="str">
        <f>IFERROR(__xludf.DUMMYFUNCTION("""COMPUTED_VALUE"""),"Computers&amp;Accessories|Accessories&amp;Peripherals|Keyboards,Mice&amp;InputDevices|GraphicTablets")</f>
        <v>Computers&amp;Accessories|Accessories&amp;Peripherals|Keyboards,Mice&amp;InputDevices|GraphicTablets</v>
      </c>
      <c r="M574" s="23">
        <f>IFERROR(__xludf.DUMMYFUNCTION("""COMPUTED_VALUE"""),175.0)</f>
        <v>175</v>
      </c>
      <c r="N574" s="23">
        <f>IFERROR(__xludf.DUMMYFUNCTION("""COMPUTED_VALUE"""),499.0)</f>
        <v>499</v>
      </c>
      <c r="O574" s="24">
        <f>IFERROR(__xludf.DUMMYFUNCTION("""COMPUTED_VALUE"""),0.65)</f>
        <v>0.65</v>
      </c>
      <c r="P574" s="17">
        <f>IFERROR(__xludf.DUMMYFUNCTION("""COMPUTED_VALUE"""),4.1)</f>
        <v>4.1</v>
      </c>
      <c r="Q574" s="17">
        <f>IFERROR(__xludf.DUMMYFUNCTION("""COMPUTED_VALUE"""),21.0)</f>
        <v>21</v>
      </c>
    </row>
    <row r="575">
      <c r="A575" s="7" t="s">
        <v>606</v>
      </c>
      <c r="B575" s="7" t="s">
        <v>373</v>
      </c>
      <c r="C575" s="8">
        <v>1999.0</v>
      </c>
      <c r="D575" s="8">
        <v>3999.0</v>
      </c>
      <c r="E575" s="19">
        <v>0.5</v>
      </c>
      <c r="F575" s="10">
        <v>4.0</v>
      </c>
      <c r="G575" s="11">
        <v>30254.0</v>
      </c>
      <c r="K575" s="17" t="str">
        <f>IFERROR(__xludf.DUMMYFUNCTION("""COMPUTED_VALUE"""),"D-Link DIR-615 Wi-fi Ethernet-N300 Single_band 300Mbps Router, Mobile App Support, Router | AP | Repeater | Client Modes(Black)")</f>
        <v>D-Link DIR-615 Wi-fi Ethernet-N300 Single_band 300Mbps Router, Mobile App Support, Router | AP | Repeater | Client Modes(Black)</v>
      </c>
      <c r="L575" s="17" t="str">
        <f>IFERROR(__xludf.DUMMYFUNCTION("""COMPUTED_VALUE"""),"Computers&amp;Accessories|NetworkingDevices|Routers")</f>
        <v>Computers&amp;Accessories|NetworkingDevices|Routers</v>
      </c>
      <c r="M575" s="23">
        <f>IFERROR(__xludf.DUMMYFUNCTION("""COMPUTED_VALUE"""),899.0)</f>
        <v>899</v>
      </c>
      <c r="N575" s="23">
        <f>IFERROR(__xludf.DUMMYFUNCTION("""COMPUTED_VALUE"""),1800.0)</f>
        <v>1800</v>
      </c>
      <c r="O575" s="24">
        <f>IFERROR(__xludf.DUMMYFUNCTION("""COMPUTED_VALUE"""),0.5)</f>
        <v>0.5</v>
      </c>
      <c r="P575" s="17">
        <f>IFERROR(__xludf.DUMMYFUNCTION("""COMPUTED_VALUE"""),4.1)</f>
        <v>4.1</v>
      </c>
      <c r="Q575" s="25">
        <f>IFERROR(__xludf.DUMMYFUNCTION("""COMPUTED_VALUE"""),22375.0)</f>
        <v>22375</v>
      </c>
    </row>
    <row r="576">
      <c r="A576" s="7" t="s">
        <v>424</v>
      </c>
      <c r="B576" s="7" t="s">
        <v>373</v>
      </c>
      <c r="C576" s="8">
        <v>3999.0</v>
      </c>
      <c r="D576" s="8">
        <v>17999.0</v>
      </c>
      <c r="E576" s="19">
        <v>0.78</v>
      </c>
      <c r="F576" s="10">
        <v>4.3</v>
      </c>
      <c r="G576" s="11">
        <v>17161.0</v>
      </c>
      <c r="K576" s="17" t="str">
        <f>IFERROR(__xludf.DUMMYFUNCTION("""COMPUTED_VALUE"""),"RPM Euro Games Gaming Mousepad Speed Type Extended Large (Size - 800 mm x 300 mm x 3 mm)")</f>
        <v>RPM Euro Games Gaming Mousepad Speed Type Extended Large (Size - 800 mm x 300 mm x 3 mm)</v>
      </c>
      <c r="L576"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576" s="23">
        <f>IFERROR(__xludf.DUMMYFUNCTION("""COMPUTED_VALUE"""),299.0)</f>
        <v>299</v>
      </c>
      <c r="N576" s="23">
        <f>IFERROR(__xludf.DUMMYFUNCTION("""COMPUTED_VALUE"""),990.0)</f>
        <v>990</v>
      </c>
      <c r="O576" s="24">
        <f>IFERROR(__xludf.DUMMYFUNCTION("""COMPUTED_VALUE"""),0.7)</f>
        <v>0.7</v>
      </c>
      <c r="P576" s="17">
        <f>IFERROR(__xludf.DUMMYFUNCTION("""COMPUTED_VALUE"""),4.5)</f>
        <v>4.5</v>
      </c>
      <c r="Q576" s="25">
        <f>IFERROR(__xludf.DUMMYFUNCTION("""COMPUTED_VALUE"""),2453.0)</f>
        <v>2453</v>
      </c>
    </row>
    <row r="577">
      <c r="A577" s="7" t="s">
        <v>607</v>
      </c>
      <c r="B577" s="7" t="s">
        <v>409</v>
      </c>
      <c r="C577" s="8">
        <v>219.0</v>
      </c>
      <c r="D577" s="8">
        <v>499.0</v>
      </c>
      <c r="E577" s="19">
        <v>0.56</v>
      </c>
      <c r="F577" s="10">
        <v>4.4</v>
      </c>
      <c r="G577" s="10">
        <v>14.0</v>
      </c>
      <c r="K577" s="17" t="str">
        <f>IFERROR(__xludf.DUMMYFUNCTION("""COMPUTED_VALUE"""),"Wacom One by CTL-472/K0-CX Digital Drawing Graphics Pen Tablet (Red &amp; Black) Small (6-inch x 3.5-inch)(15x8cm) | Battery Free Cordless Pen with 2048 Pressure Level")</f>
        <v>Wacom One by CTL-472/K0-CX Digital Drawing Graphics Pen Tablet (Red &amp; Black) Small (6-inch x 3.5-inch)(15x8cm) | Battery Free Cordless Pen with 2048 Pressure Level</v>
      </c>
      <c r="L577" s="17" t="str">
        <f>IFERROR(__xludf.DUMMYFUNCTION("""COMPUTED_VALUE"""),"Computers&amp;Accessories|Accessories&amp;Peripherals|Keyboards,Mice&amp;InputDevices|GraphicTablets")</f>
        <v>Computers&amp;Accessories|Accessories&amp;Peripherals|Keyboards,Mice&amp;InputDevices|GraphicTablets</v>
      </c>
      <c r="M577" s="23">
        <f>IFERROR(__xludf.DUMMYFUNCTION("""COMPUTED_VALUE"""),3303.0)</f>
        <v>3303</v>
      </c>
      <c r="N577" s="23">
        <f>IFERROR(__xludf.DUMMYFUNCTION("""COMPUTED_VALUE"""),4699.0)</f>
        <v>4699</v>
      </c>
      <c r="O577" s="24">
        <f>IFERROR(__xludf.DUMMYFUNCTION("""COMPUTED_VALUE"""),0.3)</f>
        <v>0.3</v>
      </c>
      <c r="P577" s="17">
        <f>IFERROR(__xludf.DUMMYFUNCTION("""COMPUTED_VALUE"""),4.4)</f>
        <v>4.4</v>
      </c>
      <c r="Q577" s="25">
        <f>IFERROR(__xludf.DUMMYFUNCTION("""COMPUTED_VALUE"""),13544.0)</f>
        <v>13544</v>
      </c>
    </row>
    <row r="578">
      <c r="A578" s="7" t="s">
        <v>608</v>
      </c>
      <c r="B578" s="7" t="s">
        <v>441</v>
      </c>
      <c r="C578" s="8">
        <v>599.0</v>
      </c>
      <c r="D578" s="8">
        <v>1399.0</v>
      </c>
      <c r="E578" s="19">
        <v>0.57</v>
      </c>
      <c r="F578" s="10">
        <v>4.1</v>
      </c>
      <c r="G578" s="11">
        <v>14560.0</v>
      </c>
      <c r="K578" s="17" t="str">
        <f>IFERROR(__xludf.DUMMYFUNCTION("""COMPUTED_VALUE"""),"Lenovo 300 FHD Webcam with Full Stereo Dual Built-in mics | FHD 1080P 2.1 Megapixel CMOS Camera |Privacy Shutter | Ultra-Wide 95 Lens | 360 Rotation | Flexible Mount, Plug-n-Play | Cloud Grey")</f>
        <v>Lenovo 300 FHD Webcam with Full Stereo Dual Built-in mics | FHD 1080P 2.1 Megapixel CMOS Camera |Privacy Shutter | Ultra-Wide 95 Lens | 360 Rotation | Flexible Mount, Plug-n-Play | Cloud Grey</v>
      </c>
      <c r="L578" s="17" t="str">
        <f>IFERROR(__xludf.DUMMYFUNCTION("""COMPUTED_VALUE"""),"Computers&amp;Accessories|Accessories&amp;Peripherals|Audio&amp;VideoAccessories|Webcams&amp;VoIPEquipment|Webcams")</f>
        <v>Computers&amp;Accessories|Accessories&amp;Peripherals|Audio&amp;VideoAccessories|Webcams&amp;VoIPEquipment|Webcams</v>
      </c>
      <c r="M578" s="23">
        <f>IFERROR(__xludf.DUMMYFUNCTION("""COMPUTED_VALUE"""),1890.0)</f>
        <v>1890</v>
      </c>
      <c r="N578" s="23">
        <f>IFERROR(__xludf.DUMMYFUNCTION("""COMPUTED_VALUE"""),5490.0)</f>
        <v>5490</v>
      </c>
      <c r="O578" s="24">
        <f>IFERROR(__xludf.DUMMYFUNCTION("""COMPUTED_VALUE"""),0.66)</f>
        <v>0.66</v>
      </c>
      <c r="P578" s="17">
        <f>IFERROR(__xludf.DUMMYFUNCTION("""COMPUTED_VALUE"""),4.1)</f>
        <v>4.1</v>
      </c>
      <c r="Q578" s="25">
        <f>IFERROR(__xludf.DUMMYFUNCTION("""COMPUTED_VALUE"""),10976.0)</f>
        <v>10976</v>
      </c>
    </row>
    <row r="579">
      <c r="A579" s="7" t="s">
        <v>609</v>
      </c>
      <c r="B579" s="7" t="s">
        <v>377</v>
      </c>
      <c r="C579" s="8">
        <v>2499.0</v>
      </c>
      <c r="D579" s="8">
        <v>2999.0</v>
      </c>
      <c r="E579" s="19">
        <v>0.17</v>
      </c>
      <c r="F579" s="10">
        <v>4.1</v>
      </c>
      <c r="G579" s="11">
        <v>3156.0</v>
      </c>
      <c r="K579" s="17" t="str">
        <f>IFERROR(__xludf.DUMMYFUNCTION("""COMPUTED_VALUE"""),"Parker Quink Ink Bottle (Black)")</f>
        <v>Parker Quink Ink Bottle (Black)</v>
      </c>
      <c r="L579" s="17" t="str">
        <f>IFERROR(__xludf.DUMMYFUNCTION("""COMPUTED_VALUE"""),"OfficeProducts|OfficePaperProducts|Paper|Stationery|Pens,Pencils&amp;WritingSupplies|Pens&amp;Refills|BottledInk")</f>
        <v>OfficeProducts|OfficePaperProducts|Paper|Stationery|Pens,Pencils&amp;WritingSupplies|Pens&amp;Refills|BottledInk</v>
      </c>
      <c r="M579" s="23">
        <f>IFERROR(__xludf.DUMMYFUNCTION("""COMPUTED_VALUE"""),90.0)</f>
        <v>90</v>
      </c>
      <c r="N579" s="23">
        <f>IFERROR(__xludf.DUMMYFUNCTION("""COMPUTED_VALUE"""),100.0)</f>
        <v>100</v>
      </c>
      <c r="O579" s="24">
        <f>IFERROR(__xludf.DUMMYFUNCTION("""COMPUTED_VALUE"""),0.1)</f>
        <v>0.1</v>
      </c>
      <c r="P579" s="17">
        <f>IFERROR(__xludf.DUMMYFUNCTION("""COMPUTED_VALUE"""),4.3)</f>
        <v>4.3</v>
      </c>
      <c r="Q579" s="25">
        <f>IFERROR(__xludf.DUMMYFUNCTION("""COMPUTED_VALUE"""),3061.0)</f>
        <v>3061</v>
      </c>
    </row>
    <row r="580">
      <c r="A580" s="7" t="s">
        <v>610</v>
      </c>
      <c r="B580" s="7" t="s">
        <v>611</v>
      </c>
      <c r="C580" s="8">
        <v>89.0</v>
      </c>
      <c r="D580" s="8">
        <v>499.0</v>
      </c>
      <c r="E580" s="19">
        <v>0.82</v>
      </c>
      <c r="F580" s="10">
        <v>4.1</v>
      </c>
      <c r="G580" s="11">
        <v>9340.0</v>
      </c>
      <c r="K580" s="17" t="str">
        <f>IFERROR(__xludf.DUMMYFUNCTION("""COMPUTED_VALUE"""),"D-Link DWA-131 300 Mbps Wireless Nano USB Adapter (Black)")</f>
        <v>D-Link DWA-131 300 Mbps Wireless Nano USB Adapter (Black)</v>
      </c>
      <c r="L580" s="17" t="str">
        <f>IFERROR(__xludf.DUMMYFUNCTION("""COMPUTED_VALUE"""),"Computers&amp;Accessories|NetworkingDevices|NetworkAdapters|WirelessUSBAdapters")</f>
        <v>Computers&amp;Accessories|NetworkingDevices|NetworkAdapters|WirelessUSBAdapters</v>
      </c>
      <c r="M580" s="23">
        <f>IFERROR(__xludf.DUMMYFUNCTION("""COMPUTED_VALUE"""),507.0)</f>
        <v>507</v>
      </c>
      <c r="N580" s="23">
        <f>IFERROR(__xludf.DUMMYFUNCTION("""COMPUTED_VALUE"""),1208.0)</f>
        <v>1208</v>
      </c>
      <c r="O580" s="24">
        <f>IFERROR(__xludf.DUMMYFUNCTION("""COMPUTED_VALUE"""),0.58)</f>
        <v>0.58</v>
      </c>
      <c r="P580" s="17">
        <f>IFERROR(__xludf.DUMMYFUNCTION("""COMPUTED_VALUE"""),4.1)</f>
        <v>4.1</v>
      </c>
      <c r="Q580" s="25">
        <f>IFERROR(__xludf.DUMMYFUNCTION("""COMPUTED_VALUE"""),8131.0)</f>
        <v>8131</v>
      </c>
    </row>
    <row r="581">
      <c r="A581" s="7" t="s">
        <v>612</v>
      </c>
      <c r="B581" s="7" t="s">
        <v>373</v>
      </c>
      <c r="C581" s="8">
        <v>2999.0</v>
      </c>
      <c r="D581" s="8">
        <v>11999.0</v>
      </c>
      <c r="E581" s="19">
        <v>0.75</v>
      </c>
      <c r="F581" s="10">
        <v>4.4</v>
      </c>
      <c r="G581" s="10">
        <v>768.0</v>
      </c>
      <c r="K581" s="17" t="str">
        <f>IFERROR(__xludf.DUMMYFUNCTION("""COMPUTED_VALUE"""),"Tukzer Gel Mouse Pad Wrist Rest Memory-Foam Ergonomic Mousepad| Cushion Wrist Support &amp; Pain Relief| Suitable for Gaming, Computer, Laptop, Home &amp; Office Non-Slip Rubber Base (Blue)")</f>
        <v>Tukzer Gel Mouse Pad Wrist Rest Memory-Foam Ergonomic Mousepad| Cushion Wrist Support &amp; Pain Relief| Suitable for Gaming, Computer, Laptop, Home &amp; Office Non-Slip Rubber Base (Blue)</v>
      </c>
      <c r="L581"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581" s="23">
        <f>IFERROR(__xludf.DUMMYFUNCTION("""COMPUTED_VALUE"""),425.0)</f>
        <v>425</v>
      </c>
      <c r="N581" s="23">
        <f>IFERROR(__xludf.DUMMYFUNCTION("""COMPUTED_VALUE"""),899.0)</f>
        <v>899</v>
      </c>
      <c r="O581" s="24">
        <f>IFERROR(__xludf.DUMMYFUNCTION("""COMPUTED_VALUE"""),0.53)</f>
        <v>0.53</v>
      </c>
      <c r="P581" s="17">
        <f>IFERROR(__xludf.DUMMYFUNCTION("""COMPUTED_VALUE"""),4.5)</f>
        <v>4.5</v>
      </c>
      <c r="Q581" s="25">
        <f>IFERROR(__xludf.DUMMYFUNCTION("""COMPUTED_VALUE"""),4219.0)</f>
        <v>4219</v>
      </c>
    </row>
    <row r="582">
      <c r="A582" s="7" t="s">
        <v>613</v>
      </c>
      <c r="B582" s="7" t="s">
        <v>450</v>
      </c>
      <c r="C582" s="8">
        <v>314.0</v>
      </c>
      <c r="D582" s="8">
        <v>1499.0</v>
      </c>
      <c r="E582" s="19">
        <v>0.79</v>
      </c>
      <c r="F582" s="10">
        <v>4.5</v>
      </c>
      <c r="G582" s="11">
        <v>28978.0</v>
      </c>
      <c r="K582" s="17" t="str">
        <f>IFERROR(__xludf.DUMMYFUNCTION("""COMPUTED_VALUE"""),"Infinity (JBL Glide 510, 72 Hrs Playtime with Quick Charge, Wireless On Ear Headphone with Mic, Deep Bass, Dual Equalizer, Bluetooth 5.0 with Voice Assistant Support (Black)")</f>
        <v>Infinity (JBL Glide 510, 72 Hrs Playtime with Quick Charge, Wireless On Ear Headphone with Mic, Deep Bass, Dual Equalizer, Bluetooth 5.0 with Voice Assistant Support (Black)</v>
      </c>
      <c r="L582" s="17" t="str">
        <f>IFERROR(__xludf.DUMMYFUNCTION("""COMPUTED_VALUE"""),"Electronics|Headphones,Earbuds&amp;Accessories|Headphones|On-Ear")</f>
        <v>Electronics|Headphones,Earbuds&amp;Accessories|Headphones|On-Ear</v>
      </c>
      <c r="M582" s="23">
        <f>IFERROR(__xludf.DUMMYFUNCTION("""COMPUTED_VALUE"""),1499.0)</f>
        <v>1499</v>
      </c>
      <c r="N582" s="23">
        <f>IFERROR(__xludf.DUMMYFUNCTION("""COMPUTED_VALUE"""),3999.0)</f>
        <v>3999</v>
      </c>
      <c r="O582" s="24">
        <f>IFERROR(__xludf.DUMMYFUNCTION("""COMPUTED_VALUE"""),0.63)</f>
        <v>0.63</v>
      </c>
      <c r="P582" s="17">
        <f>IFERROR(__xludf.DUMMYFUNCTION("""COMPUTED_VALUE"""),4.2)</f>
        <v>4.2</v>
      </c>
      <c r="Q582" s="25">
        <f>IFERROR(__xludf.DUMMYFUNCTION("""COMPUTED_VALUE"""),42775.0)</f>
        <v>42775</v>
      </c>
    </row>
    <row r="583">
      <c r="A583" s="7" t="s">
        <v>614</v>
      </c>
      <c r="B583" s="7" t="s">
        <v>380</v>
      </c>
      <c r="C583" s="8">
        <v>13999.0</v>
      </c>
      <c r="D583" s="8">
        <v>19499.0</v>
      </c>
      <c r="E583" s="19">
        <v>0.28</v>
      </c>
      <c r="F583" s="10">
        <v>4.1</v>
      </c>
      <c r="G583" s="11">
        <v>18998.0</v>
      </c>
      <c r="K583" s="17" t="str">
        <f>IFERROR(__xludf.DUMMYFUNCTION("""COMPUTED_VALUE"""),"Robustrion Smart Trifold Hard Back Flip Stand Case Cover for Apple iPad 10.2 Cover iPad 9th Generation Cover 2021 8th Gen 2020 7th Gen 2019 Generation Case - Black")</f>
        <v>Robustrion Smart Trifold Hard Back Flip Stand Case Cover for Apple iPad 10.2 Cover iPad 9th Generation Cover 2021 8th Gen 2020 7th Gen 2019 Generation Case - Black</v>
      </c>
      <c r="L583" s="17" t="str">
        <f>IFERROR(__xludf.DUMMYFUNCTION("""COMPUTED_VALUE"""),"Computers&amp;Accessories|Accessories&amp;Peripherals|TabletAccessories|Bags,Cases&amp;Sleeves|Cases")</f>
        <v>Computers&amp;Accessories|Accessories&amp;Peripherals|TabletAccessories|Bags,Cases&amp;Sleeves|Cases</v>
      </c>
      <c r="M583" s="23">
        <f>IFERROR(__xludf.DUMMYFUNCTION("""COMPUTED_VALUE"""),549.0)</f>
        <v>549</v>
      </c>
      <c r="N583" s="23">
        <f>IFERROR(__xludf.DUMMYFUNCTION("""COMPUTED_VALUE"""),2499.0)</f>
        <v>2499</v>
      </c>
      <c r="O583" s="24">
        <f>IFERROR(__xludf.DUMMYFUNCTION("""COMPUTED_VALUE"""),0.78)</f>
        <v>0.78</v>
      </c>
      <c r="P583" s="17">
        <f>IFERROR(__xludf.DUMMYFUNCTION("""COMPUTED_VALUE"""),4.3)</f>
        <v>4.3</v>
      </c>
      <c r="Q583" s="25">
        <f>IFERROR(__xludf.DUMMYFUNCTION("""COMPUTED_VALUE"""),5556.0)</f>
        <v>5556</v>
      </c>
    </row>
    <row r="584">
      <c r="A584" s="7" t="s">
        <v>615</v>
      </c>
      <c r="B584" s="7" t="s">
        <v>423</v>
      </c>
      <c r="C584" s="8">
        <v>139.0</v>
      </c>
      <c r="D584" s="8">
        <v>499.0</v>
      </c>
      <c r="E584" s="19">
        <v>0.72</v>
      </c>
      <c r="F584" s="10">
        <v>4.2</v>
      </c>
      <c r="G584" s="11">
        <v>4971.0</v>
      </c>
      <c r="K584" s="17" t="str">
        <f>IFERROR(__xludf.DUMMYFUNCTION("""COMPUTED_VALUE"""),"Amazonbasics Micro Usb Fast Charging Cable For Android Smartphone,Personal Computer,Printer With Gold Plated Connectors (6 Feet, Black)")</f>
        <v>Amazonbasics Micro Usb Fast Charging Cable For Android Smartphone,Personal Computer,Printer With Gold Plated Connectors (6 Feet, Black)</v>
      </c>
      <c r="L584" s="17" t="str">
        <f>IFERROR(__xludf.DUMMYFUNCTION("""COMPUTED_VALUE"""),"Computers&amp;Accessories|Accessories&amp;Peripherals|Cables&amp;Accessories|Cables|USBCables")</f>
        <v>Computers&amp;Accessories|Accessories&amp;Peripherals|Cables&amp;Accessories|Cables|USBCables</v>
      </c>
      <c r="M584" s="23">
        <f>IFERROR(__xludf.DUMMYFUNCTION("""COMPUTED_VALUE"""),199.0)</f>
        <v>199</v>
      </c>
      <c r="N584" s="23">
        <f>IFERROR(__xludf.DUMMYFUNCTION("""COMPUTED_VALUE"""),395.0)</f>
        <v>395</v>
      </c>
      <c r="O584" s="24">
        <f>IFERROR(__xludf.DUMMYFUNCTION("""COMPUTED_VALUE"""),0.5)</f>
        <v>0.5</v>
      </c>
      <c r="P584" s="17">
        <f>IFERROR(__xludf.DUMMYFUNCTION("""COMPUTED_VALUE"""),4.2)</f>
        <v>4.2</v>
      </c>
      <c r="Q584" s="25">
        <f>IFERROR(__xludf.DUMMYFUNCTION("""COMPUTED_VALUE"""),92595.0)</f>
        <v>92595</v>
      </c>
    </row>
    <row r="585">
      <c r="A585" s="7" t="s">
        <v>616</v>
      </c>
      <c r="B585" s="7" t="s">
        <v>502</v>
      </c>
      <c r="C585" s="8">
        <v>2599.0</v>
      </c>
      <c r="D585" s="8">
        <v>6999.0</v>
      </c>
      <c r="E585" s="19">
        <v>0.63</v>
      </c>
      <c r="F585" s="10">
        <v>4.5</v>
      </c>
      <c r="G585" s="11">
        <v>1526.0</v>
      </c>
      <c r="K585" s="17" t="str">
        <f>IFERROR(__xludf.DUMMYFUNCTION("""COMPUTED_VALUE"""),"Logitech M331 Silent Plus Wireless Mouse, 2.4GHz with USB Nano Receiver, 1000 DPI Optical Tracking, 3 Buttons, 24 Month Life Battery, PC/Mac/Laptop - Black")</f>
        <v>Logitech M331 Silent Plus Wireless Mouse, 2.4GHz with USB Nano Receiver, 1000 DPI Optical Tracking, 3 Buttons, 24 Month Life Battery, PC/Mac/Laptop - Black</v>
      </c>
      <c r="L585" s="17" t="str">
        <f>IFERROR(__xludf.DUMMYFUNCTION("""COMPUTED_VALUE"""),"Computers&amp;Accessories|Accessories&amp;Peripherals|Keyboards,Mice&amp;InputDevices|Mice")</f>
        <v>Computers&amp;Accessories|Accessories&amp;Peripherals|Keyboards,Mice&amp;InputDevices|Mice</v>
      </c>
      <c r="M585" s="23">
        <f>IFERROR(__xludf.DUMMYFUNCTION("""COMPUTED_VALUE"""),1295.0)</f>
        <v>1295</v>
      </c>
      <c r="N585" s="23">
        <f>IFERROR(__xludf.DUMMYFUNCTION("""COMPUTED_VALUE"""),1645.0)</f>
        <v>1645</v>
      </c>
      <c r="O585" s="24">
        <f>IFERROR(__xludf.DUMMYFUNCTION("""COMPUTED_VALUE"""),0.21)</f>
        <v>0.21</v>
      </c>
      <c r="P585" s="17">
        <f>IFERROR(__xludf.DUMMYFUNCTION("""COMPUTED_VALUE"""),4.6)</f>
        <v>4.6</v>
      </c>
      <c r="Q585" s="25">
        <f>IFERROR(__xludf.DUMMYFUNCTION("""COMPUTED_VALUE"""),12375.0)</f>
        <v>12375</v>
      </c>
    </row>
    <row r="586">
      <c r="A586" s="7" t="s">
        <v>617</v>
      </c>
      <c r="B586" s="7" t="s">
        <v>393</v>
      </c>
      <c r="C586" s="8">
        <v>365.0</v>
      </c>
      <c r="D586" s="8">
        <v>999.0</v>
      </c>
      <c r="E586" s="19">
        <v>0.63</v>
      </c>
      <c r="F586" s="10">
        <v>4.1</v>
      </c>
      <c r="G586" s="7" t="s">
        <v>618</v>
      </c>
      <c r="K586" s="17" t="str">
        <f>IFERROR(__xludf.DUMMYFUNCTION("""COMPUTED_VALUE"""),"Camel Artist Acrylic Color Box - 9ml Tubes, 12 Shades")</f>
        <v>Camel Artist Acrylic Color Box - 9ml Tubes, 12 Shades</v>
      </c>
      <c r="L586" s="17" t="str">
        <f>IFERROR(__xludf.DUMMYFUNCTION("""COMPUTED_VALUE"""),"Home&amp;Kitchen|CraftMaterials|PaintingMaterials|Paints")</f>
        <v>Home&amp;Kitchen|CraftMaterials|PaintingMaterials|Paints</v>
      </c>
      <c r="M586" s="23">
        <f>IFERROR(__xludf.DUMMYFUNCTION("""COMPUTED_VALUE"""),310.0)</f>
        <v>310</v>
      </c>
      <c r="N586" s="23">
        <f>IFERROR(__xludf.DUMMYFUNCTION("""COMPUTED_VALUE"""),310.0)</f>
        <v>310</v>
      </c>
      <c r="O586" s="24">
        <f>IFERROR(__xludf.DUMMYFUNCTION("""COMPUTED_VALUE"""),0.0)</f>
        <v>0</v>
      </c>
      <c r="P586" s="17">
        <f>IFERROR(__xludf.DUMMYFUNCTION("""COMPUTED_VALUE"""),4.5)</f>
        <v>4.5</v>
      </c>
      <c r="Q586" s="25">
        <f>IFERROR(__xludf.DUMMYFUNCTION("""COMPUTED_VALUE"""),5882.0)</f>
        <v>5882</v>
      </c>
    </row>
    <row r="587">
      <c r="A587" s="7" t="s">
        <v>619</v>
      </c>
      <c r="B587" s="7" t="s">
        <v>393</v>
      </c>
      <c r="C587" s="8">
        <v>1499.0</v>
      </c>
      <c r="D587" s="8">
        <v>4490.0</v>
      </c>
      <c r="E587" s="19">
        <v>0.67</v>
      </c>
      <c r="F587" s="10">
        <v>3.9</v>
      </c>
      <c r="G587" s="7" t="s">
        <v>620</v>
      </c>
      <c r="K587" s="17" t="str">
        <f>IFERROR(__xludf.DUMMYFUNCTION("""COMPUTED_VALUE"""),"LIRAMARK Webcam Cover Slide, Ultra Thin Laptop Camera Cover Slide Blocker for Computer MacBook Pro iMac PC Tablet (Pack of 3)")</f>
        <v>LIRAMARK Webcam Cover Slide, Ultra Thin Laptop Camera Cover Slide Blocker for Computer MacBook Pro iMac PC Tablet (Pack of 3)</v>
      </c>
      <c r="L587" s="17" t="str">
        <f>IFERROR(__xludf.DUMMYFUNCTION("""COMPUTED_VALUE"""),"Computers&amp;Accessories|Accessories&amp;Peripherals|LaptopAccessories|CameraPrivacyCovers")</f>
        <v>Computers&amp;Accessories|Accessories&amp;Peripherals|LaptopAccessories|CameraPrivacyCovers</v>
      </c>
      <c r="M587" s="23">
        <f>IFERROR(__xludf.DUMMYFUNCTION("""COMPUTED_VALUE"""),149.0)</f>
        <v>149</v>
      </c>
      <c r="N587" s="23">
        <f>IFERROR(__xludf.DUMMYFUNCTION("""COMPUTED_VALUE"""),149.0)</f>
        <v>149</v>
      </c>
      <c r="O587" s="24">
        <f>IFERROR(__xludf.DUMMYFUNCTION("""COMPUTED_VALUE"""),0.0)</f>
        <v>0</v>
      </c>
      <c r="P587" s="17">
        <f>IFERROR(__xludf.DUMMYFUNCTION("""COMPUTED_VALUE"""),4.3)</f>
        <v>4.3</v>
      </c>
      <c r="Q587" s="25">
        <f>IFERROR(__xludf.DUMMYFUNCTION("""COMPUTED_VALUE"""),10833.0)</f>
        <v>10833</v>
      </c>
    </row>
    <row r="588">
      <c r="A588" s="7" t="s">
        <v>374</v>
      </c>
      <c r="B588" s="7" t="s">
        <v>373</v>
      </c>
      <c r="C588" s="8">
        <v>1998.0</v>
      </c>
      <c r="D588" s="8">
        <v>9999.0</v>
      </c>
      <c r="E588" s="19">
        <v>0.8</v>
      </c>
      <c r="F588" s="10">
        <v>4.3</v>
      </c>
      <c r="G588" s="11">
        <v>27709.0</v>
      </c>
      <c r="K588" s="17" t="str">
        <f>IFERROR(__xludf.DUMMYFUNCTION("""COMPUTED_VALUE"""),"Portronics Key2 Combo Multimedia USB Wireless Keyboard and Mouse Set with 2.4 GHz Wireless Technology, Soft &amp; Silent Button, Compact Size (Grey)")</f>
        <v>Portronics Key2 Combo Multimedia USB Wireless Keyboard and Mouse Set with 2.4 GHz Wireless Technology, Soft &amp; Silent Button, Compact Size (Grey)</v>
      </c>
      <c r="L588" s="17" t="str">
        <f>IFERROR(__xludf.DUMMYFUNCTION("""COMPUTED_VALUE"""),"Computers&amp;Accessories|Accessories&amp;Peripherals|Keyboards,Mice&amp;InputDevices|Keyboard&amp;MouseSets")</f>
        <v>Computers&amp;Accessories|Accessories&amp;Peripherals|Keyboards,Mice&amp;InputDevices|Keyboard&amp;MouseSets</v>
      </c>
      <c r="M588" s="23">
        <f>IFERROR(__xludf.DUMMYFUNCTION("""COMPUTED_VALUE"""),1149.0)</f>
        <v>1149</v>
      </c>
      <c r="N588" s="23">
        <f>IFERROR(__xludf.DUMMYFUNCTION("""COMPUTED_VALUE"""),1499.0)</f>
        <v>1499</v>
      </c>
      <c r="O588" s="24">
        <f>IFERROR(__xludf.DUMMYFUNCTION("""COMPUTED_VALUE"""),0.23)</f>
        <v>0.23</v>
      </c>
      <c r="P588" s="17">
        <f>IFERROR(__xludf.DUMMYFUNCTION("""COMPUTED_VALUE"""),4.1)</f>
        <v>4.1</v>
      </c>
      <c r="Q588" s="25">
        <f>IFERROR(__xludf.DUMMYFUNCTION("""COMPUTED_VALUE"""),10443.0)</f>
        <v>10443</v>
      </c>
    </row>
    <row r="589">
      <c r="A589" s="7" t="s">
        <v>375</v>
      </c>
      <c r="B589" s="7" t="s">
        <v>373</v>
      </c>
      <c r="C589" s="8">
        <v>1799.0</v>
      </c>
      <c r="D589" s="8">
        <v>7990.0</v>
      </c>
      <c r="E589" s="19">
        <v>0.77</v>
      </c>
      <c r="F589" s="10">
        <v>3.8</v>
      </c>
      <c r="G589" s="11">
        <v>17833.0</v>
      </c>
      <c r="K589" s="17" t="str">
        <f>IFERROR(__xludf.DUMMYFUNCTION("""COMPUTED_VALUE"""),"SupCares Laptop Stand 7 Height Adjustable, Aluminium, Ventilated, Foldable, Portable Laptop Holder for Desk &amp; Table Mount Upto 15.6 inch Laptop with Carry Pouch (Silver)")</f>
        <v>SupCares Laptop Stand 7 Height Adjustable, Aluminium, Ventilated, Foldable, Portable Laptop Holder for Desk &amp; Table Mount Upto 15.6 inch Laptop with Carry Pouch (Silver)</v>
      </c>
      <c r="L589" s="17" t="str">
        <f>IFERROR(__xludf.DUMMYFUNCTION("""COMPUTED_VALUE"""),"Computers&amp;Accessories|Accessories&amp;Peripherals|LaptopAccessories|Lapdesks")</f>
        <v>Computers&amp;Accessories|Accessories&amp;Peripherals|LaptopAccessories|Lapdesks</v>
      </c>
      <c r="M589" s="23">
        <f>IFERROR(__xludf.DUMMYFUNCTION("""COMPUTED_VALUE"""),499.0)</f>
        <v>499</v>
      </c>
      <c r="N589" s="23">
        <f>IFERROR(__xludf.DUMMYFUNCTION("""COMPUTED_VALUE"""),1299.0)</f>
        <v>1299</v>
      </c>
      <c r="O589" s="24">
        <f>IFERROR(__xludf.DUMMYFUNCTION("""COMPUTED_VALUE"""),0.62)</f>
        <v>0.62</v>
      </c>
      <c r="P589" s="17">
        <f>IFERROR(__xludf.DUMMYFUNCTION("""COMPUTED_VALUE"""),4.5)</f>
        <v>4.5</v>
      </c>
      <c r="Q589" s="17">
        <f>IFERROR(__xludf.DUMMYFUNCTION("""COMPUTED_VALUE"""),434.0)</f>
        <v>434</v>
      </c>
    </row>
    <row r="590">
      <c r="A590" s="7" t="s">
        <v>621</v>
      </c>
      <c r="B590" s="7" t="s">
        <v>622</v>
      </c>
      <c r="C590" s="8">
        <v>289.0</v>
      </c>
      <c r="D590" s="8">
        <v>650.0</v>
      </c>
      <c r="E590" s="19">
        <v>0.56</v>
      </c>
      <c r="F590" s="10">
        <v>4.3</v>
      </c>
      <c r="G590" s="7" t="s">
        <v>623</v>
      </c>
      <c r="K590" s="17" t="str">
        <f>IFERROR(__xludf.DUMMYFUNCTION("""COMPUTED_VALUE"""),"Western Digital WD Green SATA 240GB Internal SSD Solid State Drive - SATA 6Gb/s 2.5 inches - WDS240G3G0A")</f>
        <v>Western Digital WD Green SATA 240GB Internal SSD Solid State Drive - SATA 6Gb/s 2.5 inches - WDS240G3G0A</v>
      </c>
      <c r="L590" s="17" t="str">
        <f>IFERROR(__xludf.DUMMYFUNCTION("""COMPUTED_VALUE"""),"Computers&amp;Accessories|Components|InternalSolidStateDrives")</f>
        <v>Computers&amp;Accessories|Components|InternalSolidStateDrives</v>
      </c>
      <c r="M590" s="23">
        <f>IFERROR(__xludf.DUMMYFUNCTION("""COMPUTED_VALUE"""),1709.0)</f>
        <v>1709</v>
      </c>
      <c r="N590" s="23">
        <f>IFERROR(__xludf.DUMMYFUNCTION("""COMPUTED_VALUE"""),4000.0)</f>
        <v>4000</v>
      </c>
      <c r="O590" s="24">
        <f>IFERROR(__xludf.DUMMYFUNCTION("""COMPUTED_VALUE"""),0.57)</f>
        <v>0.57</v>
      </c>
      <c r="P590" s="17">
        <f>IFERROR(__xludf.DUMMYFUNCTION("""COMPUTED_VALUE"""),4.4)</f>
        <v>4.4</v>
      </c>
      <c r="Q590" s="25">
        <f>IFERROR(__xludf.DUMMYFUNCTION("""COMPUTED_VALUE"""),3029.0)</f>
        <v>3029</v>
      </c>
    </row>
    <row r="591">
      <c r="A591" s="7" t="s">
        <v>624</v>
      </c>
      <c r="B591" s="7" t="s">
        <v>625</v>
      </c>
      <c r="C591" s="8">
        <v>599.0</v>
      </c>
      <c r="D591" s="8">
        <v>895.0</v>
      </c>
      <c r="E591" s="19">
        <v>0.33</v>
      </c>
      <c r="F591" s="10">
        <v>4.4</v>
      </c>
      <c r="G591" s="11">
        <v>61314.0</v>
      </c>
      <c r="K591" s="17" t="str">
        <f>IFERROR(__xludf.DUMMYFUNCTION("""COMPUTED_VALUE"""),"Classmate Octane Neon- 25 Blue Gel Pens | Smooth Writing Pens| Water-proof Ink For Smudge-free Writing| Preferred By Students For Exam &amp; Class Notes| Study At Home Essential")</f>
        <v>Classmate Octane Neon- 25 Blue Gel Pens | Smooth Writing Pens| Water-proof Ink For Smudge-free Writing| Preferred By Students For Exam &amp; Class Notes| Study At Home Essential</v>
      </c>
      <c r="L591" s="17" t="str">
        <f>IFERROR(__xludf.DUMMYFUNCTION("""COMPUTED_VALUE"""),"OfficeProducts|OfficePaperProducts|Paper|Stationery|Pens,Pencils&amp;WritingSupplies|Pens&amp;Refills|GelInkRollerballPens")</f>
        <v>OfficeProducts|OfficePaperProducts|Paper|Stationery|Pens,Pencils&amp;WritingSupplies|Pens&amp;Refills|GelInkRollerballPens</v>
      </c>
      <c r="M591" s="23">
        <f>IFERROR(__xludf.DUMMYFUNCTION("""COMPUTED_VALUE"""),250.0)</f>
        <v>250</v>
      </c>
      <c r="N591" s="23">
        <f>IFERROR(__xludf.DUMMYFUNCTION("""COMPUTED_VALUE"""),250.0)</f>
        <v>250</v>
      </c>
      <c r="O591" s="24">
        <f>IFERROR(__xludf.DUMMYFUNCTION("""COMPUTED_VALUE"""),0.0)</f>
        <v>0</v>
      </c>
      <c r="P591" s="17">
        <f>IFERROR(__xludf.DUMMYFUNCTION("""COMPUTED_VALUE"""),4.2)</f>
        <v>4.2</v>
      </c>
      <c r="Q591" s="25">
        <f>IFERROR(__xludf.DUMMYFUNCTION("""COMPUTED_VALUE"""),2628.0)</f>
        <v>2628</v>
      </c>
    </row>
    <row r="592">
      <c r="A592" s="7" t="s">
        <v>626</v>
      </c>
      <c r="B592" s="7" t="s">
        <v>627</v>
      </c>
      <c r="C592" s="8">
        <v>217.0</v>
      </c>
      <c r="D592" s="8">
        <v>237.0</v>
      </c>
      <c r="E592" s="19">
        <v>0.08</v>
      </c>
      <c r="F592" s="10">
        <v>3.8</v>
      </c>
      <c r="G592" s="11">
        <v>7354.0</v>
      </c>
      <c r="K592" s="17" t="str">
        <f>IFERROR(__xludf.DUMMYFUNCTION("""COMPUTED_VALUE"""),"TP-Link AC600 600 Mbps WiFi Wireless Network USB Adapter for Desktop PC with 2.4GHz/5GHz High Gain Dual Band 5dBi Antenna Wi-Fi, Supports Windows 11/10/8.1/8/7/XP, Mac OS 10.15 and earlier (Archer T2U Plus)")</f>
        <v>TP-Link AC600 600 Mbps WiFi Wireless Network USB Adapter for Desktop PC with 2.4GHz/5GHz High Gain Dual Band 5dBi Antenna Wi-Fi, Supports Windows 11/10/8.1/8/7/XP, Mac OS 10.15 and earlier (Archer T2U Plus)</v>
      </c>
      <c r="L592" s="17" t="str">
        <f>IFERROR(__xludf.DUMMYFUNCTION("""COMPUTED_VALUE"""),"Computers&amp;Accessories|NetworkingDevices|NetworkAdapters|WirelessUSBAdapters")</f>
        <v>Computers&amp;Accessories|NetworkingDevices|NetworkAdapters|WirelessUSBAdapters</v>
      </c>
      <c r="M592" s="23">
        <f>IFERROR(__xludf.DUMMYFUNCTION("""COMPUTED_VALUE"""),1199.0)</f>
        <v>1199</v>
      </c>
      <c r="N592" s="23">
        <f>IFERROR(__xludf.DUMMYFUNCTION("""COMPUTED_VALUE"""),2199.0)</f>
        <v>2199</v>
      </c>
      <c r="O592" s="24">
        <f>IFERROR(__xludf.DUMMYFUNCTION("""COMPUTED_VALUE"""),0.45)</f>
        <v>0.45</v>
      </c>
      <c r="P592" s="17">
        <f>IFERROR(__xludf.DUMMYFUNCTION("""COMPUTED_VALUE"""),4.4)</f>
        <v>4.4</v>
      </c>
      <c r="Q592" s="25">
        <f>IFERROR(__xludf.DUMMYFUNCTION("""COMPUTED_VALUE"""),24780.0)</f>
        <v>24780</v>
      </c>
    </row>
    <row r="593">
      <c r="A593" s="7" t="s">
        <v>628</v>
      </c>
      <c r="B593" s="7" t="s">
        <v>393</v>
      </c>
      <c r="C593" s="8">
        <v>1299.0</v>
      </c>
      <c r="D593" s="8">
        <v>2990.0</v>
      </c>
      <c r="E593" s="19">
        <v>0.57</v>
      </c>
      <c r="F593" s="10">
        <v>3.8</v>
      </c>
      <c r="G593" s="7" t="s">
        <v>629</v>
      </c>
      <c r="K593" s="17" t="str">
        <f>IFERROR(__xludf.DUMMYFUNCTION("""COMPUTED_VALUE"""),"Classmate Octane Colour Burst-Multicolour Gel Pens (Pack of 10) | Gold &amp; Silver Glitter Sparkle Pens|10 colour ink shades for art lovers and kids|Fun at home essentials")</f>
        <v>Classmate Octane Colour Burst-Multicolour Gel Pens (Pack of 10) | Gold &amp; Silver Glitter Sparkle Pens|10 colour ink shades for art lovers and kids|Fun at home essentials</v>
      </c>
      <c r="L593" s="17" t="str">
        <f>IFERROR(__xludf.DUMMYFUNCTION("""COMPUTED_VALUE"""),"Home&amp;Kitchen|CraftMaterials|DrawingMaterials|DrawingMedia|Pens")</f>
        <v>Home&amp;Kitchen|CraftMaterials|DrawingMaterials|DrawingMedia|Pens</v>
      </c>
      <c r="M593" s="23">
        <f>IFERROR(__xludf.DUMMYFUNCTION("""COMPUTED_VALUE"""),90.0)</f>
        <v>90</v>
      </c>
      <c r="N593" s="23">
        <f>IFERROR(__xludf.DUMMYFUNCTION("""COMPUTED_VALUE"""),100.0)</f>
        <v>100</v>
      </c>
      <c r="O593" s="24">
        <f>IFERROR(__xludf.DUMMYFUNCTION("""COMPUTED_VALUE"""),0.1)</f>
        <v>0.1</v>
      </c>
      <c r="P593" s="17">
        <f>IFERROR(__xludf.DUMMYFUNCTION("""COMPUTED_VALUE"""),4.4)</f>
        <v>4.4</v>
      </c>
      <c r="Q593" s="25">
        <f>IFERROR(__xludf.DUMMYFUNCTION("""COMPUTED_VALUE"""),10718.0)</f>
        <v>10718</v>
      </c>
    </row>
    <row r="594">
      <c r="A594" s="7" t="s">
        <v>630</v>
      </c>
      <c r="B594" s="7" t="s">
        <v>631</v>
      </c>
      <c r="C594" s="8">
        <v>263.0</v>
      </c>
      <c r="D594" s="8">
        <v>699.0</v>
      </c>
      <c r="E594" s="19">
        <v>0.62</v>
      </c>
      <c r="F594" s="10">
        <v>3.5</v>
      </c>
      <c r="G594" s="10">
        <v>690.0</v>
      </c>
      <c r="K594" s="17" t="str">
        <f>IFERROR(__xludf.DUMMYFUNCTION("""COMPUTED_VALUE"""),"Tukzer Stylus Pen, iPad Pencil with Palm Rejection Tilt Sensor| 2nd Gen for 2018-2022 iPad 6/7/8/9th Gen; iPad 10.2"", Pro 12.9/11"", Mini 6/5th, Air 5/4/3rd, Precise for Writing/Drawing (3 Spare Tips)")</f>
        <v>Tukzer Stylus Pen, iPad Pencil with Palm Rejection Tilt Sensor| 2nd Gen for 2018-2022 iPad 6/7/8/9th Gen; iPad 10.2", Pro 12.9/11", Mini 6/5th, Air 5/4/3rd, Precise for Writing/Drawing (3 Spare Tips)</v>
      </c>
      <c r="L594" s="17" t="str">
        <f>IFERROR(__xludf.DUMMYFUNCTION("""COMPUTED_VALUE"""),"Electronics|Mobiles&amp;Accessories|MobileAccessories|StylusPens")</f>
        <v>Electronics|Mobiles&amp;Accessories|MobileAccessories|StylusPens</v>
      </c>
      <c r="M594" s="23">
        <f>IFERROR(__xludf.DUMMYFUNCTION("""COMPUTED_VALUE"""),2025.0)</f>
        <v>2025</v>
      </c>
      <c r="N594" s="23">
        <f>IFERROR(__xludf.DUMMYFUNCTION("""COMPUTED_VALUE"""),5999.0)</f>
        <v>5999</v>
      </c>
      <c r="O594" s="24">
        <f>IFERROR(__xludf.DUMMYFUNCTION("""COMPUTED_VALUE"""),0.66)</f>
        <v>0.66</v>
      </c>
      <c r="P594" s="17">
        <f>IFERROR(__xludf.DUMMYFUNCTION("""COMPUTED_VALUE"""),4.2)</f>
        <v>4.2</v>
      </c>
      <c r="Q594" s="25">
        <f>IFERROR(__xludf.DUMMYFUNCTION("""COMPUTED_VALUE"""),6233.0)</f>
        <v>6233</v>
      </c>
    </row>
    <row r="595">
      <c r="A595" s="7" t="s">
        <v>385</v>
      </c>
      <c r="B595" s="7" t="s">
        <v>386</v>
      </c>
      <c r="C595" s="8">
        <v>569.0</v>
      </c>
      <c r="D595" s="8">
        <v>1000.0</v>
      </c>
      <c r="E595" s="19">
        <v>0.43</v>
      </c>
      <c r="F595" s="10">
        <v>4.4</v>
      </c>
      <c r="G595" s="11">
        <v>67262.0</v>
      </c>
      <c r="K595" s="17" t="str">
        <f>IFERROR(__xludf.DUMMYFUNCTION("""COMPUTED_VALUE"""),"Logitech G102 USB Light Sync Gaming Mouse with Customizable RGB Lighting, 6 Programmable Buttons, Gaming Grade Sensor, 8K DPI Tracking, 16.8mn Color, Light Weight - Black")</f>
        <v>Logitech G102 USB Light Sync Gaming Mouse with Customizable RGB Lighting, 6 Programmable Buttons, Gaming Grade Sensor, 8K DPI Tracking, 16.8mn Color, Light Weight - Black</v>
      </c>
      <c r="L595" s="17" t="str">
        <f>IFERROR(__xludf.DUMMYFUNCTION("""COMPUTED_VALUE"""),"Computers&amp;Accessories|Accessories&amp;Peripherals|PCGamingPeripherals|GamingMice")</f>
        <v>Computers&amp;Accessories|Accessories&amp;Peripherals|PCGamingPeripherals|GamingMice</v>
      </c>
      <c r="M595" s="23">
        <f>IFERROR(__xludf.DUMMYFUNCTION("""COMPUTED_VALUE"""),1495.0)</f>
        <v>1495</v>
      </c>
      <c r="N595" s="23">
        <f>IFERROR(__xludf.DUMMYFUNCTION("""COMPUTED_VALUE"""),1995.0)</f>
        <v>1995</v>
      </c>
      <c r="O595" s="24">
        <f>IFERROR(__xludf.DUMMYFUNCTION("""COMPUTED_VALUE"""),0.25)</f>
        <v>0.25</v>
      </c>
      <c r="P595" s="17">
        <f>IFERROR(__xludf.DUMMYFUNCTION("""COMPUTED_VALUE"""),4.5)</f>
        <v>4.5</v>
      </c>
      <c r="Q595" s="25">
        <f>IFERROR(__xludf.DUMMYFUNCTION("""COMPUTED_VALUE"""),10541.0)</f>
        <v>10541</v>
      </c>
    </row>
    <row r="596">
      <c r="A596" s="7" t="s">
        <v>387</v>
      </c>
      <c r="B596" s="7" t="s">
        <v>373</v>
      </c>
      <c r="C596" s="8">
        <v>1999.0</v>
      </c>
      <c r="D596" s="8">
        <v>4999.0</v>
      </c>
      <c r="E596" s="19">
        <v>0.6</v>
      </c>
      <c r="F596" s="10">
        <v>4.1</v>
      </c>
      <c r="G596" s="11">
        <v>10689.0</v>
      </c>
      <c r="K596" s="17" t="str">
        <f>IFERROR(__xludf.DUMMYFUNCTION("""COMPUTED_VALUE"""),"AmazonBasics New Release Nylon USB-A to Lightning Cable Cord, Fast Charging MFi Certified Charger for Apple iPhone, iPad (6-Ft, Rose Gold)")</f>
        <v>AmazonBasics New Release Nylon USB-A to Lightning Cable Cord, Fast Charging MFi Certified Charger for Apple iPhone, iPad (6-Ft, Rose Gold)</v>
      </c>
      <c r="L596" s="17" t="str">
        <f>IFERROR(__xludf.DUMMYFUNCTION("""COMPUTED_VALUE"""),"Computers&amp;Accessories|Accessories&amp;Peripherals|Cables&amp;Accessories|Cables|USBCables")</f>
        <v>Computers&amp;Accessories|Accessories&amp;Peripherals|Cables&amp;Accessories|Cables|USBCables</v>
      </c>
      <c r="M596" s="23">
        <f>IFERROR(__xludf.DUMMYFUNCTION("""COMPUTED_VALUE"""),799.0)</f>
        <v>799</v>
      </c>
      <c r="N596" s="23">
        <f>IFERROR(__xludf.DUMMYFUNCTION("""COMPUTED_VALUE"""),2100.0)</f>
        <v>2100</v>
      </c>
      <c r="O596" s="24">
        <f>IFERROR(__xludf.DUMMYFUNCTION("""COMPUTED_VALUE"""),0.62)</f>
        <v>0.62</v>
      </c>
      <c r="P596" s="17">
        <f>IFERROR(__xludf.DUMMYFUNCTION("""COMPUTED_VALUE"""),4.3)</f>
        <v>4.3</v>
      </c>
      <c r="Q596" s="25">
        <f>IFERROR(__xludf.DUMMYFUNCTION("""COMPUTED_VALUE"""),8188.0)</f>
        <v>8188</v>
      </c>
    </row>
    <row r="597">
      <c r="A597" s="7" t="s">
        <v>632</v>
      </c>
      <c r="B597" s="7" t="s">
        <v>393</v>
      </c>
      <c r="C597" s="8">
        <v>1399.0</v>
      </c>
      <c r="D597" s="8">
        <v>3990.0</v>
      </c>
      <c r="E597" s="19">
        <v>0.65</v>
      </c>
      <c r="F597" s="10">
        <v>4.1</v>
      </c>
      <c r="G597" s="7" t="s">
        <v>633</v>
      </c>
      <c r="K597" s="17" t="str">
        <f>IFERROR(__xludf.DUMMYFUNCTION("""COMPUTED_VALUE"""),"Qubo Smart Cam 360 from Hero Group | Made in India | 2MP 1080p Full HD | CCTV Wi-Fi Camera | 360 Degree Coverage| Two Way Talk | Mobile App Connectivity | Night Vision | Cloud &amp; SD Card Recording")</f>
        <v>Qubo Smart Cam 360 from Hero Group | Made in India | 2MP 1080p Full HD | CCTV Wi-Fi Camera | 360 Degree Coverage| Two Way Talk | Mobile App Connectivity | Night Vision | Cloud &amp; SD Card Recording</v>
      </c>
      <c r="L597" s="17" t="str">
        <f>IFERROR(__xludf.DUMMYFUNCTION("""COMPUTED_VALUE"""),"Electronics|Cameras&amp;Photography|SecurityCameras|DomeCameras")</f>
        <v>Electronics|Cameras&amp;Photography|SecurityCameras|DomeCameras</v>
      </c>
      <c r="M597" s="23">
        <f>IFERROR(__xludf.DUMMYFUNCTION("""COMPUTED_VALUE"""),2490.0)</f>
        <v>2490</v>
      </c>
      <c r="N597" s="23">
        <f>IFERROR(__xludf.DUMMYFUNCTION("""COMPUTED_VALUE"""),3990.0)</f>
        <v>3990</v>
      </c>
      <c r="O597" s="24">
        <f>IFERROR(__xludf.DUMMYFUNCTION("""COMPUTED_VALUE"""),0.38)</f>
        <v>0.38</v>
      </c>
      <c r="P597" s="17">
        <f>IFERROR(__xludf.DUMMYFUNCTION("""COMPUTED_VALUE"""),4.1)</f>
        <v>4.1</v>
      </c>
      <c r="Q597" s="25">
        <f>IFERROR(__xludf.DUMMYFUNCTION("""COMPUTED_VALUE"""),3606.0)</f>
        <v>3606</v>
      </c>
    </row>
    <row r="598">
      <c r="A598" s="7" t="s">
        <v>634</v>
      </c>
      <c r="B598" s="7" t="s">
        <v>635</v>
      </c>
      <c r="C598" s="8">
        <v>349.0</v>
      </c>
      <c r="D598" s="8">
        <v>1499.0</v>
      </c>
      <c r="E598" s="19">
        <v>0.77</v>
      </c>
      <c r="F598" s="10">
        <v>4.3</v>
      </c>
      <c r="G598" s="11">
        <v>24791.0</v>
      </c>
      <c r="K598" s="17" t="str">
        <f>IFERROR(__xludf.DUMMYFUNCTION("""COMPUTED_VALUE"""),"Duracell CR2025 3V Lithium Coin Battery, 5 pcs, 2025 Coin Button Cell Battery, DL2025")</f>
        <v>Duracell CR2025 3V Lithium Coin Battery, 5 pcs, 2025 Coin Button Cell Battery, DL2025</v>
      </c>
      <c r="L598" s="17" t="str">
        <f>IFERROR(__xludf.DUMMYFUNCTION("""COMPUTED_VALUE"""),"Electronics|GeneralPurposeBatteries&amp;BatteryChargers")</f>
        <v>Electronics|GeneralPurposeBatteries&amp;BatteryChargers</v>
      </c>
      <c r="M598" s="23">
        <f>IFERROR(__xludf.DUMMYFUNCTION("""COMPUTED_VALUE"""),116.0)</f>
        <v>116</v>
      </c>
      <c r="N598" s="23">
        <f>IFERROR(__xludf.DUMMYFUNCTION("""COMPUTED_VALUE"""),200.0)</f>
        <v>200</v>
      </c>
      <c r="O598" s="24">
        <f>IFERROR(__xludf.DUMMYFUNCTION("""COMPUTED_VALUE"""),0.42)</f>
        <v>0.42</v>
      </c>
      <c r="P598" s="17">
        <f>IFERROR(__xludf.DUMMYFUNCTION("""COMPUTED_VALUE"""),4.4)</f>
        <v>4.4</v>
      </c>
      <c r="Q598" s="17">
        <f>IFERROR(__xludf.DUMMYFUNCTION("""COMPUTED_VALUE"""),357.0)</f>
        <v>357</v>
      </c>
    </row>
    <row r="599">
      <c r="A599" s="7" t="s">
        <v>636</v>
      </c>
      <c r="B599" s="7" t="s">
        <v>393</v>
      </c>
      <c r="C599" s="8">
        <v>149.0</v>
      </c>
      <c r="D599" s="8">
        <v>399.0</v>
      </c>
      <c r="E599" s="19">
        <v>0.63</v>
      </c>
      <c r="F599" s="10">
        <v>3.5</v>
      </c>
      <c r="G599" s="11">
        <v>21764.0</v>
      </c>
      <c r="K599" s="17" t="str">
        <f>IFERROR(__xludf.DUMMYFUNCTION("""COMPUTED_VALUE"""),"Camel Fabrica Acrylic Ultra Color - 15ml each, 10 Shades")</f>
        <v>Camel Fabrica Acrylic Ultra Color - 15ml each, 10 Shades</v>
      </c>
      <c r="L599" s="17" t="str">
        <f>IFERROR(__xludf.DUMMYFUNCTION("""COMPUTED_VALUE"""),"Home&amp;Kitchen|CraftMaterials|PaintingMaterials|Paints")</f>
        <v>Home&amp;Kitchen|CraftMaterials|PaintingMaterials|Paints</v>
      </c>
      <c r="M599" s="23">
        <f>IFERROR(__xludf.DUMMYFUNCTION("""COMPUTED_VALUE"""),200.0)</f>
        <v>200</v>
      </c>
      <c r="N599" s="23">
        <f>IFERROR(__xludf.DUMMYFUNCTION("""COMPUTED_VALUE"""),230.0)</f>
        <v>230</v>
      </c>
      <c r="O599" s="24">
        <f>IFERROR(__xludf.DUMMYFUNCTION("""COMPUTED_VALUE"""),0.13)</f>
        <v>0.13</v>
      </c>
      <c r="P599" s="17">
        <f>IFERROR(__xludf.DUMMYFUNCTION("""COMPUTED_VALUE"""),4.4)</f>
        <v>4.4</v>
      </c>
      <c r="Q599" s="25">
        <f>IFERROR(__xludf.DUMMYFUNCTION("""COMPUTED_VALUE"""),10170.0)</f>
        <v>10170</v>
      </c>
    </row>
    <row r="600">
      <c r="A600" s="7" t="s">
        <v>392</v>
      </c>
      <c r="B600" s="7" t="s">
        <v>393</v>
      </c>
      <c r="C600" s="8">
        <v>599.0</v>
      </c>
      <c r="D600" s="8">
        <v>999.0</v>
      </c>
      <c r="E600" s="19">
        <v>0.4</v>
      </c>
      <c r="F600" s="10">
        <v>4.1</v>
      </c>
      <c r="G600" s="7" t="s">
        <v>637</v>
      </c>
      <c r="K600" s="17" t="str">
        <f>IFERROR(__xludf.DUMMYFUNCTION("""COMPUTED_VALUE"""),"Lenovo GX20L29764 65W Laptop Adapter/Charger with Power Cord for Select Models of Lenovo (Round pin) (Black)")</f>
        <v>Lenovo GX20L29764 65W Laptop Adapter/Charger with Power Cord for Select Models of Lenovo (Round pin) (Black)</v>
      </c>
      <c r="L600" s="17" t="str">
        <f>IFERROR(__xludf.DUMMYFUNCTION("""COMPUTED_VALUE"""),"Computers&amp;Accessories|Accessories&amp;Peripherals|LaptopAccessories|LaptopChargers&amp;PowerSupplies")</f>
        <v>Computers&amp;Accessories|Accessories&amp;Peripherals|LaptopAccessories|LaptopChargers&amp;PowerSupplies</v>
      </c>
      <c r="M600" s="23">
        <f>IFERROR(__xludf.DUMMYFUNCTION("""COMPUTED_VALUE"""),1249.0)</f>
        <v>1249</v>
      </c>
      <c r="N600" s="23">
        <f>IFERROR(__xludf.DUMMYFUNCTION("""COMPUTED_VALUE"""),2796.0)</f>
        <v>2796</v>
      </c>
      <c r="O600" s="24">
        <f>IFERROR(__xludf.DUMMYFUNCTION("""COMPUTED_VALUE"""),0.55)</f>
        <v>0.55</v>
      </c>
      <c r="P600" s="17">
        <f>IFERROR(__xludf.DUMMYFUNCTION("""COMPUTED_VALUE"""),4.4)</f>
        <v>4.4</v>
      </c>
      <c r="Q600" s="25">
        <f>IFERROR(__xludf.DUMMYFUNCTION("""COMPUTED_VALUE"""),4598.0)</f>
        <v>4598</v>
      </c>
    </row>
    <row r="601">
      <c r="A601" s="7" t="s">
        <v>638</v>
      </c>
      <c r="B601" s="7" t="s">
        <v>572</v>
      </c>
      <c r="C601" s="8">
        <v>1220.0</v>
      </c>
      <c r="D601" s="8">
        <v>3990.0</v>
      </c>
      <c r="E601" s="19">
        <v>0.69</v>
      </c>
      <c r="F601" s="10">
        <v>4.1</v>
      </c>
      <c r="G601" s="7" t="s">
        <v>639</v>
      </c>
      <c r="K601" s="17" t="str">
        <f>IFERROR(__xludf.DUMMYFUNCTION("""COMPUTED_VALUE"""),"Redragon K617 Fizz 60% Wired RGB Gaming Keyboard, 61 Keys Compact Mechanical Keyboard w/White and Grey Color Keycaps, Linear Red Switch, Pro Driver/Software Supported")</f>
        <v>Redragon K617 Fizz 60% Wired RGB Gaming Keyboard, 61 Keys Compact Mechanical Keyboard w/White and Grey Color Keycaps, Linear Red Switch, Pro Driver/Software Supported</v>
      </c>
      <c r="L601" s="17" t="str">
        <f>IFERROR(__xludf.DUMMYFUNCTION("""COMPUTED_VALUE"""),"Computers&amp;Accessories|Accessories&amp;Peripherals|PCGamingPeripherals|GamingKeyboards")</f>
        <v>Computers&amp;Accessories|Accessories&amp;Peripherals|PCGamingPeripherals|GamingKeyboards</v>
      </c>
      <c r="M601" s="23">
        <f>IFERROR(__xludf.DUMMYFUNCTION("""COMPUTED_VALUE"""),2649.0)</f>
        <v>2649</v>
      </c>
      <c r="N601" s="23">
        <f>IFERROR(__xludf.DUMMYFUNCTION("""COMPUTED_VALUE"""),3499.0)</f>
        <v>3499</v>
      </c>
      <c r="O601" s="24">
        <f>IFERROR(__xludf.DUMMYFUNCTION("""COMPUTED_VALUE"""),0.24)</f>
        <v>0.24</v>
      </c>
      <c r="P601" s="17">
        <f>IFERROR(__xludf.DUMMYFUNCTION("""COMPUTED_VALUE"""),4.5)</f>
        <v>4.5</v>
      </c>
      <c r="Q601" s="25">
        <f>IFERROR(__xludf.DUMMYFUNCTION("""COMPUTED_VALUE"""),1271.0)</f>
        <v>1271</v>
      </c>
    </row>
    <row r="602">
      <c r="A602" s="7" t="s">
        <v>391</v>
      </c>
      <c r="B602" s="7" t="s">
        <v>373</v>
      </c>
      <c r="C602" s="8">
        <v>1499.0</v>
      </c>
      <c r="D602" s="8">
        <v>6990.0</v>
      </c>
      <c r="E602" s="19">
        <v>0.79</v>
      </c>
      <c r="F602" s="10">
        <v>3.9</v>
      </c>
      <c r="G602" s="11">
        <v>21797.0</v>
      </c>
      <c r="K602" s="17" t="str">
        <f>IFERROR(__xludf.DUMMYFUNCTION("""COMPUTED_VALUE"""),"Ambrane Unbreakable 3A Fast Charging Braided Type C Cable    1.5 Meter (RCT15, Blue) Supports QC 2.0/3.0 Charging")</f>
        <v>Ambrane Unbreakable 3A Fast Charging Braided Type C Cable    1.5 Meter (RCT15, Blue) Supports QC 2.0/3.0 Charging</v>
      </c>
      <c r="L602" s="17" t="str">
        <f>IFERROR(__xludf.DUMMYFUNCTION("""COMPUTED_VALUE"""),"Computers&amp;Accessories|Accessories&amp;Peripherals|Cables&amp;Accessories|Cables|USBCables")</f>
        <v>Computers&amp;Accessories|Accessories&amp;Peripherals|Cables&amp;Accessories|Cables|USBCables</v>
      </c>
      <c r="M602" s="23">
        <f>IFERROR(__xludf.DUMMYFUNCTION("""COMPUTED_VALUE"""),199.0)</f>
        <v>199</v>
      </c>
      <c r="N602" s="23">
        <f>IFERROR(__xludf.DUMMYFUNCTION("""COMPUTED_VALUE"""),349.0)</f>
        <v>349</v>
      </c>
      <c r="O602" s="24">
        <f>IFERROR(__xludf.DUMMYFUNCTION("""COMPUTED_VALUE"""),0.43)</f>
        <v>0.43</v>
      </c>
      <c r="P602" s="17">
        <f>IFERROR(__xludf.DUMMYFUNCTION("""COMPUTED_VALUE"""),4.1)</f>
        <v>4.1</v>
      </c>
      <c r="Q602" s="17">
        <f>IFERROR(__xludf.DUMMYFUNCTION("""COMPUTED_VALUE"""),314.0)</f>
        <v>314</v>
      </c>
    </row>
    <row r="603">
      <c r="A603" s="7" t="s">
        <v>640</v>
      </c>
      <c r="B603" s="7" t="s">
        <v>393</v>
      </c>
      <c r="C603" s="8">
        <v>499.0</v>
      </c>
      <c r="D603" s="8">
        <v>999.0</v>
      </c>
      <c r="E603" s="19">
        <v>0.5</v>
      </c>
      <c r="F603" s="10">
        <v>3.9</v>
      </c>
      <c r="G603" s="11">
        <v>92995.0</v>
      </c>
      <c r="K603" s="17" t="str">
        <f>IFERROR(__xludf.DUMMYFUNCTION("""COMPUTED_VALUE"""),"HP GT 53 XL Cartridge Ink")</f>
        <v>HP GT 53 XL Cartridge Ink</v>
      </c>
      <c r="L603" s="17" t="str">
        <f>IFERROR(__xludf.DUMMYFUNCTION("""COMPUTED_VALUE"""),"Computers&amp;Accessories|Printers,Inks&amp;Accessories|Inks,Toners&amp;Cartridges|InkjetInkCartridges")</f>
        <v>Computers&amp;Accessories|Printers,Inks&amp;Accessories|Inks,Toners&amp;Cartridges|InkjetInkCartridges</v>
      </c>
      <c r="M603" s="23">
        <f>IFERROR(__xludf.DUMMYFUNCTION("""COMPUTED_VALUE"""),596.0)</f>
        <v>596</v>
      </c>
      <c r="N603" s="23">
        <f>IFERROR(__xludf.DUMMYFUNCTION("""COMPUTED_VALUE"""),723.0)</f>
        <v>723</v>
      </c>
      <c r="O603" s="24">
        <f>IFERROR(__xludf.DUMMYFUNCTION("""COMPUTED_VALUE"""),0.18)</f>
        <v>0.18</v>
      </c>
      <c r="P603" s="17">
        <f>IFERROR(__xludf.DUMMYFUNCTION("""COMPUTED_VALUE"""),4.4)</f>
        <v>4.4</v>
      </c>
      <c r="Q603" s="25">
        <f>IFERROR(__xludf.DUMMYFUNCTION("""COMPUTED_VALUE"""),3219.0)</f>
        <v>3219</v>
      </c>
    </row>
    <row r="604">
      <c r="A604" s="7" t="s">
        <v>641</v>
      </c>
      <c r="B604" s="7" t="s">
        <v>454</v>
      </c>
      <c r="C604" s="8">
        <v>99.0</v>
      </c>
      <c r="D604" s="8">
        <v>999.0</v>
      </c>
      <c r="E604" s="19">
        <v>0.9</v>
      </c>
      <c r="F604" s="10">
        <v>4.1</v>
      </c>
      <c r="G604" s="11">
        <v>8751.0</v>
      </c>
      <c r="K604" s="17" t="str">
        <f>IFERROR(__xludf.DUMMYFUNCTION("""COMPUTED_VALUE"""),"Noise ColorFit Ultra Smart Watch with 1.75"" HD Display, Aluminium Alloy Body, 60 Sports Modes, Spo2, Lightweight, Stock Market Info, Calls &amp; SMS Reply (Space Blue)")</f>
        <v>Noise ColorFit Ultra Smart Watch with 1.75" HD Display, Aluminium Alloy Body, 60 Sports Modes, Spo2, Lightweight, Stock Market Info, Calls &amp; SMS Reply (Space Blue)</v>
      </c>
      <c r="L604" s="17" t="str">
        <f>IFERROR(__xludf.DUMMYFUNCTION("""COMPUTED_VALUE"""),"Electronics|WearableTechnology|SmartWatches")</f>
        <v>Electronics|WearableTechnology|SmartWatches</v>
      </c>
      <c r="M604" s="23">
        <f>IFERROR(__xludf.DUMMYFUNCTION("""COMPUTED_VALUE"""),2499.0)</f>
        <v>2499</v>
      </c>
      <c r="N604" s="23">
        <f>IFERROR(__xludf.DUMMYFUNCTION("""COMPUTED_VALUE"""),5999.0)</f>
        <v>5999</v>
      </c>
      <c r="O604" s="24">
        <f>IFERROR(__xludf.DUMMYFUNCTION("""COMPUTED_VALUE"""),0.58)</f>
        <v>0.58</v>
      </c>
      <c r="P604" s="17">
        <f>IFERROR(__xludf.DUMMYFUNCTION("""COMPUTED_VALUE"""),4.1)</f>
        <v>4.1</v>
      </c>
      <c r="Q604" s="25">
        <f>IFERROR(__xludf.DUMMYFUNCTION("""COMPUTED_VALUE"""),38879.0)</f>
        <v>38879</v>
      </c>
    </row>
    <row r="605">
      <c r="A605" s="7" t="s">
        <v>398</v>
      </c>
      <c r="B605" s="7" t="s">
        <v>399</v>
      </c>
      <c r="C605" s="8">
        <v>349.0</v>
      </c>
      <c r="D605" s="8">
        <v>1299.0</v>
      </c>
      <c r="E605" s="19">
        <v>0.73</v>
      </c>
      <c r="F605" s="10">
        <v>4.0</v>
      </c>
      <c r="G605" s="11">
        <v>14283.0</v>
      </c>
      <c r="K605" s="17" t="str">
        <f>IFERROR(__xludf.DUMMYFUNCTION("""COMPUTED_VALUE"""),"Zebronics Zeb-JUKEBAR 3900, 80W Multimedia soundbar with subwoofer Supporting Bluetooth, HDMI(ARC), Coaxial Input, AUX, USB &amp; Remote Control (Black)")</f>
        <v>Zebronics Zeb-JUKEBAR 3900, 80W Multimedia soundbar with subwoofer Supporting Bluetooth, HDMI(ARC), Coaxial Input, AUX, USB &amp; Remote Control (Black)</v>
      </c>
      <c r="L605" s="17" t="str">
        <f>IFERROR(__xludf.DUMMYFUNCTION("""COMPUTED_VALUE"""),"Electronics|HomeAudio|Speakers|SoundbarSpeakers")</f>
        <v>Electronics|HomeAudio|Speakers|SoundbarSpeakers</v>
      </c>
      <c r="M605" s="23">
        <f>IFERROR(__xludf.DUMMYFUNCTION("""COMPUTED_VALUE"""),4999.0)</f>
        <v>4999</v>
      </c>
      <c r="N605" s="23">
        <f>IFERROR(__xludf.DUMMYFUNCTION("""COMPUTED_VALUE"""),12499.0)</f>
        <v>12499</v>
      </c>
      <c r="O605" s="24">
        <f>IFERROR(__xludf.DUMMYFUNCTION("""COMPUTED_VALUE"""),0.6)</f>
        <v>0.6</v>
      </c>
      <c r="P605" s="17">
        <f>IFERROR(__xludf.DUMMYFUNCTION("""COMPUTED_VALUE"""),4.2)</f>
        <v>4.2</v>
      </c>
      <c r="Q605" s="25">
        <f>IFERROR(__xludf.DUMMYFUNCTION("""COMPUTED_VALUE"""),4541.0)</f>
        <v>4541</v>
      </c>
    </row>
    <row r="606">
      <c r="A606" s="7" t="s">
        <v>642</v>
      </c>
      <c r="B606" s="7" t="s">
        <v>622</v>
      </c>
      <c r="C606" s="8">
        <v>475.0</v>
      </c>
      <c r="D606" s="8">
        <v>1500.0</v>
      </c>
      <c r="E606" s="19">
        <v>0.68</v>
      </c>
      <c r="F606" s="10">
        <v>4.2</v>
      </c>
      <c r="G606" s="11">
        <v>64273.0</v>
      </c>
      <c r="K606" s="17" t="str">
        <f>IFERROR(__xludf.DUMMYFUNCTION("""COMPUTED_VALUE"""),"boAt Bassheads 102 Wired in Ear Earphones with Mic (Mint Green)")</f>
        <v>boAt Bassheads 102 Wired in Ear Earphones with Mic (Mint Green)</v>
      </c>
      <c r="L606" s="17" t="str">
        <f>IFERROR(__xludf.DUMMYFUNCTION("""COMPUTED_VALUE"""),"Electronics|Headphones,Earbuds&amp;Accessories|Headphones|In-Ear")</f>
        <v>Electronics|Headphones,Earbuds&amp;Accessories|Headphones|In-Ear</v>
      </c>
      <c r="M606" s="23">
        <f>IFERROR(__xludf.DUMMYFUNCTION("""COMPUTED_VALUE"""),399.0)</f>
        <v>399</v>
      </c>
      <c r="N606" s="23">
        <f>IFERROR(__xludf.DUMMYFUNCTION("""COMPUTED_VALUE"""),1290.0)</f>
        <v>1290</v>
      </c>
      <c r="O606" s="24">
        <f>IFERROR(__xludf.DUMMYFUNCTION("""COMPUTED_VALUE"""),0.69)</f>
        <v>0.69</v>
      </c>
      <c r="P606" s="17">
        <f>IFERROR(__xludf.DUMMYFUNCTION("""COMPUTED_VALUE"""),4.2)</f>
        <v>4.2</v>
      </c>
      <c r="Q606" s="25">
        <f>IFERROR(__xludf.DUMMYFUNCTION("""COMPUTED_VALUE"""),76042.0)</f>
        <v>76042</v>
      </c>
    </row>
    <row r="607">
      <c r="A607" s="7" t="s">
        <v>643</v>
      </c>
      <c r="B607" s="7" t="s">
        <v>625</v>
      </c>
      <c r="C607" s="8">
        <v>269.0</v>
      </c>
      <c r="D607" s="8">
        <v>649.0</v>
      </c>
      <c r="E607" s="19">
        <v>0.59</v>
      </c>
      <c r="F607" s="10">
        <v>4.3</v>
      </c>
      <c r="G607" s="11">
        <v>54315.0</v>
      </c>
      <c r="K607" s="17" t="str">
        <f>IFERROR(__xludf.DUMMYFUNCTION("""COMPUTED_VALUE"""),"Duracell CR2016 3V Lithium Coin Battery, 5 pcs, 2016 Coin Button Cell Battery, DL2016")</f>
        <v>Duracell CR2016 3V Lithium Coin Battery, 5 pcs, 2016 Coin Button Cell Battery, DL2016</v>
      </c>
      <c r="L607" s="17" t="str">
        <f>IFERROR(__xludf.DUMMYFUNCTION("""COMPUTED_VALUE"""),"Electronics|GeneralPurposeBatteries&amp;BatteryChargers")</f>
        <v>Electronics|GeneralPurposeBatteries&amp;BatteryChargers</v>
      </c>
      <c r="M607" s="23">
        <f>IFERROR(__xludf.DUMMYFUNCTION("""COMPUTED_VALUE"""),116.0)</f>
        <v>116</v>
      </c>
      <c r="N607" s="23">
        <f>IFERROR(__xludf.DUMMYFUNCTION("""COMPUTED_VALUE"""),200.0)</f>
        <v>200</v>
      </c>
      <c r="O607" s="24">
        <f>IFERROR(__xludf.DUMMYFUNCTION("""COMPUTED_VALUE"""),0.42)</f>
        <v>0.42</v>
      </c>
      <c r="P607" s="17">
        <f>IFERROR(__xludf.DUMMYFUNCTION("""COMPUTED_VALUE"""),4.3)</f>
        <v>4.3</v>
      </c>
      <c r="Q607" s="17">
        <f>IFERROR(__xludf.DUMMYFUNCTION("""COMPUTED_VALUE"""),485.0)</f>
        <v>485</v>
      </c>
    </row>
    <row r="608">
      <c r="A608" s="7" t="s">
        <v>644</v>
      </c>
      <c r="B608" s="7" t="s">
        <v>625</v>
      </c>
      <c r="C608" s="8">
        <v>299.0</v>
      </c>
      <c r="D608" s="8">
        <v>599.0</v>
      </c>
      <c r="E608" s="19">
        <v>0.5</v>
      </c>
      <c r="F608" s="10">
        <v>4.1</v>
      </c>
      <c r="G608" s="11">
        <v>1597.0</v>
      </c>
      <c r="K608" s="17" t="str">
        <f>IFERROR(__xludf.DUMMYFUNCTION("""COMPUTED_VALUE"""),"MI 360° Home Security Wireless Camera 2K Pro with Bluetooth Gateway BLE 4.2 l Dual Band Wi-fi Connection l 3 Million 1296p| Full Color in Low-Light | AI Human Detection, White")</f>
        <v>MI 360° Home Security Wireless Camera 2K Pro with Bluetooth Gateway BLE 4.2 l Dual Band Wi-fi Connection l 3 Million 1296p| Full Color in Low-Light | AI Human Detection, White</v>
      </c>
      <c r="L608" s="17" t="str">
        <f>IFERROR(__xludf.DUMMYFUNCTION("""COMPUTED_VALUE"""),"Electronics|Cameras&amp;Photography|SecurityCameras|DomeCameras")</f>
        <v>Electronics|Cameras&amp;Photography|SecurityCameras|DomeCameras</v>
      </c>
      <c r="M608" s="23">
        <f>IFERROR(__xludf.DUMMYFUNCTION("""COMPUTED_VALUE"""),4499.0)</f>
        <v>4499</v>
      </c>
      <c r="N608" s="23">
        <f>IFERROR(__xludf.DUMMYFUNCTION("""COMPUTED_VALUE"""),5999.0)</f>
        <v>5999</v>
      </c>
      <c r="O608" s="24">
        <f>IFERROR(__xludf.DUMMYFUNCTION("""COMPUTED_VALUE"""),0.25)</f>
        <v>0.25</v>
      </c>
      <c r="P608" s="17">
        <f>IFERROR(__xludf.DUMMYFUNCTION("""COMPUTED_VALUE"""),4.3)</f>
        <v>4.3</v>
      </c>
      <c r="Q608" s="25">
        <f>IFERROR(__xludf.DUMMYFUNCTION("""COMPUTED_VALUE"""),44696.0)</f>
        <v>44696</v>
      </c>
    </row>
    <row r="609">
      <c r="A609" s="7" t="s">
        <v>410</v>
      </c>
      <c r="B609" s="7" t="s">
        <v>373</v>
      </c>
      <c r="C609" s="8">
        <v>1599.0</v>
      </c>
      <c r="D609" s="8">
        <v>3999.0</v>
      </c>
      <c r="E609" s="19">
        <v>0.6</v>
      </c>
      <c r="F609" s="10">
        <v>4.0</v>
      </c>
      <c r="G609" s="11">
        <v>30254.0</v>
      </c>
      <c r="K609" s="17" t="str">
        <f>IFERROR(__xludf.DUMMYFUNCTION("""COMPUTED_VALUE"""),"ESR Screen Protector Compatible with iPad Pro 11 Inch (2022/2021/2020/2018) and iPad Air 5/4 (2022/2020, 10.9 Inch), Tempered-Glass Film with Alignment Frame, Scratch Resistant, HD Clarity, 2 Pack")</f>
        <v>ESR Screen Protector Compatible with iPad Pro 11 Inch (2022/2021/2020/2018) and iPad Air 5/4 (2022/2020, 10.9 Inch), Tempered-Glass Film with Alignment Frame, Scratch Resistant, HD Clarity, 2 Pack</v>
      </c>
      <c r="L609" s="17" t="str">
        <f>IFERROR(__xludf.DUMMYFUNCTION("""COMPUTED_VALUE"""),"Computers&amp;Accessories|Accessories&amp;Peripherals|TabletAccessories|ScreenProtectors")</f>
        <v>Computers&amp;Accessories|Accessories&amp;Peripherals|TabletAccessories|ScreenProtectors</v>
      </c>
      <c r="M609" s="23">
        <f>IFERROR(__xludf.DUMMYFUNCTION("""COMPUTED_VALUE"""),1234.0)</f>
        <v>1234</v>
      </c>
      <c r="N609" s="23">
        <f>IFERROR(__xludf.DUMMYFUNCTION("""COMPUTED_VALUE"""),1599.0)</f>
        <v>1599</v>
      </c>
      <c r="O609" s="24">
        <f>IFERROR(__xludf.DUMMYFUNCTION("""COMPUTED_VALUE"""),0.23)</f>
        <v>0.23</v>
      </c>
      <c r="P609" s="17">
        <f>IFERROR(__xludf.DUMMYFUNCTION("""COMPUTED_VALUE"""),4.5)</f>
        <v>4.5</v>
      </c>
      <c r="Q609" s="25">
        <f>IFERROR(__xludf.DUMMYFUNCTION("""COMPUTED_VALUE"""),16680.0)</f>
        <v>16680</v>
      </c>
    </row>
    <row r="610">
      <c r="A610" s="7" t="s">
        <v>411</v>
      </c>
      <c r="B610" s="7" t="s">
        <v>373</v>
      </c>
      <c r="C610" s="8">
        <v>1499.0</v>
      </c>
      <c r="D610" s="8">
        <v>7999.0</v>
      </c>
      <c r="E610" s="19">
        <v>0.81</v>
      </c>
      <c r="F610" s="10">
        <v>4.2</v>
      </c>
      <c r="G610" s="11">
        <v>22638.0</v>
      </c>
      <c r="K610" s="17" t="str">
        <f>IFERROR(__xludf.DUMMYFUNCTION("""COMPUTED_VALUE"""),"boAt Rockerz 400 Bluetooth On Ear Headphones With Mic With Upto 8 Hours Playback &amp; Soft Padded Ear Cushions(Grey/Green)")</f>
        <v>boAt Rockerz 400 Bluetooth On Ear Headphones With Mic With Upto 8 Hours Playback &amp; Soft Padded Ear Cushions(Grey/Green)</v>
      </c>
      <c r="L610" s="17" t="str">
        <f>IFERROR(__xludf.DUMMYFUNCTION("""COMPUTED_VALUE"""),"Electronics|Headphones,Earbuds&amp;Accessories|Headphones|On-Ear")</f>
        <v>Electronics|Headphones,Earbuds&amp;Accessories|Headphones|On-Ear</v>
      </c>
      <c r="M610" s="23">
        <f>IFERROR(__xludf.DUMMYFUNCTION("""COMPUTED_VALUE"""),1399.0)</f>
        <v>1399</v>
      </c>
      <c r="N610" s="23">
        <f>IFERROR(__xludf.DUMMYFUNCTION("""COMPUTED_VALUE"""),2990.0)</f>
        <v>2990</v>
      </c>
      <c r="O610" s="24">
        <f>IFERROR(__xludf.DUMMYFUNCTION("""COMPUTED_VALUE"""),0.53)</f>
        <v>0.53</v>
      </c>
      <c r="P610" s="17">
        <f>IFERROR(__xludf.DUMMYFUNCTION("""COMPUTED_VALUE"""),4.1)</f>
        <v>4.1</v>
      </c>
      <c r="Q610" s="25">
        <f>IFERROR(__xludf.DUMMYFUNCTION("""COMPUTED_VALUE"""),97174.0)</f>
        <v>97174</v>
      </c>
    </row>
    <row r="611">
      <c r="A611" s="7" t="s">
        <v>645</v>
      </c>
      <c r="B611" s="7" t="s">
        <v>393</v>
      </c>
      <c r="C611" s="8">
        <v>329.0</v>
      </c>
      <c r="D611" s="8">
        <v>999.0</v>
      </c>
      <c r="E611" s="19">
        <v>0.67</v>
      </c>
      <c r="F611" s="10">
        <v>3.9</v>
      </c>
      <c r="G611" s="11">
        <v>77027.0</v>
      </c>
      <c r="K611" s="17" t="str">
        <f>IFERROR(__xludf.DUMMYFUNCTION("""COMPUTED_VALUE"""),"Samsung 24-inch(60.46cm) FHD Monitor, IPS, 75 Hz, Bezel Less Design, AMD FreeSync, Flicker Free, HDMI, D-sub, (LF24T350FHWXXL, Dark Blue Gray)")</f>
        <v>Samsung 24-inch(60.46cm) FHD Monitor, IPS, 75 Hz, Bezel Less Design, AMD FreeSync, Flicker Free, HDMI, D-sub, (LF24T350FHWXXL, Dark Blue Gray)</v>
      </c>
      <c r="L611" s="17" t="str">
        <f>IFERROR(__xludf.DUMMYFUNCTION("""COMPUTED_VALUE"""),"Computers&amp;Accessories|Monitors")</f>
        <v>Computers&amp;Accessories|Monitors</v>
      </c>
      <c r="M611" s="23">
        <f>IFERROR(__xludf.DUMMYFUNCTION("""COMPUTED_VALUE"""),10099.0)</f>
        <v>10099</v>
      </c>
      <c r="N611" s="23">
        <f>IFERROR(__xludf.DUMMYFUNCTION("""COMPUTED_VALUE"""),19110.0)</f>
        <v>19110</v>
      </c>
      <c r="O611" s="24">
        <f>IFERROR(__xludf.DUMMYFUNCTION("""COMPUTED_VALUE"""),0.47)</f>
        <v>0.47</v>
      </c>
      <c r="P611" s="17">
        <f>IFERROR(__xludf.DUMMYFUNCTION("""COMPUTED_VALUE"""),4.3)</f>
        <v>4.3</v>
      </c>
      <c r="Q611" s="25">
        <f>IFERROR(__xludf.DUMMYFUNCTION("""COMPUTED_VALUE"""),2623.0)</f>
        <v>2623</v>
      </c>
    </row>
    <row r="612">
      <c r="A612" s="7" t="s">
        <v>646</v>
      </c>
      <c r="B612" s="7" t="s">
        <v>647</v>
      </c>
      <c r="C612" s="8">
        <v>549.0</v>
      </c>
      <c r="D612" s="8">
        <v>1799.0</v>
      </c>
      <c r="E612" s="19">
        <v>0.69</v>
      </c>
      <c r="F612" s="10">
        <v>4.3</v>
      </c>
      <c r="G612" s="11">
        <v>28829.0</v>
      </c>
      <c r="K612" s="17" t="str">
        <f>IFERROR(__xludf.DUMMYFUNCTION("""COMPUTED_VALUE"""),"AirCase Protective Laptop Bag Sleeve fits Upto 14.1"" Laptop/ MacBook, Wrinkle Free, Padded, Waterproof Light Neoprene case Cover Pouch, for Men &amp; Women, Black- 6 Months Warranty")</f>
        <v>AirCase Protective Laptop Bag Sleeve fits Upto 14.1" Laptop/ MacBook, Wrinkle Free, Padded, Waterproof Light Neoprene case Cover Pouch, for Men &amp; Women, Black- 6 Months Warranty</v>
      </c>
      <c r="L612" s="17" t="str">
        <f>IFERROR(__xludf.DUMMYFUNCTION("""COMPUTED_VALUE"""),"Computers&amp;Accessories|Accessories&amp;Peripherals|LaptopAccessories|Bags&amp;Sleeves|LaptopSleeves&amp;Slipcases")</f>
        <v>Computers&amp;Accessories|Accessories&amp;Peripherals|LaptopAccessories|Bags&amp;Sleeves|LaptopSleeves&amp;Slipcases</v>
      </c>
      <c r="M612" s="23">
        <f>IFERROR(__xludf.DUMMYFUNCTION("""COMPUTED_VALUE"""),449.0)</f>
        <v>449</v>
      </c>
      <c r="N612" s="23">
        <f>IFERROR(__xludf.DUMMYFUNCTION("""COMPUTED_VALUE"""),999.0)</f>
        <v>999</v>
      </c>
      <c r="O612" s="24">
        <f>IFERROR(__xludf.DUMMYFUNCTION("""COMPUTED_VALUE"""),0.55)</f>
        <v>0.55</v>
      </c>
      <c r="P612" s="17">
        <f>IFERROR(__xludf.DUMMYFUNCTION("""COMPUTED_VALUE"""),4.3)</f>
        <v>4.3</v>
      </c>
      <c r="Q612" s="25">
        <f>IFERROR(__xludf.DUMMYFUNCTION("""COMPUTED_VALUE"""),9701.0)</f>
        <v>9701</v>
      </c>
    </row>
    <row r="613">
      <c r="A613" s="7" t="s">
        <v>415</v>
      </c>
      <c r="B613" s="7" t="s">
        <v>373</v>
      </c>
      <c r="C613" s="8">
        <v>2199.0</v>
      </c>
      <c r="D613" s="8">
        <v>9999.0</v>
      </c>
      <c r="E613" s="19">
        <v>0.78</v>
      </c>
      <c r="F613" s="10">
        <v>4.2</v>
      </c>
      <c r="G613" s="11">
        <v>29478.0</v>
      </c>
      <c r="K613" s="17" t="str">
        <f>IFERROR(__xludf.DUMMYFUNCTION("""COMPUTED_VALUE"""),"Faber-Castell Connector Pen Set - Pack of 25 (Assorted)")</f>
        <v>Faber-Castell Connector Pen Set - Pack of 25 (Assorted)</v>
      </c>
      <c r="L613" s="17" t="str">
        <f>IFERROR(__xludf.DUMMYFUNCTION("""COMPUTED_VALUE"""),"Toys&amp;Games|Arts&amp;Crafts|Drawing&amp;PaintingSupplies|ColouringPens&amp;Markers")</f>
        <v>Toys&amp;Games|Arts&amp;Crafts|Drawing&amp;PaintingSupplies|ColouringPens&amp;Markers</v>
      </c>
      <c r="M613" s="23">
        <f>IFERROR(__xludf.DUMMYFUNCTION("""COMPUTED_VALUE"""),150.0)</f>
        <v>150</v>
      </c>
      <c r="N613" s="23">
        <f>IFERROR(__xludf.DUMMYFUNCTION("""COMPUTED_VALUE"""),150.0)</f>
        <v>150</v>
      </c>
      <c r="O613" s="24">
        <f>IFERROR(__xludf.DUMMYFUNCTION("""COMPUTED_VALUE"""),0.0)</f>
        <v>0</v>
      </c>
      <c r="P613" s="17">
        <f>IFERROR(__xludf.DUMMYFUNCTION("""COMPUTED_VALUE"""),4.3)</f>
        <v>4.3</v>
      </c>
      <c r="Q613" s="25">
        <f>IFERROR(__xludf.DUMMYFUNCTION("""COMPUTED_VALUE"""),15867.0)</f>
        <v>15867</v>
      </c>
    </row>
    <row r="614">
      <c r="A614" s="7" t="s">
        <v>648</v>
      </c>
      <c r="B614" s="7" t="s">
        <v>625</v>
      </c>
      <c r="C614" s="8">
        <v>299.0</v>
      </c>
      <c r="D614" s="8">
        <v>650.0</v>
      </c>
      <c r="E614" s="19">
        <v>0.54</v>
      </c>
      <c r="F614" s="10">
        <v>4.5</v>
      </c>
      <c r="G614" s="11">
        <v>33176.0</v>
      </c>
      <c r="K614" s="17" t="str">
        <f>IFERROR(__xludf.DUMMYFUNCTION("""COMPUTED_VALUE"""),"Wecool Unbreakable 3 in 1 Charging Cable with 3A Speed, Fast Charging Multi Purpose Cable 1.25 Mtr Long, Type C cable, Micro Usb Cable and Cable for iPhone, White")</f>
        <v>Wecool Unbreakable 3 in 1 Charging Cable with 3A Speed, Fast Charging Multi Purpose Cable 1.25 Mtr Long, Type C cable, Micro Usb Cable and Cable for iPhone, White</v>
      </c>
      <c r="L614" s="17" t="str">
        <f>IFERROR(__xludf.DUMMYFUNCTION("""COMPUTED_VALUE"""),"Computers&amp;Accessories|Accessories&amp;Peripherals|Cables&amp;Accessories|Cables|USBCables")</f>
        <v>Computers&amp;Accessories|Accessories&amp;Peripherals|Cables&amp;Accessories|Cables|USBCables</v>
      </c>
      <c r="M614" s="23">
        <f>IFERROR(__xludf.DUMMYFUNCTION("""COMPUTED_VALUE"""),348.0)</f>
        <v>348</v>
      </c>
      <c r="N614" s="23">
        <f>IFERROR(__xludf.DUMMYFUNCTION("""COMPUTED_VALUE"""),1499.0)</f>
        <v>1499</v>
      </c>
      <c r="O614" s="24">
        <f>IFERROR(__xludf.DUMMYFUNCTION("""COMPUTED_VALUE"""),0.77)</f>
        <v>0.77</v>
      </c>
      <c r="P614" s="17">
        <f>IFERROR(__xludf.DUMMYFUNCTION("""COMPUTED_VALUE"""),4.2)</f>
        <v>4.2</v>
      </c>
      <c r="Q614" s="17">
        <f>IFERROR(__xludf.DUMMYFUNCTION("""COMPUTED_VALUE"""),656.0)</f>
        <v>656</v>
      </c>
    </row>
    <row r="615">
      <c r="A615" s="7" t="s">
        <v>649</v>
      </c>
      <c r="B615" s="7" t="s">
        <v>650</v>
      </c>
      <c r="C615" s="8">
        <v>798.0</v>
      </c>
      <c r="D615" s="8">
        <v>1995.0</v>
      </c>
      <c r="E615" s="19">
        <v>0.6</v>
      </c>
      <c r="F615" s="10">
        <v>4.0</v>
      </c>
      <c r="G615" s="11">
        <v>68664.0</v>
      </c>
      <c r="K615" s="17" t="str">
        <f>IFERROR(__xludf.DUMMYFUNCTION("""COMPUTED_VALUE"""),"Zinq UPS for Router, Mini UPS for 12V WiFi Router Broadband Modem with Upto 4 Hours Power Backup, Upto 2Amp, Works with Existing Adapter, Also Works with Set-top Box, Smart Camera, CCTV (Black)")</f>
        <v>Zinq UPS for Router, Mini UPS for 12V WiFi Router Broadband Modem with Upto 4 Hours Power Backup, Upto 2Amp, Works with Existing Adapter, Also Works with Set-top Box, Smart Camera, CCTV (Black)</v>
      </c>
      <c r="L615" s="17" t="str">
        <f>IFERROR(__xludf.DUMMYFUNCTION("""COMPUTED_VALUE"""),"Computers&amp;Accessories|NetworkingDevices|Routers")</f>
        <v>Computers&amp;Accessories|NetworkingDevices|Routers</v>
      </c>
      <c r="M615" s="23">
        <f>IFERROR(__xludf.DUMMYFUNCTION("""COMPUTED_VALUE"""),1199.0)</f>
        <v>1199</v>
      </c>
      <c r="N615" s="23">
        <f>IFERROR(__xludf.DUMMYFUNCTION("""COMPUTED_VALUE"""),2999.0)</f>
        <v>2999</v>
      </c>
      <c r="O615" s="24">
        <f>IFERROR(__xludf.DUMMYFUNCTION("""COMPUTED_VALUE"""),0.6)</f>
        <v>0.6</v>
      </c>
      <c r="P615" s="17">
        <f>IFERROR(__xludf.DUMMYFUNCTION("""COMPUTED_VALUE"""),4.1)</f>
        <v>4.1</v>
      </c>
      <c r="Q615" s="25">
        <f>IFERROR(__xludf.DUMMYFUNCTION("""COMPUTED_VALUE"""),10725.0)</f>
        <v>10725</v>
      </c>
    </row>
    <row r="616">
      <c r="A616" s="7" t="s">
        <v>14</v>
      </c>
      <c r="B616" s="7" t="s">
        <v>15</v>
      </c>
      <c r="C616" s="8">
        <v>399.0</v>
      </c>
      <c r="D616" s="8">
        <v>1099.0</v>
      </c>
      <c r="E616" s="19">
        <v>0.64</v>
      </c>
      <c r="F616" s="10">
        <v>4.2</v>
      </c>
      <c r="G616" s="11">
        <v>24269.0</v>
      </c>
      <c r="K616" s="17" t="str">
        <f>IFERROR(__xludf.DUMMYFUNCTION("""COMPUTED_VALUE"""),"Portronics Konnect L 1.2Mtr, Fast Charging 3A Micro USB Cable with Charge &amp; Sync Function (Grey)")</f>
        <v>Portronics Konnect L 1.2Mtr, Fast Charging 3A Micro USB Cable with Charge &amp; Sync Function (Grey)</v>
      </c>
      <c r="L616" s="17" t="str">
        <f>IFERROR(__xludf.DUMMYFUNCTION("""COMPUTED_VALUE"""),"Computers&amp;Accessories|Accessories&amp;Peripherals|Cables&amp;Accessories|Cables|USBCables")</f>
        <v>Computers&amp;Accessories|Accessories&amp;Peripherals|Cables&amp;Accessories|Cables|USBCables</v>
      </c>
      <c r="M616" s="23">
        <f>IFERROR(__xludf.DUMMYFUNCTION("""COMPUTED_VALUE"""),154.0)</f>
        <v>154</v>
      </c>
      <c r="N616" s="23">
        <f>IFERROR(__xludf.DUMMYFUNCTION("""COMPUTED_VALUE"""),349.0)</f>
        <v>349</v>
      </c>
      <c r="O616" s="24">
        <f>IFERROR(__xludf.DUMMYFUNCTION("""COMPUTED_VALUE"""),0.56)</f>
        <v>0.56</v>
      </c>
      <c r="P616" s="17">
        <f>IFERROR(__xludf.DUMMYFUNCTION("""COMPUTED_VALUE"""),4.3)</f>
        <v>4.3</v>
      </c>
      <c r="Q616" s="25">
        <f>IFERROR(__xludf.DUMMYFUNCTION("""COMPUTED_VALUE"""),7064.0)</f>
        <v>7064</v>
      </c>
    </row>
    <row r="617">
      <c r="A617" s="7" t="s">
        <v>651</v>
      </c>
      <c r="B617" s="7" t="s">
        <v>652</v>
      </c>
      <c r="C617" s="8">
        <v>266.0</v>
      </c>
      <c r="D617" s="8">
        <v>315.0</v>
      </c>
      <c r="E617" s="19">
        <v>0.16</v>
      </c>
      <c r="F617" s="10">
        <v>4.5</v>
      </c>
      <c r="G617" s="11">
        <v>28030.0</v>
      </c>
      <c r="K617" s="17" t="str">
        <f>IFERROR(__xludf.DUMMYFUNCTION("""COMPUTED_VALUE"""),"realme Buds Wireless in Ear Bluetooth Earphones with mic, 11.2mm Bass Boost Driver, Magnetic Fast Pair, Fast Charging and 12 Hrs Playtime (Yellow)")</f>
        <v>realme Buds Wireless in Ear Bluetooth Earphones with mic, 11.2mm Bass Boost Driver, Magnetic Fast Pair, Fast Charging and 12 Hrs Playtime (Yellow)</v>
      </c>
      <c r="L617" s="17" t="str">
        <f>IFERROR(__xludf.DUMMYFUNCTION("""COMPUTED_VALUE"""),"Electronics|Headphones,Earbuds&amp;Accessories|Headphones|In-Ear")</f>
        <v>Electronics|Headphones,Earbuds&amp;Accessories|Headphones|In-Ear</v>
      </c>
      <c r="M617" s="23">
        <f>IFERROR(__xludf.DUMMYFUNCTION("""COMPUTED_VALUE"""),1679.0)</f>
        <v>1679</v>
      </c>
      <c r="N617" s="23">
        <f>IFERROR(__xludf.DUMMYFUNCTION("""COMPUTED_VALUE"""),1999.0)</f>
        <v>1999</v>
      </c>
      <c r="O617" s="24">
        <f>IFERROR(__xludf.DUMMYFUNCTION("""COMPUTED_VALUE"""),0.16)</f>
        <v>0.16</v>
      </c>
      <c r="P617" s="17">
        <f>IFERROR(__xludf.DUMMYFUNCTION("""COMPUTED_VALUE"""),4.1)</f>
        <v>4.1</v>
      </c>
      <c r="Q617" s="25">
        <f>IFERROR(__xludf.DUMMYFUNCTION("""COMPUTED_VALUE"""),72563.0)</f>
        <v>72563</v>
      </c>
    </row>
    <row r="618">
      <c r="A618" s="7" t="s">
        <v>653</v>
      </c>
      <c r="B618" s="7" t="s">
        <v>654</v>
      </c>
      <c r="C618" s="8">
        <v>50.0</v>
      </c>
      <c r="D618" s="8">
        <v>50.0</v>
      </c>
      <c r="E618" s="19">
        <v>0.0</v>
      </c>
      <c r="F618" s="10">
        <v>4.3</v>
      </c>
      <c r="G618" s="11">
        <v>5792.0</v>
      </c>
      <c r="K618" s="17" t="str">
        <f>IFERROR(__xludf.DUMMYFUNCTION("""COMPUTED_VALUE"""),"Robustrion [Anti-Scratch] &amp; [Smudge Proof] [S Pen Compatible] Premium Tempered Glass Screen Protector for Samsung Tab S6 Lite 10.4 inch SM-P610/615 [Bubble Free]")</f>
        <v>Robustrion [Anti-Scratch] &amp; [Smudge Proof] [S Pen Compatible] Premium Tempered Glass Screen Protector for Samsung Tab S6 Lite 10.4 inch SM-P610/615 [Bubble Free]</v>
      </c>
      <c r="L618" s="17" t="str">
        <f>IFERROR(__xludf.DUMMYFUNCTION("""COMPUTED_VALUE"""),"Computers&amp;Accessories|Accessories&amp;Peripherals|TabletAccessories|ScreenProtectors")</f>
        <v>Computers&amp;Accessories|Accessories&amp;Peripherals|TabletAccessories|ScreenProtectors</v>
      </c>
      <c r="M618" s="23">
        <f>IFERROR(__xludf.DUMMYFUNCTION("""COMPUTED_VALUE"""),379.0)</f>
        <v>379</v>
      </c>
      <c r="N618" s="23">
        <f>IFERROR(__xludf.DUMMYFUNCTION("""COMPUTED_VALUE"""),1499.0)</f>
        <v>1499</v>
      </c>
      <c r="O618" s="24">
        <f>IFERROR(__xludf.DUMMYFUNCTION("""COMPUTED_VALUE"""),0.75)</f>
        <v>0.75</v>
      </c>
      <c r="P618" s="17">
        <f>IFERROR(__xludf.DUMMYFUNCTION("""COMPUTED_VALUE"""),4.2)</f>
        <v>4.2</v>
      </c>
      <c r="Q618" s="25">
        <f>IFERROR(__xludf.DUMMYFUNCTION("""COMPUTED_VALUE"""),4149.0)</f>
        <v>4149</v>
      </c>
    </row>
    <row r="619">
      <c r="A619" s="7" t="s">
        <v>655</v>
      </c>
      <c r="B619" s="7" t="s">
        <v>656</v>
      </c>
      <c r="C619" s="8">
        <v>130.0</v>
      </c>
      <c r="D619" s="8">
        <v>165.0</v>
      </c>
      <c r="E619" s="19">
        <v>0.21</v>
      </c>
      <c r="F619" s="10">
        <v>3.9</v>
      </c>
      <c r="G619" s="11">
        <v>14778.0</v>
      </c>
      <c r="K619" s="17" t="str">
        <f>IFERROR(__xludf.DUMMYFUNCTION("""COMPUTED_VALUE"""),"Cablet 2.5 Inch SATA USB 3.0 HDD/SSD Portable External Enclosure for 7mm and 9.5mm, Tool-Free Design, Supports UASP Max 6TB")</f>
        <v>Cablet 2.5 Inch SATA USB 3.0 HDD/SSD Portable External Enclosure for 7mm and 9.5mm, Tool-Free Design, Supports UASP Max 6TB</v>
      </c>
      <c r="L619" s="17" t="str">
        <f>IFERROR(__xludf.DUMMYFUNCTION("""COMPUTED_VALUE"""),"Computers&amp;Accessories|ExternalDevices&amp;DataStorage|ExternalHardDisks")</f>
        <v>Computers&amp;Accessories|ExternalDevices&amp;DataStorage|ExternalHardDisks</v>
      </c>
      <c r="M619" s="23">
        <f>IFERROR(__xludf.DUMMYFUNCTION("""COMPUTED_VALUE"""),499.0)</f>
        <v>499</v>
      </c>
      <c r="N619" s="23">
        <f>IFERROR(__xludf.DUMMYFUNCTION("""COMPUTED_VALUE"""),775.0)</f>
        <v>775</v>
      </c>
      <c r="O619" s="24">
        <f>IFERROR(__xludf.DUMMYFUNCTION("""COMPUTED_VALUE"""),0.36)</f>
        <v>0.36</v>
      </c>
      <c r="P619" s="17">
        <f>IFERROR(__xludf.DUMMYFUNCTION("""COMPUTED_VALUE"""),4.3)</f>
        <v>4.3</v>
      </c>
      <c r="Q619" s="17">
        <f>IFERROR(__xludf.DUMMYFUNCTION("""COMPUTED_VALUE"""),74.0)</f>
        <v>74</v>
      </c>
    </row>
    <row r="620">
      <c r="A620" s="7" t="s">
        <v>657</v>
      </c>
      <c r="B620" s="7" t="s">
        <v>393</v>
      </c>
      <c r="C620" s="8">
        <v>449.0</v>
      </c>
      <c r="D620" s="8">
        <v>1290.0</v>
      </c>
      <c r="E620" s="19">
        <v>0.65</v>
      </c>
      <c r="F620" s="10">
        <v>4.1</v>
      </c>
      <c r="G620" s="11">
        <v>91770.0</v>
      </c>
      <c r="K620" s="17" t="str">
        <f>IFERROR(__xludf.DUMMYFUNCTION("""COMPUTED_VALUE"""),"SanDisk 1TB Extreme Portable SSD 1050MB/s R, 1000MB/s W,Upto 2 Meter Drop Protection with IP55 Water/dust Resistance, HW Encryption, PC,MAC &amp; TypeC Smartphone Compatible, 5Y Warranty, External SSD")</f>
        <v>SanDisk 1TB Extreme Portable SSD 1050MB/s R, 1000MB/s W,Upto 2 Meter Drop Protection with IP55 Water/dust Resistance, HW Encryption, PC,MAC &amp; TypeC Smartphone Compatible, 5Y Warranty, External SSD</v>
      </c>
      <c r="L620" s="17" t="str">
        <f>IFERROR(__xludf.DUMMYFUNCTION("""COMPUTED_VALUE"""),"Computers&amp;Accessories|ExternalDevices&amp;DataStorage|ExternalSolidStateDrives")</f>
        <v>Computers&amp;Accessories|ExternalDevices&amp;DataStorage|ExternalSolidStateDrives</v>
      </c>
      <c r="M620" s="23">
        <f>IFERROR(__xludf.DUMMYFUNCTION("""COMPUTED_VALUE"""),10389.0)</f>
        <v>10389</v>
      </c>
      <c r="N620" s="23">
        <f>IFERROR(__xludf.DUMMYFUNCTION("""COMPUTED_VALUE"""),32000.0)</f>
        <v>32000</v>
      </c>
      <c r="O620" s="24">
        <f>IFERROR(__xludf.DUMMYFUNCTION("""COMPUTED_VALUE"""),0.68)</f>
        <v>0.68</v>
      </c>
      <c r="P620" s="17">
        <f>IFERROR(__xludf.DUMMYFUNCTION("""COMPUTED_VALUE"""),4.4)</f>
        <v>4.4</v>
      </c>
      <c r="Q620" s="25">
        <f>IFERROR(__xludf.DUMMYFUNCTION("""COMPUTED_VALUE"""),41398.0)</f>
        <v>41398</v>
      </c>
    </row>
    <row r="621">
      <c r="A621" s="7" t="s">
        <v>424</v>
      </c>
      <c r="B621" s="7" t="s">
        <v>373</v>
      </c>
      <c r="C621" s="8">
        <v>3999.0</v>
      </c>
      <c r="D621" s="8">
        <v>16999.0</v>
      </c>
      <c r="E621" s="19">
        <v>0.76</v>
      </c>
      <c r="F621" s="10">
        <v>4.3</v>
      </c>
      <c r="G621" s="11">
        <v>17162.0</v>
      </c>
      <c r="K621" s="17" t="str">
        <f>IFERROR(__xludf.DUMMYFUNCTION("""COMPUTED_VALUE"""),"ZEBRONICS Zeb-Warrior II 10 watts 2.0 Multimedia Speaker with RGB Lights, USB Powered, AUX Input, Volume Control Pod for PC, Laptops, Desktop")</f>
        <v>ZEBRONICS Zeb-Warrior II 10 watts 2.0 Multimedia Speaker with RGB Lights, USB Powered, AUX Input, Volume Control Pod for PC, Laptops, Desktop</v>
      </c>
      <c r="L621" s="17" t="str">
        <f>IFERROR(__xludf.DUMMYFUNCTION("""COMPUTED_VALUE"""),"Computers&amp;Accessories|Accessories&amp;Peripherals|Audio&amp;VideoAccessories|PCSpeakers")</f>
        <v>Computers&amp;Accessories|Accessories&amp;Peripherals|Audio&amp;VideoAccessories|PCSpeakers</v>
      </c>
      <c r="M621" s="23">
        <f>IFERROR(__xludf.DUMMYFUNCTION("""COMPUTED_VALUE"""),649.0)</f>
        <v>649</v>
      </c>
      <c r="N621" s="23">
        <f>IFERROR(__xludf.DUMMYFUNCTION("""COMPUTED_VALUE"""),1300.0)</f>
        <v>1300</v>
      </c>
      <c r="O621" s="24">
        <f>IFERROR(__xludf.DUMMYFUNCTION("""COMPUTED_VALUE"""),0.5)</f>
        <v>0.5</v>
      </c>
      <c r="P621" s="17">
        <f>IFERROR(__xludf.DUMMYFUNCTION("""COMPUTED_VALUE"""),4.1)</f>
        <v>4.1</v>
      </c>
      <c r="Q621" s="25">
        <f>IFERROR(__xludf.DUMMYFUNCTION("""COMPUTED_VALUE"""),5195.0)</f>
        <v>5195</v>
      </c>
    </row>
    <row r="622">
      <c r="A622" s="7" t="s">
        <v>658</v>
      </c>
      <c r="B622" s="7" t="s">
        <v>393</v>
      </c>
      <c r="C622" s="8">
        <v>399.0</v>
      </c>
      <c r="D622" s="8">
        <v>1290.0</v>
      </c>
      <c r="E622" s="19">
        <v>0.69</v>
      </c>
      <c r="F622" s="10">
        <v>4.2</v>
      </c>
      <c r="G622" s="10">
        <v>206.0</v>
      </c>
      <c r="K622" s="17" t="str">
        <f>IFERROR(__xludf.DUMMYFUNCTION("""COMPUTED_VALUE"""),"TP-Link UE300C USB Type-C to RJ45 Gigabit Ethernet Network Adapter/RJ45 LAN Wired Adapter for Ultrabook, Chromebook, Laptop, Desktop, Plug &amp; Play, USB 3.0, Foldable and Portable Design")</f>
        <v>TP-Link UE300C USB Type-C to RJ45 Gigabit Ethernet Network Adapter/RJ45 LAN Wired Adapter for Ultrabook, Chromebook, Laptop, Desktop, Plug &amp; Play, USB 3.0, Foldable and Portable Design</v>
      </c>
      <c r="L622" s="17" t="str">
        <f>IFERROR(__xludf.DUMMYFUNCTION("""COMPUTED_VALUE"""),"Computers&amp;Accessories|NetworkingDevices|NetworkAdapters|PowerLANAdapters")</f>
        <v>Computers&amp;Accessories|NetworkingDevices|NetworkAdapters|PowerLANAdapters</v>
      </c>
      <c r="M622" s="23">
        <f>IFERROR(__xludf.DUMMYFUNCTION("""COMPUTED_VALUE"""),1199.0)</f>
        <v>1199</v>
      </c>
      <c r="N622" s="23">
        <f>IFERROR(__xludf.DUMMYFUNCTION("""COMPUTED_VALUE"""),1999.0)</f>
        <v>1999</v>
      </c>
      <c r="O622" s="24">
        <f>IFERROR(__xludf.DUMMYFUNCTION("""COMPUTED_VALUE"""),0.4)</f>
        <v>0.4</v>
      </c>
      <c r="P622" s="17">
        <f>IFERROR(__xludf.DUMMYFUNCTION("""COMPUTED_VALUE"""),4.5)</f>
        <v>4.5</v>
      </c>
      <c r="Q622" s="25">
        <f>IFERROR(__xludf.DUMMYFUNCTION("""COMPUTED_VALUE"""),22420.0)</f>
        <v>22420</v>
      </c>
    </row>
    <row r="623">
      <c r="A623" s="7" t="s">
        <v>659</v>
      </c>
      <c r="B623" s="7" t="s">
        <v>660</v>
      </c>
      <c r="C623" s="8">
        <v>1399.0</v>
      </c>
      <c r="D623" s="8">
        <v>2498.0</v>
      </c>
      <c r="E623" s="19">
        <v>0.44</v>
      </c>
      <c r="F623" s="10">
        <v>4.2</v>
      </c>
      <c r="G623" s="11">
        <v>33717.0</v>
      </c>
      <c r="K623" s="17" t="str">
        <f>IFERROR(__xludf.DUMMYFUNCTION("""COMPUTED_VALUE"""),"Wecool Moonwalk M1 ENC True Wireless in Ear Earbuds with Mic, Titanium Drivers for Rich Bass Experience, 40+ Hours Play Time, Type C Fast Charging, Low Latency, BT 5.3, IPX5, Deep Bass (Black)")</f>
        <v>Wecool Moonwalk M1 ENC True Wireless in Ear Earbuds with Mic, Titanium Drivers for Rich Bass Experience, 40+ Hours Play Time, Type C Fast Charging, Low Latency, BT 5.3, IPX5, Deep Bass (Black)</v>
      </c>
      <c r="L623" s="17" t="str">
        <f>IFERROR(__xludf.DUMMYFUNCTION("""COMPUTED_VALUE"""),"Electronics|Headphones,Earbuds&amp;Accessories|Headphones|In-Ear")</f>
        <v>Electronics|Headphones,Earbuds&amp;Accessories|Headphones|In-Ear</v>
      </c>
      <c r="M623" s="23">
        <f>IFERROR(__xludf.DUMMYFUNCTION("""COMPUTED_VALUE"""),889.0)</f>
        <v>889</v>
      </c>
      <c r="N623" s="23">
        <f>IFERROR(__xludf.DUMMYFUNCTION("""COMPUTED_VALUE"""),1999.0)</f>
        <v>1999</v>
      </c>
      <c r="O623" s="24">
        <f>IFERROR(__xludf.DUMMYFUNCTION("""COMPUTED_VALUE"""),0.56)</f>
        <v>0.56</v>
      </c>
      <c r="P623" s="17">
        <f>IFERROR(__xludf.DUMMYFUNCTION("""COMPUTED_VALUE"""),4.2)</f>
        <v>4.2</v>
      </c>
      <c r="Q623" s="25">
        <f>IFERROR(__xludf.DUMMYFUNCTION("""COMPUTED_VALUE"""),2284.0)</f>
        <v>2284</v>
      </c>
    </row>
    <row r="624">
      <c r="A624" s="7" t="s">
        <v>17</v>
      </c>
      <c r="B624" s="7" t="s">
        <v>15</v>
      </c>
      <c r="C624" s="8">
        <v>199.0</v>
      </c>
      <c r="D624" s="8">
        <v>349.0</v>
      </c>
      <c r="E624" s="19">
        <v>0.43</v>
      </c>
      <c r="F624" s="10">
        <v>4.0</v>
      </c>
      <c r="G624" s="11">
        <v>43994.0</v>
      </c>
      <c r="K624" s="17" t="str">
        <f>IFERROR(__xludf.DUMMYFUNCTION("""COMPUTED_VALUE"""),"RC PRINT GI 790 Ink Refill for Canon G1000, G1010, G1100, G2000, G2002, G2010, G2012, G2100, G3000, G3010, G3012, G3100, G4000, G4010")</f>
        <v>RC PRINT GI 790 Ink Refill for Canon G1000, G1010, G1100, G2000, G2002, G2010, G2012, G2100, G3000, G3010, G3012, G3100, G4000, G4010</v>
      </c>
      <c r="L624" s="17" t="str">
        <f>IFERROR(__xludf.DUMMYFUNCTION("""COMPUTED_VALUE"""),"Computers&amp;Accessories|Printers,Inks&amp;Accessories|Inks,Toners&amp;Cartridges|InkjetInkRefills&amp;Kits")</f>
        <v>Computers&amp;Accessories|Printers,Inks&amp;Accessories|Inks,Toners&amp;Cartridges|InkjetInkRefills&amp;Kits</v>
      </c>
      <c r="M624" s="23">
        <f>IFERROR(__xludf.DUMMYFUNCTION("""COMPUTED_VALUE"""),549.0)</f>
        <v>549</v>
      </c>
      <c r="N624" s="23">
        <f>IFERROR(__xludf.DUMMYFUNCTION("""COMPUTED_VALUE"""),1999.0)</f>
        <v>1999</v>
      </c>
      <c r="O624" s="24">
        <f>IFERROR(__xludf.DUMMYFUNCTION("""COMPUTED_VALUE"""),0.73)</f>
        <v>0.73</v>
      </c>
      <c r="P624" s="17">
        <f>IFERROR(__xludf.DUMMYFUNCTION("""COMPUTED_VALUE"""),4.3)</f>
        <v>4.3</v>
      </c>
      <c r="Q624" s="25">
        <f>IFERROR(__xludf.DUMMYFUNCTION("""COMPUTED_VALUE"""),1367.0)</f>
        <v>1367</v>
      </c>
    </row>
    <row r="625">
      <c r="A625" s="7" t="s">
        <v>18</v>
      </c>
      <c r="B625" s="7" t="s">
        <v>15</v>
      </c>
      <c r="C625" s="8">
        <v>199.0</v>
      </c>
      <c r="D625" s="8">
        <v>999.0</v>
      </c>
      <c r="E625" s="19">
        <v>0.8</v>
      </c>
      <c r="F625" s="10">
        <v>3.9</v>
      </c>
      <c r="G625" s="11">
        <v>7928.0</v>
      </c>
      <c r="K625" s="17" t="str">
        <f>IFERROR(__xludf.DUMMYFUNCTION("""COMPUTED_VALUE"""),"AmazonBasics USB Type-C to USB Type-C 2.0 Cable - 3 Feet Laptop (0.9 Meters) - White")</f>
        <v>AmazonBasics USB Type-C to USB Type-C 2.0 Cable - 3 Feet Laptop (0.9 Meters) - White</v>
      </c>
      <c r="L625" s="17" t="str">
        <f>IFERROR(__xludf.DUMMYFUNCTION("""COMPUTED_VALUE"""),"Computers&amp;Accessories|Accessories&amp;Peripherals|Cables&amp;Accessories|Cables|USBCables")</f>
        <v>Computers&amp;Accessories|Accessories&amp;Peripherals|Cables&amp;Accessories|Cables|USBCables</v>
      </c>
      <c r="M625" s="23">
        <f>IFERROR(__xludf.DUMMYFUNCTION("""COMPUTED_VALUE"""),329.0)</f>
        <v>329</v>
      </c>
      <c r="N625" s="23">
        <f>IFERROR(__xludf.DUMMYFUNCTION("""COMPUTED_VALUE"""),845.0)</f>
        <v>845</v>
      </c>
      <c r="O625" s="24">
        <f>IFERROR(__xludf.DUMMYFUNCTION("""COMPUTED_VALUE"""),0.61)</f>
        <v>0.61</v>
      </c>
      <c r="P625" s="17">
        <f>IFERROR(__xludf.DUMMYFUNCTION("""COMPUTED_VALUE"""),4.2)</f>
        <v>4.2</v>
      </c>
      <c r="Q625" s="25">
        <f>IFERROR(__xludf.DUMMYFUNCTION("""COMPUTED_VALUE"""),29746.0)</f>
        <v>29746</v>
      </c>
    </row>
    <row r="626">
      <c r="A626" s="7" t="s">
        <v>425</v>
      </c>
      <c r="B626" s="7" t="s">
        <v>373</v>
      </c>
      <c r="C626" s="8">
        <v>2998.0</v>
      </c>
      <c r="D626" s="8">
        <v>5999.0</v>
      </c>
      <c r="E626" s="19">
        <v>0.5</v>
      </c>
      <c r="F626" s="10">
        <v>4.1</v>
      </c>
      <c r="G626" s="11">
        <v>5179.0</v>
      </c>
      <c r="K626" s="17" t="str">
        <f>IFERROR(__xludf.DUMMYFUNCTION("""COMPUTED_VALUE"""),"Wayona Type C To Type C 65W/3.25A Nylon Braided Fast Charging Cable Compatible For Laptop, Macbook, Samsung Galaxy M33 M53 M51 S20 Ultra, A71, A53, A51, Ipad Pro 2018 (1M, Grey)")</f>
        <v>Wayona Type C To Type C 65W/3.25A Nylon Braided Fast Charging Cable Compatible For Laptop, Macbook, Samsung Galaxy M33 M53 M51 S20 Ultra, A71, A53, A51, Ipad Pro 2018 (1M, Grey)</v>
      </c>
      <c r="L626" s="17" t="str">
        <f>IFERROR(__xludf.DUMMYFUNCTION("""COMPUTED_VALUE"""),"Computers&amp;Accessories|Accessories&amp;Peripherals|Cables&amp;Accessories|Cables|USBCables")</f>
        <v>Computers&amp;Accessories|Accessories&amp;Peripherals|Cables&amp;Accessories|Cables|USBCables</v>
      </c>
      <c r="M626" s="23">
        <f>IFERROR(__xludf.DUMMYFUNCTION("""COMPUTED_VALUE"""),379.0)</f>
        <v>379</v>
      </c>
      <c r="N626" s="23">
        <f>IFERROR(__xludf.DUMMYFUNCTION("""COMPUTED_VALUE"""),1099.0)</f>
        <v>1099</v>
      </c>
      <c r="O626" s="24">
        <f>IFERROR(__xludf.DUMMYFUNCTION("""COMPUTED_VALUE"""),0.66)</f>
        <v>0.66</v>
      </c>
      <c r="P626" s="17">
        <f>IFERROR(__xludf.DUMMYFUNCTION("""COMPUTED_VALUE"""),4.3)</f>
        <v>4.3</v>
      </c>
      <c r="Q626" s="25">
        <f>IFERROR(__xludf.DUMMYFUNCTION("""COMPUTED_VALUE"""),2806.0)</f>
        <v>2806</v>
      </c>
    </row>
    <row r="627">
      <c r="A627" s="7" t="s">
        <v>661</v>
      </c>
      <c r="B627" s="7" t="s">
        <v>662</v>
      </c>
      <c r="C627" s="8">
        <v>4098.0</v>
      </c>
      <c r="D627" s="8">
        <v>4999.0</v>
      </c>
      <c r="E627" s="19">
        <v>0.18</v>
      </c>
      <c r="F627" s="10">
        <v>4.5</v>
      </c>
      <c r="G627" s="11">
        <v>50810.0</v>
      </c>
      <c r="K627" s="17" t="str">
        <f>IFERROR(__xludf.DUMMYFUNCTION("""COMPUTED_VALUE"""),"Amazfit GTS2 Mini (New Version) Smart Watch with Always-on AMOLED Display, Alexa Built-in, SpO2, 14 Days' Battery Life, 68 Sports Modes, GPS, HR, Sleep &amp; Stress Monitoring (Meteor Black)")</f>
        <v>Amazfit GTS2 Mini (New Version) Smart Watch with Always-on AMOLED Display, Alexa Built-in, SpO2, 14 Days' Battery Life, 68 Sports Modes, GPS, HR, Sleep &amp; Stress Monitoring (Meteor Black)</v>
      </c>
      <c r="L627" s="17" t="str">
        <f>IFERROR(__xludf.DUMMYFUNCTION("""COMPUTED_VALUE"""),"Electronics|WearableTechnology|SmartWatches")</f>
        <v>Electronics|WearableTechnology|SmartWatches</v>
      </c>
      <c r="M627" s="23">
        <f>IFERROR(__xludf.DUMMYFUNCTION("""COMPUTED_VALUE"""),5998.0)</f>
        <v>5998</v>
      </c>
      <c r="N627" s="23">
        <f>IFERROR(__xludf.DUMMYFUNCTION("""COMPUTED_VALUE"""),7999.0)</f>
        <v>7999</v>
      </c>
      <c r="O627" s="24">
        <f>IFERROR(__xludf.DUMMYFUNCTION("""COMPUTED_VALUE"""),0.25)</f>
        <v>0.25</v>
      </c>
      <c r="P627" s="17">
        <f>IFERROR(__xludf.DUMMYFUNCTION("""COMPUTED_VALUE"""),4.2)</f>
        <v>4.2</v>
      </c>
      <c r="Q627" s="25">
        <f>IFERROR(__xludf.DUMMYFUNCTION("""COMPUTED_VALUE"""),30355.0)</f>
        <v>30355</v>
      </c>
    </row>
    <row r="628">
      <c r="A628" s="7" t="s">
        <v>663</v>
      </c>
      <c r="B628" s="7" t="s">
        <v>664</v>
      </c>
      <c r="C628" s="8">
        <v>499.0</v>
      </c>
      <c r="D628" s="8">
        <v>1999.0</v>
      </c>
      <c r="E628" s="19">
        <v>0.75</v>
      </c>
      <c r="F628" s="10">
        <v>3.7</v>
      </c>
      <c r="G628" s="11">
        <v>3369.0</v>
      </c>
      <c r="K628" s="17" t="str">
        <f>IFERROR(__xludf.DUMMYFUNCTION("""COMPUTED_VALUE"""),"Tabelito® Polyester Foam, Nylon Hybrid laptopss Bag Sleeve Case Cover Pouch for laptopss Apple/Dell/Lenovo/ Asus/ Hp/Samsung/Mi/MacBook/Ultrabook/Thinkpad/Ideapad/Surfacepro (15.6 inches /39.6cm, Blue) laptopsss")</f>
        <v>Tabelito® Polyester Foam, Nylon Hybrid laptopss Bag Sleeve Case Cover Pouch for laptopss Apple/Dell/Lenovo/ Asus/ Hp/Samsung/Mi/MacBook/Ultrabook/Thinkpad/Ideapad/Surfacepro (15.6 inches /39.6cm, Blue) laptopsss</v>
      </c>
      <c r="L628" s="17" t="str">
        <f>IFERROR(__xludf.DUMMYFUNCTION("""COMPUTED_VALUE"""),"Computers&amp;Accessories|Accessories&amp;Peripherals|LaptopAccessories|Bags&amp;Sleeves|LaptopSleeves&amp;Slipcases")</f>
        <v>Computers&amp;Accessories|Accessories&amp;Peripherals|LaptopAccessories|Bags&amp;Sleeves|LaptopSleeves&amp;Slipcases</v>
      </c>
      <c r="M628" s="23">
        <f>IFERROR(__xludf.DUMMYFUNCTION("""COMPUTED_VALUE"""),299.0)</f>
        <v>299</v>
      </c>
      <c r="N628" s="23">
        <f>IFERROR(__xludf.DUMMYFUNCTION("""COMPUTED_VALUE"""),1499.0)</f>
        <v>1499</v>
      </c>
      <c r="O628" s="24">
        <f>IFERROR(__xludf.DUMMYFUNCTION("""COMPUTED_VALUE"""),0.8)</f>
        <v>0.8</v>
      </c>
      <c r="P628" s="17">
        <f>IFERROR(__xludf.DUMMYFUNCTION("""COMPUTED_VALUE"""),4.2)</f>
        <v>4.2</v>
      </c>
      <c r="Q628" s="25">
        <f>IFERROR(__xludf.DUMMYFUNCTION("""COMPUTED_VALUE"""),2868.0)</f>
        <v>2868</v>
      </c>
    </row>
    <row r="629">
      <c r="A629" s="7" t="s">
        <v>665</v>
      </c>
      <c r="B629" s="7" t="s">
        <v>625</v>
      </c>
      <c r="C629" s="8">
        <v>299.0</v>
      </c>
      <c r="D629" s="8">
        <v>449.0</v>
      </c>
      <c r="E629" s="19">
        <v>0.33</v>
      </c>
      <c r="F629" s="10">
        <v>3.5</v>
      </c>
      <c r="G629" s="11">
        <v>11827.0</v>
      </c>
      <c r="K629" s="17" t="str">
        <f>IFERROR(__xludf.DUMMYFUNCTION("""COMPUTED_VALUE"""),"Robustrion Anti-Scratch &amp; Smudge Proof Tempered Glass Screen Protector for Xiaomi Mi Pad 5 11 inch")</f>
        <v>Robustrion Anti-Scratch &amp; Smudge Proof Tempered Glass Screen Protector for Xiaomi Mi Pad 5 11 inch</v>
      </c>
      <c r="L629" s="17" t="str">
        <f>IFERROR(__xludf.DUMMYFUNCTION("""COMPUTED_VALUE"""),"Computers&amp;Accessories|Accessories&amp;Peripherals|TabletAccessories|ScreenProtectors")</f>
        <v>Computers&amp;Accessories|Accessories&amp;Peripherals|TabletAccessories|ScreenProtectors</v>
      </c>
      <c r="M629" s="23">
        <f>IFERROR(__xludf.DUMMYFUNCTION("""COMPUTED_VALUE"""),379.0)</f>
        <v>379</v>
      </c>
      <c r="N629" s="23">
        <f>IFERROR(__xludf.DUMMYFUNCTION("""COMPUTED_VALUE"""),1499.0)</f>
        <v>1499</v>
      </c>
      <c r="O629" s="24">
        <f>IFERROR(__xludf.DUMMYFUNCTION("""COMPUTED_VALUE"""),0.75)</f>
        <v>0.75</v>
      </c>
      <c r="P629" s="17">
        <f>IFERROR(__xludf.DUMMYFUNCTION("""COMPUTED_VALUE"""),4.1)</f>
        <v>4.1</v>
      </c>
      <c r="Q629" s="17">
        <f>IFERROR(__xludf.DUMMYFUNCTION("""COMPUTED_VALUE"""),670.0)</f>
        <v>670</v>
      </c>
    </row>
    <row r="630">
      <c r="A630" s="7" t="s">
        <v>19</v>
      </c>
      <c r="B630" s="7" t="s">
        <v>15</v>
      </c>
      <c r="C630" s="8">
        <v>329.0</v>
      </c>
      <c r="D630" s="8">
        <v>699.0</v>
      </c>
      <c r="E630" s="19">
        <v>0.53</v>
      </c>
      <c r="F630" s="10">
        <v>4.2</v>
      </c>
      <c r="G630" s="11">
        <v>94364.0</v>
      </c>
      <c r="K630" s="17" t="str">
        <f>IFERROR(__xludf.DUMMYFUNCTION("""COMPUTED_VALUE"""),"Portronics Ruffpad 15 Re-Writable LCD Screen 38.1cm (15-inch) Writing Pad for Drawing, Playing, Handwriting Gifts for Kids &amp; Adults (Grey)")</f>
        <v>Portronics Ruffpad 15 Re-Writable LCD Screen 38.1cm (15-inch) Writing Pad for Drawing, Playing, Handwriting Gifts for Kids &amp; Adults (Grey)</v>
      </c>
      <c r="L630" s="17" t="str">
        <f>IFERROR(__xludf.DUMMYFUNCTION("""COMPUTED_VALUE"""),"OfficeProducts|OfficePaperProducts|Paper|Stationery|Notebooks,WritingPads&amp;Diaries")</f>
        <v>OfficeProducts|OfficePaperProducts|Paper|Stationery|Notebooks,WritingPads&amp;Diaries</v>
      </c>
      <c r="M630" s="23">
        <f>IFERROR(__xludf.DUMMYFUNCTION("""COMPUTED_VALUE"""),1399.0)</f>
        <v>1399</v>
      </c>
      <c r="N630" s="23">
        <f>IFERROR(__xludf.DUMMYFUNCTION("""COMPUTED_VALUE"""),2999.0)</f>
        <v>2999</v>
      </c>
      <c r="O630" s="24">
        <f>IFERROR(__xludf.DUMMYFUNCTION("""COMPUTED_VALUE"""),0.53)</f>
        <v>0.53</v>
      </c>
      <c r="P630" s="17">
        <f>IFERROR(__xludf.DUMMYFUNCTION("""COMPUTED_VALUE"""),4.3)</f>
        <v>4.3</v>
      </c>
      <c r="Q630" s="25">
        <f>IFERROR(__xludf.DUMMYFUNCTION("""COMPUTED_VALUE"""),3530.0)</f>
        <v>3530</v>
      </c>
    </row>
    <row r="631">
      <c r="A631" s="7" t="s">
        <v>666</v>
      </c>
      <c r="B631" s="7" t="s">
        <v>660</v>
      </c>
      <c r="C631" s="8">
        <v>699.0</v>
      </c>
      <c r="D631" s="8">
        <v>999.0</v>
      </c>
      <c r="E631" s="19">
        <v>0.3</v>
      </c>
      <c r="F631" s="10">
        <v>3.5</v>
      </c>
      <c r="G631" s="11">
        <v>15295.0</v>
      </c>
      <c r="K631" s="17" t="str">
        <f>IFERROR(__xludf.DUMMYFUNCTION("""COMPUTED_VALUE"""),"DIGITEK® (DLS-9FT) Lightweight &amp; Portable Aluminum Alloy Light Stand for Ring Light, Reflector, Flash Units, Diffuser, Portrait, Softbox, Studio Lighting &amp; More Ideal for Outdoor &amp; Indoor Shoots")</f>
        <v>DIGITEK® (DLS-9FT) Lightweight &amp; Portable Aluminum Alloy Light Stand for Ring Light, Reflector, Flash Units, Diffuser, Portrait, Softbox, Studio Lighting &amp; More Ideal for Outdoor &amp; Indoor Shoots</v>
      </c>
      <c r="L631" s="17" t="str">
        <f>IFERROR(__xludf.DUMMYFUNCTION("""COMPUTED_VALUE"""),"Electronics|Cameras&amp;Photography|Accessories|PhotoStudio&amp;Lighting|PhotoBackgroundAccessories|BackgroundSupports")</f>
        <v>Electronics|Cameras&amp;Photography|Accessories|PhotoStudio&amp;Lighting|PhotoBackgroundAccessories|BackgroundSupports</v>
      </c>
      <c r="M631" s="23">
        <f>IFERROR(__xludf.DUMMYFUNCTION("""COMPUTED_VALUE"""),699.0)</f>
        <v>699</v>
      </c>
      <c r="N631" s="23">
        <f>IFERROR(__xludf.DUMMYFUNCTION("""COMPUTED_VALUE"""),1299.0)</f>
        <v>1299</v>
      </c>
      <c r="O631" s="24">
        <f>IFERROR(__xludf.DUMMYFUNCTION("""COMPUTED_VALUE"""),0.46)</f>
        <v>0.46</v>
      </c>
      <c r="P631" s="17">
        <f>IFERROR(__xludf.DUMMYFUNCTION("""COMPUTED_VALUE"""),4.3)</f>
        <v>4.3</v>
      </c>
      <c r="Q631" s="25">
        <f>IFERROR(__xludf.DUMMYFUNCTION("""COMPUTED_VALUE"""),6183.0)</f>
        <v>6183</v>
      </c>
    </row>
    <row r="632">
      <c r="A632" s="7" t="s">
        <v>667</v>
      </c>
      <c r="B632" s="7" t="s">
        <v>668</v>
      </c>
      <c r="C632" s="8">
        <v>799.0</v>
      </c>
      <c r="D632" s="8">
        <v>3990.0</v>
      </c>
      <c r="E632" s="19">
        <v>0.8</v>
      </c>
      <c r="F632" s="10">
        <v>4.3</v>
      </c>
      <c r="G632" s="11">
        <v>27139.0</v>
      </c>
      <c r="K632" s="17" t="str">
        <f>IFERROR(__xludf.DUMMYFUNCTION("""COMPUTED_VALUE"""),"Classmate Pulse 1 Subject Notebook - 240mm x 180mm , Soft Cover, 180 Pages, Single Line, Pack of 4")</f>
        <v>Classmate Pulse 1 Subject Notebook - 240mm x 180mm , Soft Cover, 180 Pages, Single Line, Pack of 4</v>
      </c>
      <c r="L632" s="17" t="str">
        <f>IFERROR(__xludf.DUMMYFUNCTION("""COMPUTED_VALUE"""),"OfficeProducts|OfficePaperProducts|Paper|Stationery|Notebooks,WritingPads&amp;Diaries|CompositionNotebooks")</f>
        <v>OfficeProducts|OfficePaperProducts|Paper|Stationery|Notebooks,WritingPads&amp;Diaries|CompositionNotebooks</v>
      </c>
      <c r="M632" s="23">
        <f>IFERROR(__xludf.DUMMYFUNCTION("""COMPUTED_VALUE"""),300.0)</f>
        <v>300</v>
      </c>
      <c r="N632" s="23">
        <f>IFERROR(__xludf.DUMMYFUNCTION("""COMPUTED_VALUE"""),300.0)</f>
        <v>300</v>
      </c>
      <c r="O632" s="24">
        <f>IFERROR(__xludf.DUMMYFUNCTION("""COMPUTED_VALUE"""),0.0)</f>
        <v>0</v>
      </c>
      <c r="P632" s="17">
        <f>IFERROR(__xludf.DUMMYFUNCTION("""COMPUTED_VALUE"""),4.2)</f>
        <v>4.2</v>
      </c>
      <c r="Q632" s="17">
        <f>IFERROR(__xludf.DUMMYFUNCTION("""COMPUTED_VALUE"""),419.0)</f>
        <v>419</v>
      </c>
    </row>
    <row r="633">
      <c r="A633" s="7" t="s">
        <v>669</v>
      </c>
      <c r="B633" s="7" t="s">
        <v>393</v>
      </c>
      <c r="C633" s="8">
        <v>1399.0</v>
      </c>
      <c r="D633" s="8">
        <v>5499.0</v>
      </c>
      <c r="E633" s="19">
        <v>0.75</v>
      </c>
      <c r="F633" s="10">
        <v>3.9</v>
      </c>
      <c r="G633" s="11">
        <v>9504.0</v>
      </c>
      <c r="K633" s="17" t="str">
        <f>IFERROR(__xludf.DUMMYFUNCTION("""COMPUTED_VALUE"""),"Scarters Mouse Pad, Desk Mat Extended for Work from Home/Office/Gaming | Vegan PU Leather | Anti-Skid, Anti-Slip, Reversible Splash-Proof – Deskspread ~ Navy Blue &amp; Yellow")</f>
        <v>Scarters Mouse Pad, Desk Mat Extended for Work from Home/Office/Gaming | Vegan PU Leather | Anti-Skid, Anti-Slip, Reversible Splash-Proof – Deskspread ~ Navy Blue &amp; Yellow</v>
      </c>
      <c r="L633" s="17" t="str">
        <f>IFERROR(__xludf.DUMMYFUNCTION("""COMPUTED_VALUE"""),"Computers&amp;Accessories|Accessories&amp;Peripherals|Keyboards,Mice&amp;InputDevices|Keyboard&amp;MiceAccessories|MousePads")</f>
        <v>Computers&amp;Accessories|Accessories&amp;Peripherals|Keyboards,Mice&amp;InputDevices|Keyboard&amp;MiceAccessories|MousePads</v>
      </c>
      <c r="M633" s="23">
        <f>IFERROR(__xludf.DUMMYFUNCTION("""COMPUTED_VALUE"""),999.0)</f>
        <v>999</v>
      </c>
      <c r="N633" s="23">
        <f>IFERROR(__xludf.DUMMYFUNCTION("""COMPUTED_VALUE"""),1995.0)</f>
        <v>1995</v>
      </c>
      <c r="O633" s="24">
        <f>IFERROR(__xludf.DUMMYFUNCTION("""COMPUTED_VALUE"""),0.5)</f>
        <v>0.5</v>
      </c>
      <c r="P633" s="17">
        <f>IFERROR(__xludf.DUMMYFUNCTION("""COMPUTED_VALUE"""),4.5)</f>
        <v>4.5</v>
      </c>
      <c r="Q633" s="25">
        <f>IFERROR(__xludf.DUMMYFUNCTION("""COMPUTED_VALUE"""),7317.0)</f>
        <v>7317</v>
      </c>
    </row>
    <row r="634">
      <c r="A634" s="7" t="s">
        <v>20</v>
      </c>
      <c r="B634" s="7" t="s">
        <v>15</v>
      </c>
      <c r="C634" s="8">
        <v>154.0</v>
      </c>
      <c r="D634" s="8">
        <v>399.0</v>
      </c>
      <c r="E634" s="19">
        <v>0.61</v>
      </c>
      <c r="F634" s="10">
        <v>4.2</v>
      </c>
      <c r="G634" s="11">
        <v>16905.0</v>
      </c>
      <c r="K634" s="17" t="str">
        <f>IFERROR(__xludf.DUMMYFUNCTION("""COMPUTED_VALUE"""),"Casio MJ-120D 150 Steps Check and Correct Desktop Calculator with Tax Keys, Black")</f>
        <v>Casio MJ-120D 150 Steps Check and Correct Desktop Calculator with Tax Keys, Black</v>
      </c>
      <c r="L634" s="17" t="str">
        <f>IFERROR(__xludf.DUMMYFUNCTION("""COMPUTED_VALUE"""),"OfficeProducts|OfficeElectronics|Calculators|Financial&amp;Business")</f>
        <v>OfficeProducts|OfficeElectronics|Calculators|Financial&amp;Business</v>
      </c>
      <c r="M634" s="23">
        <f>IFERROR(__xludf.DUMMYFUNCTION("""COMPUTED_VALUE"""),535.0)</f>
        <v>535</v>
      </c>
      <c r="N634" s="23">
        <f>IFERROR(__xludf.DUMMYFUNCTION("""COMPUTED_VALUE"""),535.0)</f>
        <v>535</v>
      </c>
      <c r="O634" s="24">
        <f>IFERROR(__xludf.DUMMYFUNCTION("""COMPUTED_VALUE"""),0.0)</f>
        <v>0</v>
      </c>
      <c r="P634" s="17">
        <f>IFERROR(__xludf.DUMMYFUNCTION("""COMPUTED_VALUE"""),4.4)</f>
        <v>4.4</v>
      </c>
      <c r="Q634" s="25">
        <f>IFERROR(__xludf.DUMMYFUNCTION("""COMPUTED_VALUE"""),4426.0)</f>
        <v>4426</v>
      </c>
    </row>
    <row r="635">
      <c r="A635" s="7" t="s">
        <v>670</v>
      </c>
      <c r="B635" s="7" t="s">
        <v>622</v>
      </c>
      <c r="C635" s="8">
        <v>519.0</v>
      </c>
      <c r="D635" s="8">
        <v>1350.0</v>
      </c>
      <c r="E635" s="19">
        <v>0.62</v>
      </c>
      <c r="F635" s="10">
        <v>4.3</v>
      </c>
      <c r="G635" s="11">
        <v>30058.0</v>
      </c>
      <c r="K635" s="17" t="str">
        <f>IFERROR(__xludf.DUMMYFUNCTION("""COMPUTED_VALUE"""),"Redmi 80 cm (32 inches) Android 11 Series HD Ready Smart LED TV | L32M6-RA/L32M7-RA (Black)")</f>
        <v>Redmi 80 cm (32 inches) Android 11 Series HD Ready Smart LED TV | L32M6-RA/L32M7-RA (Black)</v>
      </c>
      <c r="L635" s="17" t="str">
        <f>IFERROR(__xludf.DUMMYFUNCTION("""COMPUTED_VALUE"""),"Electronics|HomeTheater,TV&amp;Video|Televisions|SmartTelevisions")</f>
        <v>Electronics|HomeTheater,TV&amp;Video|Televisions|SmartTelevisions</v>
      </c>
      <c r="M635" s="23">
        <f>IFERROR(__xludf.DUMMYFUNCTION("""COMPUTED_VALUE"""),13999.0)</f>
        <v>13999</v>
      </c>
      <c r="N635" s="23">
        <f>IFERROR(__xludf.DUMMYFUNCTION("""COMPUTED_VALUE"""),24999.0)</f>
        <v>24999</v>
      </c>
      <c r="O635" s="24">
        <f>IFERROR(__xludf.DUMMYFUNCTION("""COMPUTED_VALUE"""),0.44)</f>
        <v>0.44</v>
      </c>
      <c r="P635" s="17">
        <f>IFERROR(__xludf.DUMMYFUNCTION("""COMPUTED_VALUE"""),4.2)</f>
        <v>4.2</v>
      </c>
      <c r="Q635" s="25">
        <f>IFERROR(__xludf.DUMMYFUNCTION("""COMPUTED_VALUE"""),45237.0)</f>
        <v>45237</v>
      </c>
    </row>
    <row r="636">
      <c r="A636" s="7" t="s">
        <v>439</v>
      </c>
      <c r="B636" s="7" t="s">
        <v>373</v>
      </c>
      <c r="C636" s="8">
        <v>2299.0</v>
      </c>
      <c r="D636" s="8">
        <v>7990.0</v>
      </c>
      <c r="E636" s="19">
        <v>0.71</v>
      </c>
      <c r="F636" s="10">
        <v>4.2</v>
      </c>
      <c r="G636" s="11">
        <v>69619.0</v>
      </c>
      <c r="K636" s="17" t="str">
        <f>IFERROR(__xludf.DUMMYFUNCTION("""COMPUTED_VALUE"""),"Gizga Essentials Laptop Bag Sleeve Case Cover Pouch with Handle for 14.1 Inch Laptop for Men &amp; Women, Padded Laptop Compartment, Premium Zipper Closure, Water Repellent Nylon Fabric, Grey")</f>
        <v>Gizga Essentials Laptop Bag Sleeve Case Cover Pouch with Handle for 14.1 Inch Laptop for Men &amp; Women, Padded Laptop Compartment, Premium Zipper Closure, Water Repellent Nylon Fabric, Grey</v>
      </c>
      <c r="L636" s="17" t="str">
        <f>IFERROR(__xludf.DUMMYFUNCTION("""COMPUTED_VALUE"""),"Computers&amp;Accessories|Accessories&amp;Peripherals|LaptopAccessories|Bags&amp;Sleeves|LaptopSleeves&amp;Slipcases")</f>
        <v>Computers&amp;Accessories|Accessories&amp;Peripherals|LaptopAccessories|Bags&amp;Sleeves|LaptopSleeves&amp;Slipcases</v>
      </c>
      <c r="M636" s="23">
        <f>IFERROR(__xludf.DUMMYFUNCTION("""COMPUTED_VALUE"""),269.0)</f>
        <v>269</v>
      </c>
      <c r="N636" s="23">
        <f>IFERROR(__xludf.DUMMYFUNCTION("""COMPUTED_VALUE"""),1099.0)</f>
        <v>1099</v>
      </c>
      <c r="O636" s="24">
        <f>IFERROR(__xludf.DUMMYFUNCTION("""COMPUTED_VALUE"""),0.76)</f>
        <v>0.76</v>
      </c>
      <c r="P636" s="17">
        <f>IFERROR(__xludf.DUMMYFUNCTION("""COMPUTED_VALUE"""),4.1)</f>
        <v>4.1</v>
      </c>
      <c r="Q636" s="25">
        <f>IFERROR(__xludf.DUMMYFUNCTION("""COMPUTED_VALUE"""),1092.0)</f>
        <v>1092</v>
      </c>
    </row>
    <row r="637">
      <c r="A637" s="7" t="s">
        <v>440</v>
      </c>
      <c r="B637" s="7" t="s">
        <v>441</v>
      </c>
      <c r="C637" s="8">
        <v>399.0</v>
      </c>
      <c r="D637" s="8">
        <v>1999.0</v>
      </c>
      <c r="E637" s="19">
        <v>0.8</v>
      </c>
      <c r="F637" s="10">
        <v>4.0</v>
      </c>
      <c r="G637" s="11">
        <v>3382.0</v>
      </c>
      <c r="K637" s="17" t="str">
        <f>IFERROR(__xludf.DUMMYFUNCTION("""COMPUTED_VALUE"""),"Parker Vector Camouflage Gift Set - Roller Ball Pen &amp; Parker Logo Keychain (Black Body, Blue Ink), 2 Piece Set")</f>
        <v>Parker Vector Camouflage Gift Set - Roller Ball Pen &amp; Parker Logo Keychain (Black Body, Blue Ink), 2 Piece Set</v>
      </c>
      <c r="L637" s="17" t="str">
        <f>IFERROR(__xludf.DUMMYFUNCTION("""COMPUTED_VALUE"""),"OfficeProducts|OfficePaperProducts|Paper|Stationery|Pens,Pencils&amp;WritingSupplies|Pens&amp;Refills|StickBallpointPens")</f>
        <v>OfficeProducts|OfficePaperProducts|Paper|Stationery|Pens,Pencils&amp;WritingSupplies|Pens&amp;Refills|StickBallpointPens</v>
      </c>
      <c r="M637" s="23">
        <f>IFERROR(__xludf.DUMMYFUNCTION("""COMPUTED_VALUE"""),341.0)</f>
        <v>341</v>
      </c>
      <c r="N637" s="23">
        <f>IFERROR(__xludf.DUMMYFUNCTION("""COMPUTED_VALUE"""),450.0)</f>
        <v>450</v>
      </c>
      <c r="O637" s="24">
        <f>IFERROR(__xludf.DUMMYFUNCTION("""COMPUTED_VALUE"""),0.24)</f>
        <v>0.24</v>
      </c>
      <c r="P637" s="17">
        <f>IFERROR(__xludf.DUMMYFUNCTION("""COMPUTED_VALUE"""),4.3)</f>
        <v>4.3</v>
      </c>
      <c r="Q637" s="25">
        <f>IFERROR(__xludf.DUMMYFUNCTION("""COMPUTED_VALUE"""),2493.0)</f>
        <v>2493</v>
      </c>
    </row>
    <row r="638">
      <c r="A638" s="7" t="s">
        <v>671</v>
      </c>
      <c r="B638" s="7" t="s">
        <v>393</v>
      </c>
      <c r="C638" s="8">
        <v>1499.0</v>
      </c>
      <c r="D638" s="8">
        <v>3990.0</v>
      </c>
      <c r="E638" s="19">
        <v>0.62</v>
      </c>
      <c r="F638" s="10">
        <v>4.1</v>
      </c>
      <c r="G638" s="7" t="s">
        <v>672</v>
      </c>
      <c r="K638" s="17" t="str">
        <f>IFERROR(__xludf.DUMMYFUNCTION("""COMPUTED_VALUE"""),"TP-Link AC1200 Archer A6 Smart WiFi, 5GHz Gigabit Dual Band MU-MIMO Wireless Internet Router, Long Range Coverage by 4 Antennas, Qualcomm Chipset")</f>
        <v>TP-Link AC1200 Archer A6 Smart WiFi, 5GHz Gigabit Dual Band MU-MIMO Wireless Internet Router, Long Range Coverage by 4 Antennas, Qualcomm Chipset</v>
      </c>
      <c r="L638" s="17" t="str">
        <f>IFERROR(__xludf.DUMMYFUNCTION("""COMPUTED_VALUE"""),"Computers&amp;Accessories|NetworkingDevices|Routers")</f>
        <v>Computers&amp;Accessories|NetworkingDevices|Routers</v>
      </c>
      <c r="M638" s="23">
        <f>IFERROR(__xludf.DUMMYFUNCTION("""COMPUTED_VALUE"""),2499.0)</f>
        <v>2499</v>
      </c>
      <c r="N638" s="23">
        <f>IFERROR(__xludf.DUMMYFUNCTION("""COMPUTED_VALUE"""),3999.0)</f>
        <v>3999</v>
      </c>
      <c r="O638" s="24">
        <f>IFERROR(__xludf.DUMMYFUNCTION("""COMPUTED_VALUE"""),0.38)</f>
        <v>0.38</v>
      </c>
      <c r="P638" s="17">
        <f>IFERROR(__xludf.DUMMYFUNCTION("""COMPUTED_VALUE"""),4.4)</f>
        <v>4.4</v>
      </c>
      <c r="Q638" s="25">
        <f>IFERROR(__xludf.DUMMYFUNCTION("""COMPUTED_VALUE"""),12679.0)</f>
        <v>12679</v>
      </c>
    </row>
    <row r="639">
      <c r="A639" s="7" t="s">
        <v>673</v>
      </c>
      <c r="B639" s="7" t="s">
        <v>674</v>
      </c>
      <c r="C639" s="8">
        <v>1295.0</v>
      </c>
      <c r="D639" s="8">
        <v>1295.0</v>
      </c>
      <c r="E639" s="19">
        <v>0.0</v>
      </c>
      <c r="F639" s="10">
        <v>4.5</v>
      </c>
      <c r="G639" s="11">
        <v>5760.0</v>
      </c>
      <c r="K639" s="17" t="str">
        <f>IFERROR(__xludf.DUMMYFUNCTION("""COMPUTED_VALUE"""),"CEDO 65W OnePlus Dash Warp Charge Cable, USB A to Type C Data Sync Fast Charging Cable Compatible with One Plus 3 /3T /5 /5T /6 /6T /7 /7T /7 pro &amp; for All Type C Devices - 1 Meter, Red")</f>
        <v>CEDO 65W OnePlus Dash Warp Charge Cable, USB A to Type C Data Sync Fast Charging Cable Compatible with One Plus 3 /3T /5 /5T /6 /6T /7 /7T /7 pro &amp; for All Type C Devices - 1 Meter, Red</v>
      </c>
      <c r="L639" s="17" t="str">
        <f>IFERROR(__xludf.DUMMYFUNCTION("""COMPUTED_VALUE"""),"Computers&amp;Accessories|Accessories&amp;Peripherals|Cables&amp;Accessories|Cables|USBCables")</f>
        <v>Computers&amp;Accessories|Accessories&amp;Peripherals|Cables&amp;Accessories|Cables|USBCables</v>
      </c>
      <c r="M639" s="23">
        <f>IFERROR(__xludf.DUMMYFUNCTION("""COMPUTED_VALUE"""),349.0)</f>
        <v>349</v>
      </c>
      <c r="N639" s="23">
        <f>IFERROR(__xludf.DUMMYFUNCTION("""COMPUTED_VALUE"""),599.0)</f>
        <v>599</v>
      </c>
      <c r="O639" s="24">
        <f>IFERROR(__xludf.DUMMYFUNCTION("""COMPUTED_VALUE"""),0.42)</f>
        <v>0.42</v>
      </c>
      <c r="P639" s="17">
        <f>IFERROR(__xludf.DUMMYFUNCTION("""COMPUTED_VALUE"""),4.1)</f>
        <v>4.1</v>
      </c>
      <c r="Q639" s="17">
        <f>IFERROR(__xludf.DUMMYFUNCTION("""COMPUTED_VALUE"""),210.0)</f>
        <v>210</v>
      </c>
    </row>
    <row r="640">
      <c r="A640" s="7" t="s">
        <v>675</v>
      </c>
      <c r="B640" s="7" t="s">
        <v>676</v>
      </c>
      <c r="C640" s="8">
        <v>1889.0</v>
      </c>
      <c r="D640" s="8">
        <v>5499.0</v>
      </c>
      <c r="E640" s="19">
        <v>0.66</v>
      </c>
      <c r="F640" s="10">
        <v>4.2</v>
      </c>
      <c r="G640" s="11">
        <v>49551.0</v>
      </c>
      <c r="K640" s="17" t="str">
        <f>IFERROR(__xludf.DUMMYFUNCTION("""COMPUTED_VALUE"""),"SLOVIC® Tripod Mount Adapter| Tripod Mobile Holder|Tripod Phone Mount(Made in India)| Smartphone Clip Clipper 360 Degree for Taking Magic Video Shots &amp; Pictures.")</f>
        <v>SLOVIC® Tripod Mount Adapter| Tripod Mobile Holder|Tripod Phone Mount(Made in India)| Smartphone Clip Clipper 360 Degree for Taking Magic Video Shots &amp; Pictures.</v>
      </c>
      <c r="L640" s="17" t="str">
        <f>IFERROR(__xludf.DUMMYFUNCTION("""COMPUTED_VALUE"""),"Electronics|Cameras&amp;Photography|Accessories|Tripods&amp;Monopods|Tabletop&amp;TravelTripods")</f>
        <v>Electronics|Cameras&amp;Photography|Accessories|Tripods&amp;Monopods|Tabletop&amp;TravelTripods</v>
      </c>
      <c r="M640" s="23">
        <f>IFERROR(__xludf.DUMMYFUNCTION("""COMPUTED_VALUE"""),326.0)</f>
        <v>326</v>
      </c>
      <c r="N640" s="23">
        <f>IFERROR(__xludf.DUMMYFUNCTION("""COMPUTED_VALUE"""),799.0)</f>
        <v>799</v>
      </c>
      <c r="O640" s="24">
        <f>IFERROR(__xludf.DUMMYFUNCTION("""COMPUTED_VALUE"""),0.59)</f>
        <v>0.59</v>
      </c>
      <c r="P640" s="17">
        <f>IFERROR(__xludf.DUMMYFUNCTION("""COMPUTED_VALUE"""),4.4)</f>
        <v>4.4</v>
      </c>
      <c r="Q640" s="25">
        <f>IFERROR(__xludf.DUMMYFUNCTION("""COMPUTED_VALUE"""),10773.0)</f>
        <v>10773</v>
      </c>
    </row>
    <row r="641">
      <c r="A641" s="7" t="s">
        <v>677</v>
      </c>
      <c r="B641" s="7" t="s">
        <v>393</v>
      </c>
      <c r="C641" s="8">
        <v>455.0</v>
      </c>
      <c r="D641" s="8">
        <v>1490.0</v>
      </c>
      <c r="E641" s="19">
        <v>0.69</v>
      </c>
      <c r="F641" s="10">
        <v>4.1</v>
      </c>
      <c r="G641" s="7" t="s">
        <v>678</v>
      </c>
      <c r="K641" s="17" t="str">
        <f>IFERROR(__xludf.DUMMYFUNCTION("""COMPUTED_VALUE"""),"Orico 2.5""(6.3cm) USB 3.0 HDD Enclosure Case Cover for SATA SSD HDD | SATA SSD HDD Enclosure High Speed USB 3.0 | Tool Free Installation | Black")</f>
        <v>Orico 2.5"(6.3cm) USB 3.0 HDD Enclosure Case Cover for SATA SSD HDD | SATA SSD HDD Enclosure High Speed USB 3.0 | Tool Free Installation | Black</v>
      </c>
      <c r="L641" s="17" t="str">
        <f>IFERROR(__xludf.DUMMYFUNCTION("""COMPUTED_VALUE"""),"Computers&amp;Accessories|ExternalDevices&amp;DataStorage|ExternalHardDisks")</f>
        <v>Computers&amp;Accessories|ExternalDevices&amp;DataStorage|ExternalHardDisks</v>
      </c>
      <c r="M641" s="23">
        <f>IFERROR(__xludf.DUMMYFUNCTION("""COMPUTED_VALUE"""),657.0)</f>
        <v>657</v>
      </c>
      <c r="N641" s="23">
        <f>IFERROR(__xludf.DUMMYFUNCTION("""COMPUTED_VALUE"""),999.0)</f>
        <v>999</v>
      </c>
      <c r="O641" s="24">
        <f>IFERROR(__xludf.DUMMYFUNCTION("""COMPUTED_VALUE"""),0.34)</f>
        <v>0.34</v>
      </c>
      <c r="P641" s="17">
        <f>IFERROR(__xludf.DUMMYFUNCTION("""COMPUTED_VALUE"""),4.3)</f>
        <v>4.3</v>
      </c>
      <c r="Q641" s="25">
        <f>IFERROR(__xludf.DUMMYFUNCTION("""COMPUTED_VALUE"""),13944.0)</f>
        <v>13944</v>
      </c>
    </row>
    <row r="642">
      <c r="A642" s="7" t="s">
        <v>679</v>
      </c>
      <c r="B642" s="7" t="s">
        <v>680</v>
      </c>
      <c r="C642" s="8">
        <v>399.0</v>
      </c>
      <c r="D642" s="8">
        <v>995.0</v>
      </c>
      <c r="E642" s="19">
        <v>0.6</v>
      </c>
      <c r="F642" s="10">
        <v>3.9</v>
      </c>
      <c r="G642" s="11">
        <v>21372.0</v>
      </c>
      <c r="K642" s="17" t="str">
        <f>IFERROR(__xludf.DUMMYFUNCTION("""COMPUTED_VALUE"""),"Logitech G402 Hyperion Fury USB Wired Gaming Mouse, 4,000 DPI, Lightweight, 8 Programmable Buttons, Compatible for PC/Mac - Black")</f>
        <v>Logitech G402 Hyperion Fury USB Wired Gaming Mouse, 4,000 DPI, Lightweight, 8 Programmable Buttons, Compatible for PC/Mac - Black</v>
      </c>
      <c r="L642" s="17" t="str">
        <f>IFERROR(__xludf.DUMMYFUNCTION("""COMPUTED_VALUE"""),"Computers&amp;Accessories|Accessories&amp;Peripherals|PCGamingPeripherals|GamingMice")</f>
        <v>Computers&amp;Accessories|Accessories&amp;Peripherals|PCGamingPeripherals|GamingMice</v>
      </c>
      <c r="M642" s="23">
        <f>IFERROR(__xludf.DUMMYFUNCTION("""COMPUTED_VALUE"""),1995.0)</f>
        <v>1995</v>
      </c>
      <c r="N642" s="23">
        <f>IFERROR(__xludf.DUMMYFUNCTION("""COMPUTED_VALUE"""),2895.0)</f>
        <v>2895</v>
      </c>
      <c r="O642" s="24">
        <f>IFERROR(__xludf.DUMMYFUNCTION("""COMPUTED_VALUE"""),0.31)</f>
        <v>0.31</v>
      </c>
      <c r="P642" s="17">
        <f>IFERROR(__xludf.DUMMYFUNCTION("""COMPUTED_VALUE"""),4.6)</f>
        <v>4.6</v>
      </c>
      <c r="Q642" s="25">
        <f>IFERROR(__xludf.DUMMYFUNCTION("""COMPUTED_VALUE"""),10760.0)</f>
        <v>10760</v>
      </c>
    </row>
    <row r="643">
      <c r="A643" s="7" t="s">
        <v>442</v>
      </c>
      <c r="B643" s="7" t="s">
        <v>386</v>
      </c>
      <c r="C643" s="8">
        <v>1059.0</v>
      </c>
      <c r="D643" s="8">
        <v>3999.0</v>
      </c>
      <c r="E643" s="19">
        <v>0.74</v>
      </c>
      <c r="F643" s="10">
        <v>4.3</v>
      </c>
      <c r="G643" s="7" t="s">
        <v>681</v>
      </c>
      <c r="K643" s="17" t="str">
        <f>IFERROR(__xludf.DUMMYFUNCTION("""COMPUTED_VALUE"""),"Panasonic Eneloop BQ-CC55N Advanced, Smart and Quick Charger for AA &amp; AAA Rechargeable Batteries, White")</f>
        <v>Panasonic Eneloop BQ-CC55N Advanced, Smart and Quick Charger for AA &amp; AAA Rechargeable Batteries, White</v>
      </c>
      <c r="L643" s="17" t="str">
        <f>IFERROR(__xludf.DUMMYFUNCTION("""COMPUTED_VALUE"""),"Electronics|GeneralPurposeBatteries&amp;BatteryChargers")</f>
        <v>Electronics|GeneralPurposeBatteries&amp;BatteryChargers</v>
      </c>
      <c r="M643" s="23">
        <f>IFERROR(__xludf.DUMMYFUNCTION("""COMPUTED_VALUE"""),1500.0)</f>
        <v>1500</v>
      </c>
      <c r="N643" s="23">
        <f>IFERROR(__xludf.DUMMYFUNCTION("""COMPUTED_VALUE"""),1500.0)</f>
        <v>1500</v>
      </c>
      <c r="O643" s="24">
        <f>IFERROR(__xludf.DUMMYFUNCTION("""COMPUTED_VALUE"""),0.0)</f>
        <v>0</v>
      </c>
      <c r="P643" s="17">
        <f>IFERROR(__xludf.DUMMYFUNCTION("""COMPUTED_VALUE"""),4.4)</f>
        <v>4.4</v>
      </c>
      <c r="Q643" s="25">
        <f>IFERROR(__xludf.DUMMYFUNCTION("""COMPUTED_VALUE"""),25996.0)</f>
        <v>25996</v>
      </c>
    </row>
    <row r="644">
      <c r="A644" s="7" t="s">
        <v>21</v>
      </c>
      <c r="B644" s="7" t="s">
        <v>15</v>
      </c>
      <c r="C644" s="8">
        <v>149.0</v>
      </c>
      <c r="D644" s="8">
        <v>1000.0</v>
      </c>
      <c r="E644" s="19">
        <v>0.85</v>
      </c>
      <c r="F644" s="10">
        <v>3.9</v>
      </c>
      <c r="G644" s="11">
        <v>24870.0</v>
      </c>
      <c r="K644" s="17" t="str">
        <f>IFERROR(__xludf.DUMMYFUNCTION("""COMPUTED_VALUE"""),"Logitech K380 Wireless Multi-Device Keyboard for Windows, Apple iOS, Apple TV Android or Chrome, Bluetooth, Compact Space-Saving Design, PC/Mac/Laptop/Smartphone/Tablet (Dark Grey)")</f>
        <v>Logitech K380 Wireless Multi-Device Keyboard for Windows, Apple iOS, Apple TV Android or Chrome, Bluetooth, Compact Space-Saving Design, PC/Mac/Laptop/Smartphone/Tablet (Dark Grey)</v>
      </c>
      <c r="L644" s="17" t="str">
        <f>IFERROR(__xludf.DUMMYFUNCTION("""COMPUTED_VALUE"""),"Computers&amp;Accessories|Accessories&amp;Peripherals|Keyboards,Mice&amp;InputDevices|Keyboards")</f>
        <v>Computers&amp;Accessories|Accessories&amp;Peripherals|Keyboards,Mice&amp;InputDevices|Keyboards</v>
      </c>
      <c r="M644" s="23">
        <f>IFERROR(__xludf.DUMMYFUNCTION("""COMPUTED_VALUE"""),2640.0)</f>
        <v>2640</v>
      </c>
      <c r="N644" s="23">
        <f>IFERROR(__xludf.DUMMYFUNCTION("""COMPUTED_VALUE"""),3195.0)</f>
        <v>3195</v>
      </c>
      <c r="O644" s="24">
        <f>IFERROR(__xludf.DUMMYFUNCTION("""COMPUTED_VALUE"""),0.17)</f>
        <v>0.17</v>
      </c>
      <c r="P644" s="17">
        <f>IFERROR(__xludf.DUMMYFUNCTION("""COMPUTED_VALUE"""),4.5)</f>
        <v>4.5</v>
      </c>
      <c r="Q644" s="25">
        <f>IFERROR(__xludf.DUMMYFUNCTION("""COMPUTED_VALUE"""),16146.0)</f>
        <v>16146</v>
      </c>
    </row>
    <row r="645">
      <c r="A645" s="7" t="s">
        <v>682</v>
      </c>
      <c r="B645" s="7" t="s">
        <v>683</v>
      </c>
      <c r="C645" s="8">
        <v>717.0</v>
      </c>
      <c r="D645" s="8">
        <v>761.0</v>
      </c>
      <c r="E645" s="19">
        <v>0.06</v>
      </c>
      <c r="F645" s="10">
        <v>4.0</v>
      </c>
      <c r="G645" s="11">
        <v>7199.0</v>
      </c>
      <c r="K645" s="17" t="str">
        <f>IFERROR(__xludf.DUMMYFUNCTION("""COMPUTED_VALUE"""),"Portronics Konnect L 20W PD Quick Charge Type-C to 8-Pin USB Mobile Charging Cable, 1.2M, Tangle Resistant, Fast Data Sync(Grey)")</f>
        <v>Portronics Konnect L 20W PD Quick Charge Type-C to 8-Pin USB Mobile Charging Cable, 1.2M, Tangle Resistant, Fast Data Sync(Grey)</v>
      </c>
      <c r="L645" s="17" t="str">
        <f>IFERROR(__xludf.DUMMYFUNCTION("""COMPUTED_VALUE"""),"Computers&amp;Accessories|Accessories&amp;Peripherals|Cables&amp;Accessories|Cables|USBCables")</f>
        <v>Computers&amp;Accessories|Accessories&amp;Peripherals|Cables&amp;Accessories|Cables|USBCables</v>
      </c>
      <c r="M645" s="23">
        <f>IFERROR(__xludf.DUMMYFUNCTION("""COMPUTED_VALUE"""),263.0)</f>
        <v>263</v>
      </c>
      <c r="N645" s="23">
        <f>IFERROR(__xludf.DUMMYFUNCTION("""COMPUTED_VALUE"""),699.0)</f>
        <v>699</v>
      </c>
      <c r="O645" s="24">
        <f>IFERROR(__xludf.DUMMYFUNCTION("""COMPUTED_VALUE"""),0.62)</f>
        <v>0.62</v>
      </c>
      <c r="P645" s="17">
        <f>IFERROR(__xludf.DUMMYFUNCTION("""COMPUTED_VALUE"""),4.1)</f>
        <v>4.1</v>
      </c>
      <c r="Q645" s="17">
        <f>IFERROR(__xludf.DUMMYFUNCTION("""COMPUTED_VALUE"""),450.0)</f>
        <v>450</v>
      </c>
    </row>
    <row r="646">
      <c r="A646" s="7" t="s">
        <v>453</v>
      </c>
      <c r="B646" s="7" t="s">
        <v>454</v>
      </c>
      <c r="C646" s="8">
        <v>99.0</v>
      </c>
      <c r="D646" s="8">
        <v>999.0</v>
      </c>
      <c r="E646" s="19">
        <v>0.9</v>
      </c>
      <c r="F646" s="10">
        <v>4.0</v>
      </c>
      <c r="G646" s="11">
        <v>1396.0</v>
      </c>
      <c r="K646" s="17" t="str">
        <f>IFERROR(__xludf.DUMMYFUNCTION("""COMPUTED_VALUE"""),"Redgear Cosmo 7,1 Usb Gaming Wired Over Ear Headphones With Mic With Virtual Surround Sound,50Mm Driver, Rgb Leds &amp; Remote Control(Black)")</f>
        <v>Redgear Cosmo 7,1 Usb Gaming Wired Over Ear Headphones With Mic With Virtual Surround Sound,50Mm Driver, Rgb Leds &amp; Remote Control(Black)</v>
      </c>
      <c r="L646" s="17" t="str">
        <f>IFERROR(__xludf.DUMMYFUNCTION("""COMPUTED_VALUE"""),"Computers&amp;Accessories|Accessories&amp;Peripherals|PCGamingPeripherals|Headsets")</f>
        <v>Computers&amp;Accessories|Accessories&amp;Peripherals|PCGamingPeripherals|Headsets</v>
      </c>
      <c r="M646" s="23">
        <f>IFERROR(__xludf.DUMMYFUNCTION("""COMPUTED_VALUE"""),1990.0)</f>
        <v>1990</v>
      </c>
      <c r="N646" s="23">
        <f>IFERROR(__xludf.DUMMYFUNCTION("""COMPUTED_VALUE"""),2999.0)</f>
        <v>2999</v>
      </c>
      <c r="O646" s="24">
        <f>IFERROR(__xludf.DUMMYFUNCTION("""COMPUTED_VALUE"""),0.34)</f>
        <v>0.34</v>
      </c>
      <c r="P646" s="17">
        <f>IFERROR(__xludf.DUMMYFUNCTION("""COMPUTED_VALUE"""),4.3)</f>
        <v>4.3</v>
      </c>
      <c r="Q646" s="25">
        <f>IFERROR(__xludf.DUMMYFUNCTION("""COMPUTED_VALUE"""),14237.0)</f>
        <v>14237</v>
      </c>
    </row>
    <row r="647">
      <c r="A647" s="7" t="s">
        <v>684</v>
      </c>
      <c r="B647" s="7" t="s">
        <v>685</v>
      </c>
      <c r="C647" s="8">
        <v>39.0</v>
      </c>
      <c r="D647" s="8">
        <v>299.0</v>
      </c>
      <c r="E647" s="19">
        <v>0.87</v>
      </c>
      <c r="F647" s="10">
        <v>3.5</v>
      </c>
      <c r="G647" s="11">
        <v>15233.0</v>
      </c>
      <c r="K647" s="17" t="str">
        <f>IFERROR(__xludf.DUMMYFUNCTION("""COMPUTED_VALUE"""),"Belkin Essential Series 4-Socket Surge Protector Universal Socket with 5ft Heavy Duty Cable (Grey)")</f>
        <v>Belkin Essential Series 4-Socket Surge Protector Universal Socket with 5ft Heavy Duty Cable (Grey)</v>
      </c>
      <c r="L647" s="17" t="str">
        <f>IFERROR(__xludf.DUMMYFUNCTION("""COMPUTED_VALUE"""),"Electronics|PowerAccessories|SurgeProtectors")</f>
        <v>Electronics|PowerAccessories|SurgeProtectors</v>
      </c>
      <c r="M647" s="23">
        <f>IFERROR(__xludf.DUMMYFUNCTION("""COMPUTED_VALUE"""),1289.0)</f>
        <v>1289</v>
      </c>
      <c r="N647" s="23">
        <f>IFERROR(__xludf.DUMMYFUNCTION("""COMPUTED_VALUE"""),1499.0)</f>
        <v>1499</v>
      </c>
      <c r="O647" s="24">
        <f>IFERROR(__xludf.DUMMYFUNCTION("""COMPUTED_VALUE"""),0.14)</f>
        <v>0.14</v>
      </c>
      <c r="P647" s="17">
        <f>IFERROR(__xludf.DUMMYFUNCTION("""COMPUTED_VALUE"""),4.5)</f>
        <v>4.5</v>
      </c>
      <c r="Q647" s="25">
        <f>IFERROR(__xludf.DUMMYFUNCTION("""COMPUTED_VALUE"""),20668.0)</f>
        <v>20668</v>
      </c>
    </row>
    <row r="648">
      <c r="A648" s="7" t="s">
        <v>686</v>
      </c>
      <c r="B648" s="7" t="s">
        <v>622</v>
      </c>
      <c r="C648" s="8">
        <v>889.0</v>
      </c>
      <c r="D648" s="8">
        <v>2500.0</v>
      </c>
      <c r="E648" s="19">
        <v>0.64</v>
      </c>
      <c r="F648" s="10">
        <v>4.3</v>
      </c>
      <c r="G648" s="11">
        <v>55747.0</v>
      </c>
      <c r="K648" s="17" t="str">
        <f>IFERROR(__xludf.DUMMYFUNCTION("""COMPUTED_VALUE"""),"Classmate Long Book - Unruled, 160 Pages, 314 mm x 194 mm - Pack Of 3")</f>
        <v>Classmate Long Book - Unruled, 160 Pages, 314 mm x 194 mm - Pack Of 3</v>
      </c>
      <c r="L648" s="17" t="str">
        <f>IFERROR(__xludf.DUMMYFUNCTION("""COMPUTED_VALUE"""),"OfficeProducts|OfficePaperProducts|Paper|Stationery|Notebooks,WritingPads&amp;Diaries|CompositionNotebooks")</f>
        <v>OfficeProducts|OfficePaperProducts|Paper|Stationery|Notebooks,WritingPads&amp;Diaries|CompositionNotebooks</v>
      </c>
      <c r="M648" s="23">
        <f>IFERROR(__xludf.DUMMYFUNCTION("""COMPUTED_VALUE"""),165.0)</f>
        <v>165</v>
      </c>
      <c r="N648" s="23">
        <f>IFERROR(__xludf.DUMMYFUNCTION("""COMPUTED_VALUE"""),165.0)</f>
        <v>165</v>
      </c>
      <c r="O648" s="24">
        <f>IFERROR(__xludf.DUMMYFUNCTION("""COMPUTED_VALUE"""),0.0)</f>
        <v>0</v>
      </c>
      <c r="P648" s="17">
        <f>IFERROR(__xludf.DUMMYFUNCTION("""COMPUTED_VALUE"""),4.5)</f>
        <v>4.5</v>
      </c>
      <c r="Q648" s="25">
        <f>IFERROR(__xludf.DUMMYFUNCTION("""COMPUTED_VALUE"""),1674.0)</f>
        <v>1674</v>
      </c>
    </row>
    <row r="649">
      <c r="A649" s="7" t="s">
        <v>687</v>
      </c>
      <c r="B649" s="7" t="s">
        <v>393</v>
      </c>
      <c r="C649" s="8">
        <v>1199.0</v>
      </c>
      <c r="D649" s="8">
        <v>4999.0</v>
      </c>
      <c r="E649" s="19">
        <v>0.76</v>
      </c>
      <c r="F649" s="10">
        <v>3.8</v>
      </c>
      <c r="G649" s="11">
        <v>14961.0</v>
      </c>
      <c r="K649" s="17" t="str">
        <f>IFERROR(__xludf.DUMMYFUNCTION("""COMPUTED_VALUE"""),"Imou 360° 1080P Full HD Security Camera, Human Detection, Motion Tracking, 2-Way Audio, Night Vision, Dome Camera with WiFi &amp; Ethernet Connection, Alexa Google Assistant, Up to 256GB SD Card Support")</f>
        <v>Imou 360° 1080P Full HD Security Camera, Human Detection, Motion Tracking, 2-Way Audio, Night Vision, Dome Camera with WiFi &amp; Ethernet Connection, Alexa Google Assistant, Up to 256GB SD Card Support</v>
      </c>
      <c r="L649" s="17" t="str">
        <f>IFERROR(__xludf.DUMMYFUNCTION("""COMPUTED_VALUE"""),"Electronics|Cameras&amp;Photography|SecurityCameras|DomeCameras")</f>
        <v>Electronics|Cameras&amp;Photography|SecurityCameras|DomeCameras</v>
      </c>
      <c r="M649" s="23">
        <f>IFERROR(__xludf.DUMMYFUNCTION("""COMPUTED_VALUE"""),2299.0)</f>
        <v>2299</v>
      </c>
      <c r="N649" s="23">
        <f>IFERROR(__xludf.DUMMYFUNCTION("""COMPUTED_VALUE"""),7500.0)</f>
        <v>7500</v>
      </c>
      <c r="O649" s="24">
        <f>IFERROR(__xludf.DUMMYFUNCTION("""COMPUTED_VALUE"""),0.69)</f>
        <v>0.69</v>
      </c>
      <c r="P649" s="17">
        <f>IFERROR(__xludf.DUMMYFUNCTION("""COMPUTED_VALUE"""),4.1)</f>
        <v>4.1</v>
      </c>
      <c r="Q649" s="25">
        <f>IFERROR(__xludf.DUMMYFUNCTION("""COMPUTED_VALUE"""),5554.0)</f>
        <v>5554</v>
      </c>
    </row>
    <row r="650">
      <c r="A650" s="7" t="s">
        <v>688</v>
      </c>
      <c r="B650" s="7" t="s">
        <v>625</v>
      </c>
      <c r="C650" s="8">
        <v>569.0</v>
      </c>
      <c r="D650" s="8">
        <v>1299.0</v>
      </c>
      <c r="E650" s="19">
        <v>0.56</v>
      </c>
      <c r="F650" s="10">
        <v>4.4</v>
      </c>
      <c r="G650" s="11">
        <v>9275.0</v>
      </c>
      <c r="K650" s="17" t="str">
        <f>IFERROR(__xludf.DUMMYFUNCTION("""COMPUTED_VALUE"""),"Amazon Basics USB Type-C to USB-A 2.0 Male Fast Charging Cable for Laptop - 3 Feet (0.9 Meters), Black")</f>
        <v>Amazon Basics USB Type-C to USB-A 2.0 Male Fast Charging Cable for Laptop - 3 Feet (0.9 Meters), Black</v>
      </c>
      <c r="L650" s="17" t="str">
        <f>IFERROR(__xludf.DUMMYFUNCTION("""COMPUTED_VALUE"""),"Computers&amp;Accessories|Accessories&amp;Peripherals|Cables&amp;Accessories|Cables|USBCables")</f>
        <v>Computers&amp;Accessories|Accessories&amp;Peripherals|Cables&amp;Accessories|Cables|USBCables</v>
      </c>
      <c r="M650" s="23">
        <f>IFERROR(__xludf.DUMMYFUNCTION("""COMPUTED_VALUE"""),219.0)</f>
        <v>219</v>
      </c>
      <c r="N650" s="23">
        <f>IFERROR(__xludf.DUMMYFUNCTION("""COMPUTED_VALUE"""),700.0)</f>
        <v>700</v>
      </c>
      <c r="O650" s="24">
        <f>IFERROR(__xludf.DUMMYFUNCTION("""COMPUTED_VALUE"""),0.69)</f>
        <v>0.69</v>
      </c>
      <c r="P650" s="17">
        <f>IFERROR(__xludf.DUMMYFUNCTION("""COMPUTED_VALUE"""),4.3)</f>
        <v>4.3</v>
      </c>
      <c r="Q650" s="25">
        <f>IFERROR(__xludf.DUMMYFUNCTION("""COMPUTED_VALUE"""),20053.0)</f>
        <v>20053</v>
      </c>
    </row>
    <row r="651">
      <c r="A651" s="7" t="s">
        <v>689</v>
      </c>
      <c r="B651" s="7" t="s">
        <v>393</v>
      </c>
      <c r="C651" s="8">
        <v>1499.0</v>
      </c>
      <c r="D651" s="8">
        <v>8999.0</v>
      </c>
      <c r="E651" s="19">
        <v>0.83</v>
      </c>
      <c r="F651" s="10">
        <v>3.7</v>
      </c>
      <c r="G651" s="11">
        <v>28324.0</v>
      </c>
      <c r="K651" s="17" t="str">
        <f>IFERROR(__xludf.DUMMYFUNCTION("""COMPUTED_VALUE"""),"Xiaomi Pad 5| Qualcomm Snapdragon 860| 120Hz Refresh Rate| 6GB, 128GB| 2.5K+ Display (10.95-inch/27.81cm)|1 Billion Colours| Dolby Vision Atmos| Quad Speakers| Wi-Fi| Gray")</f>
        <v>Xiaomi Pad 5| Qualcomm Snapdragon 860| 120Hz Refresh Rate| 6GB, 128GB| 2.5K+ Display (10.95-inch/27.81cm)|1 Billion Colours| Dolby Vision Atmos| Quad Speakers| Wi-Fi| Gray</v>
      </c>
      <c r="L651" s="17" t="str">
        <f>IFERROR(__xludf.DUMMYFUNCTION("""COMPUTED_VALUE"""),"Computers&amp;Accessories|Tablets")</f>
        <v>Computers&amp;Accessories|Tablets</v>
      </c>
      <c r="M651" s="23">
        <f>IFERROR(__xludf.DUMMYFUNCTION("""COMPUTED_VALUE"""),26999.0)</f>
        <v>26999</v>
      </c>
      <c r="N651" s="23">
        <f>IFERROR(__xludf.DUMMYFUNCTION("""COMPUTED_VALUE"""),37999.0)</f>
        <v>37999</v>
      </c>
      <c r="O651" s="24">
        <f>IFERROR(__xludf.DUMMYFUNCTION("""COMPUTED_VALUE"""),0.29)</f>
        <v>0.29</v>
      </c>
      <c r="P651" s="17">
        <f>IFERROR(__xludf.DUMMYFUNCTION("""COMPUTED_VALUE"""),4.6)</f>
        <v>4.6</v>
      </c>
      <c r="Q651" s="25">
        <f>IFERROR(__xludf.DUMMYFUNCTION("""COMPUTED_VALUE"""),2886.0)</f>
        <v>2886</v>
      </c>
    </row>
    <row r="652">
      <c r="A652" s="7" t="s">
        <v>690</v>
      </c>
      <c r="B652" s="7" t="s">
        <v>652</v>
      </c>
      <c r="C652" s="8">
        <v>149.0</v>
      </c>
      <c r="D652" s="8">
        <v>180.0</v>
      </c>
      <c r="E652" s="19">
        <v>0.17</v>
      </c>
      <c r="F652" s="10">
        <v>4.4</v>
      </c>
      <c r="G652" s="10">
        <v>644.0</v>
      </c>
      <c r="K652" s="17" t="str">
        <f>IFERROR(__xludf.DUMMYFUNCTION("""COMPUTED_VALUE"""),"Sennheiser CX 80S in-Ear Wired Headphones with in-line One-Button Smart Remote with Microphone Black")</f>
        <v>Sennheiser CX 80S in-Ear Wired Headphones with in-line One-Button Smart Remote with Microphone Black</v>
      </c>
      <c r="L652" s="17" t="str">
        <f>IFERROR(__xludf.DUMMYFUNCTION("""COMPUTED_VALUE"""),"Electronics|Headphones,Earbuds&amp;Accessories|Headphones|In-Ear")</f>
        <v>Electronics|Headphones,Earbuds&amp;Accessories|Headphones|In-Ear</v>
      </c>
      <c r="M652" s="23">
        <f>IFERROR(__xludf.DUMMYFUNCTION("""COMPUTED_VALUE"""),1490.0)</f>
        <v>1490</v>
      </c>
      <c r="N652" s="23">
        <f>IFERROR(__xludf.DUMMYFUNCTION("""COMPUTED_VALUE"""),1990.0)</f>
        <v>1990</v>
      </c>
      <c r="O652" s="24">
        <f>IFERROR(__xludf.DUMMYFUNCTION("""COMPUTED_VALUE"""),0.25)</f>
        <v>0.25</v>
      </c>
      <c r="P652" s="17">
        <f>IFERROR(__xludf.DUMMYFUNCTION("""COMPUTED_VALUE"""),4.1)</f>
        <v>4.1</v>
      </c>
      <c r="Q652" s="25">
        <f>IFERROR(__xludf.DUMMYFUNCTION("""COMPUTED_VALUE"""),98250.0)</f>
        <v>98250</v>
      </c>
    </row>
    <row r="653">
      <c r="A653" s="7" t="s">
        <v>691</v>
      </c>
      <c r="B653" s="7" t="s">
        <v>692</v>
      </c>
      <c r="C653" s="8">
        <v>399.0</v>
      </c>
      <c r="D653" s="8">
        <v>549.0</v>
      </c>
      <c r="E653" s="19">
        <v>0.27</v>
      </c>
      <c r="F653" s="10">
        <v>4.4</v>
      </c>
      <c r="G653" s="11">
        <v>18139.0</v>
      </c>
      <c r="K653" s="17" t="str">
        <f>IFERROR(__xludf.DUMMYFUNCTION("""COMPUTED_VALUE"""),"oraimo 65W Type C to C Fast Charging Cable USB C to USB C Cable High Speed Syncing, Nylon Braided 1M length with LED Indicator Compatible For Laptop, Macbook, Samsung Galaxy S22 S20 S10 S20Fe S21 S21 Ultra A70 A51 A71 A50S M31 M51 M31S M53 5G")</f>
        <v>oraimo 65W Type C to C Fast Charging Cable USB C to USB C Cable High Speed Syncing, Nylon Braided 1M length with LED Indicator Compatible For Laptop, Macbook, Samsung Galaxy S22 S20 S10 S20Fe S21 S21 Ultra A70 A51 A71 A50S M31 M51 M31S M53 5G</v>
      </c>
      <c r="L653" s="17" t="str">
        <f>IFERROR(__xludf.DUMMYFUNCTION("""COMPUTED_VALUE"""),"Computers&amp;Accessories|Accessories&amp;Peripherals|Cables&amp;Accessories|Cables|USBCables")</f>
        <v>Computers&amp;Accessories|Accessories&amp;Peripherals|Cables&amp;Accessories|Cables|USBCables</v>
      </c>
      <c r="M653" s="23">
        <f>IFERROR(__xludf.DUMMYFUNCTION("""COMPUTED_VALUE"""),349.0)</f>
        <v>349</v>
      </c>
      <c r="N653" s="23">
        <f>IFERROR(__xludf.DUMMYFUNCTION("""COMPUTED_VALUE"""),899.0)</f>
        <v>899</v>
      </c>
      <c r="O653" s="24">
        <f>IFERROR(__xludf.DUMMYFUNCTION("""COMPUTED_VALUE"""),0.61)</f>
        <v>0.61</v>
      </c>
      <c r="P653" s="17">
        <f>IFERROR(__xludf.DUMMYFUNCTION("""COMPUTED_VALUE"""),4.5)</f>
        <v>4.5</v>
      </c>
      <c r="Q653" s="17">
        <f>IFERROR(__xludf.DUMMYFUNCTION("""COMPUTED_VALUE"""),149.0)</f>
        <v>149</v>
      </c>
    </row>
    <row r="654">
      <c r="A654" s="7" t="s">
        <v>693</v>
      </c>
      <c r="B654" s="7" t="s">
        <v>694</v>
      </c>
      <c r="C654" s="8">
        <v>191.0</v>
      </c>
      <c r="D654" s="8">
        <v>225.0</v>
      </c>
      <c r="E654" s="19">
        <v>0.15</v>
      </c>
      <c r="F654" s="10">
        <v>4.4</v>
      </c>
      <c r="G654" s="11">
        <v>7203.0</v>
      </c>
      <c r="K654" s="17" t="str">
        <f>IFERROR(__xludf.DUMMYFUNCTION("""COMPUTED_VALUE"""),"HP 65W AC Laptops Charger Adapter 4.5mm for HP Pavilion Black (Without Power Cable)")</f>
        <v>HP 65W AC Laptops Charger Adapter 4.5mm for HP Pavilion Black (Without Power Cable)</v>
      </c>
      <c r="L654" s="17" t="str">
        <f>IFERROR(__xludf.DUMMYFUNCTION("""COMPUTED_VALUE"""),"Computers&amp;Accessories|Accessories&amp;Peripherals|LaptopAccessories|LaptopChargers&amp;PowerSupplies")</f>
        <v>Computers&amp;Accessories|Accessories&amp;Peripherals|LaptopAccessories|LaptopChargers&amp;PowerSupplies</v>
      </c>
      <c r="M654" s="23">
        <f>IFERROR(__xludf.DUMMYFUNCTION("""COMPUTED_VALUE"""),770.0)</f>
        <v>770</v>
      </c>
      <c r="N654" s="23">
        <f>IFERROR(__xludf.DUMMYFUNCTION("""COMPUTED_VALUE"""),1547.0)</f>
        <v>1547</v>
      </c>
      <c r="O654" s="24">
        <f>IFERROR(__xludf.DUMMYFUNCTION("""COMPUTED_VALUE"""),0.5)</f>
        <v>0.5</v>
      </c>
      <c r="P654" s="17">
        <f>IFERROR(__xludf.DUMMYFUNCTION("""COMPUTED_VALUE"""),4.3)</f>
        <v>4.3</v>
      </c>
      <c r="Q654" s="25">
        <f>IFERROR(__xludf.DUMMYFUNCTION("""COMPUTED_VALUE"""),2585.0)</f>
        <v>2585</v>
      </c>
    </row>
    <row r="655">
      <c r="A655" s="7" t="s">
        <v>695</v>
      </c>
      <c r="B655" s="7" t="s">
        <v>696</v>
      </c>
      <c r="C655" s="8">
        <v>129.0</v>
      </c>
      <c r="D655" s="8">
        <v>999.0</v>
      </c>
      <c r="E655" s="19">
        <v>0.87</v>
      </c>
      <c r="F655" s="10">
        <v>4.2</v>
      </c>
      <c r="G655" s="10">
        <v>491.0</v>
      </c>
      <c r="K655" s="17" t="str">
        <f>IFERROR(__xludf.DUMMYFUNCTION("""COMPUTED_VALUE"""),"Gizga Essentials Cable Organiser, Cord Management System for PC, TV, Home Theater, Speaker &amp; Cables, Reusable Cable Organizer for Desk, WFH Accessories, Organizer Tape Roll, Reusable Cable Ties Strap")</f>
        <v>Gizga Essentials Cable Organiser, Cord Management System for PC, TV, Home Theater, Speaker &amp; Cables, Reusable Cable Organizer for Desk, WFH Accessories, Organizer Tape Roll, Reusable Cable Ties Strap</v>
      </c>
      <c r="L655" s="17" t="str">
        <f>IFERROR(__xludf.DUMMYFUNCTION("""COMPUTED_VALUE"""),"HomeImprovement|Electrical|CordManagement")</f>
        <v>HomeImprovement|Electrical|CordManagement</v>
      </c>
      <c r="M655" s="23">
        <f>IFERROR(__xludf.DUMMYFUNCTION("""COMPUTED_VALUE"""),249.0)</f>
        <v>249</v>
      </c>
      <c r="N655" s="23">
        <f>IFERROR(__xludf.DUMMYFUNCTION("""COMPUTED_VALUE"""),599.0)</f>
        <v>599</v>
      </c>
      <c r="O655" s="24">
        <f>IFERROR(__xludf.DUMMYFUNCTION("""COMPUTED_VALUE"""),0.58)</f>
        <v>0.58</v>
      </c>
      <c r="P655" s="17">
        <f>IFERROR(__xludf.DUMMYFUNCTION("""COMPUTED_VALUE"""),4.5)</f>
        <v>4.5</v>
      </c>
      <c r="Q655" s="25">
        <f>IFERROR(__xludf.DUMMYFUNCTION("""COMPUTED_VALUE"""),5985.0)</f>
        <v>5985</v>
      </c>
    </row>
    <row r="656">
      <c r="A656" s="7" t="s">
        <v>697</v>
      </c>
      <c r="B656" s="7" t="s">
        <v>698</v>
      </c>
      <c r="C656" s="8">
        <v>199.0</v>
      </c>
      <c r="D656" s="8">
        <v>599.0</v>
      </c>
      <c r="E656" s="19">
        <v>0.67</v>
      </c>
      <c r="F656" s="10">
        <v>4.5</v>
      </c>
      <c r="G656" s="11">
        <v>13568.0</v>
      </c>
      <c r="K656" s="17" t="str">
        <f>IFERROR(__xludf.DUMMYFUNCTION("""COMPUTED_VALUE"""),"Camel Oil Pastel with Reusable Plastic Box - 50 Shades")</f>
        <v>Camel Oil Pastel with Reusable Plastic Box - 50 Shades</v>
      </c>
      <c r="L656" s="17" t="str">
        <f>IFERROR(__xludf.DUMMYFUNCTION("""COMPUTED_VALUE"""),"Home&amp;Kitchen|CraftMaterials|PaintingMaterials")</f>
        <v>Home&amp;Kitchen|CraftMaterials|PaintingMaterials</v>
      </c>
      <c r="M656" s="23">
        <f>IFERROR(__xludf.DUMMYFUNCTION("""COMPUTED_VALUE"""),230.0)</f>
        <v>230</v>
      </c>
      <c r="N656" s="23">
        <f>IFERROR(__xludf.DUMMYFUNCTION("""COMPUTED_VALUE"""),230.0)</f>
        <v>230</v>
      </c>
      <c r="O656" s="24">
        <f>IFERROR(__xludf.DUMMYFUNCTION("""COMPUTED_VALUE"""),0.0)</f>
        <v>0</v>
      </c>
      <c r="P656" s="17">
        <f>IFERROR(__xludf.DUMMYFUNCTION("""COMPUTED_VALUE"""),4.5)</f>
        <v>4.5</v>
      </c>
      <c r="Q656" s="25">
        <f>IFERROR(__xludf.DUMMYFUNCTION("""COMPUTED_VALUE"""),9427.0)</f>
        <v>9427</v>
      </c>
    </row>
    <row r="657">
      <c r="A657" s="7" t="s">
        <v>699</v>
      </c>
      <c r="B657" s="7" t="s">
        <v>393</v>
      </c>
      <c r="C657" s="8">
        <v>999.0</v>
      </c>
      <c r="D657" s="8">
        <v>4499.0</v>
      </c>
      <c r="E657" s="19">
        <v>0.78</v>
      </c>
      <c r="F657" s="10">
        <v>3.8</v>
      </c>
      <c r="G657" s="11">
        <v>3390.0</v>
      </c>
      <c r="K657" s="17" t="str">
        <f>IFERROR(__xludf.DUMMYFUNCTION("""COMPUTED_VALUE"""),"boAt Type C A750 Stress Resistant, Tangle-free, Sturdy Flat Cable with 6.5A Fast Charging &amp; 480Mbps Data Transmission, 10000+ Bends Lifespan and Extended 1.5m Length(Rebellious Black)")</f>
        <v>boAt Type C A750 Stress Resistant, Tangle-free, Sturdy Flat Cable with 6.5A Fast Charging &amp; 480Mbps Data Transmission, 10000+ Bends Lifespan and Extended 1.5m Length(Rebellious Black)</v>
      </c>
      <c r="L657" s="17" t="str">
        <f>IFERROR(__xludf.DUMMYFUNCTION("""COMPUTED_VALUE"""),"Computers&amp;Accessories|Accessories&amp;Peripherals|Cables&amp;Accessories|Cables|USBCables")</f>
        <v>Computers&amp;Accessories|Accessories&amp;Peripherals|Cables&amp;Accessories|Cables|USBCables</v>
      </c>
      <c r="M657" s="23">
        <f>IFERROR(__xludf.DUMMYFUNCTION("""COMPUTED_VALUE"""),399.0)</f>
        <v>399</v>
      </c>
      <c r="N657" s="23">
        <f>IFERROR(__xludf.DUMMYFUNCTION("""COMPUTED_VALUE"""),999.0)</f>
        <v>999</v>
      </c>
      <c r="O657" s="24">
        <f>IFERROR(__xludf.DUMMYFUNCTION("""COMPUTED_VALUE"""),0.6)</f>
        <v>0.6</v>
      </c>
      <c r="P657" s="17">
        <f>IFERROR(__xludf.DUMMYFUNCTION("""COMPUTED_VALUE"""),4.1)</f>
        <v>4.1</v>
      </c>
      <c r="Q657" s="25">
        <f>IFERROR(__xludf.DUMMYFUNCTION("""COMPUTED_VALUE"""),1780.0)</f>
        <v>1780</v>
      </c>
    </row>
    <row r="658">
      <c r="A658" s="7" t="s">
        <v>700</v>
      </c>
      <c r="B658" s="7" t="s">
        <v>393</v>
      </c>
      <c r="C658" s="8">
        <v>899.0</v>
      </c>
      <c r="D658" s="8">
        <v>4499.0</v>
      </c>
      <c r="E658" s="19">
        <v>0.8</v>
      </c>
      <c r="F658" s="10">
        <v>3.8</v>
      </c>
      <c r="G658" s="7" t="s">
        <v>701</v>
      </c>
      <c r="K658" s="17" t="str">
        <f>IFERROR(__xludf.DUMMYFUNCTION("""COMPUTED_VALUE"""),"HP M270 Backlit USB Wired Gaming Mouse with 6 Buttons, 4-Speed Customizable 2400 DPI, Ergonomic Design, Breathing LED Lighting, Metal Scroll Wheel, Lightweighted / 3 Years Warranty (7ZZ87AA), Black")</f>
        <v>HP M270 Backlit USB Wired Gaming Mouse with 6 Buttons, 4-Speed Customizable 2400 DPI, Ergonomic Design, Breathing LED Lighting, Metal Scroll Wheel, Lightweighted / 3 Years Warranty (7ZZ87AA), Black</v>
      </c>
      <c r="L658" s="17" t="str">
        <f>IFERROR(__xludf.DUMMYFUNCTION("""COMPUTED_VALUE"""),"Computers&amp;Accessories|Accessories&amp;Peripherals|PCGamingPeripherals|GamingMice")</f>
        <v>Computers&amp;Accessories|Accessories&amp;Peripherals|PCGamingPeripherals|GamingMice</v>
      </c>
      <c r="M658" s="23">
        <f>IFERROR(__xludf.DUMMYFUNCTION("""COMPUTED_VALUE"""),599.0)</f>
        <v>599</v>
      </c>
      <c r="N658" s="23">
        <f>IFERROR(__xludf.DUMMYFUNCTION("""COMPUTED_VALUE"""),700.0)</f>
        <v>700</v>
      </c>
      <c r="O658" s="24">
        <f>IFERROR(__xludf.DUMMYFUNCTION("""COMPUTED_VALUE"""),0.14)</f>
        <v>0.14</v>
      </c>
      <c r="P658" s="17">
        <f>IFERROR(__xludf.DUMMYFUNCTION("""COMPUTED_VALUE"""),4.3)</f>
        <v>4.3</v>
      </c>
      <c r="Q658" s="25">
        <f>IFERROR(__xludf.DUMMYFUNCTION("""COMPUTED_VALUE"""),2301.0)</f>
        <v>2301</v>
      </c>
    </row>
    <row r="659">
      <c r="A659" s="7" t="s">
        <v>463</v>
      </c>
      <c r="B659" s="7" t="s">
        <v>377</v>
      </c>
      <c r="C659" s="8">
        <v>1799.0</v>
      </c>
      <c r="D659" s="8">
        <v>2499.0</v>
      </c>
      <c r="E659" s="19">
        <v>0.28</v>
      </c>
      <c r="F659" s="10">
        <v>4.1</v>
      </c>
      <c r="G659" s="11">
        <v>18678.0</v>
      </c>
      <c r="K659" s="17" t="str">
        <f>IFERROR(__xludf.DUMMYFUNCTION("""COMPUTED_VALUE"""),"Foxin FTC 12A / Q2612A Black Laser Toner Cartridge Compatible with Laserjet 1020,M1005,1018,1010,1012,1015,1020 Plus,1022,3015,3020,3030,3050, 3050Z, 3052,3055 (Black)")</f>
        <v>Foxin FTC 12A / Q2612A Black Laser Toner Cartridge Compatible with Laserjet 1020,M1005,1018,1010,1012,1015,1020 Plus,1022,3015,3020,3030,3050, 3050Z, 3052,3055 (Black)</v>
      </c>
      <c r="L659" s="17" t="str">
        <f>IFERROR(__xludf.DUMMYFUNCTION("""COMPUTED_VALUE"""),"Computers&amp;Accessories|Printers,Inks&amp;Accessories|Inks,Toners&amp;Cartridges|TonerCartridges")</f>
        <v>Computers&amp;Accessories|Printers,Inks&amp;Accessories|Inks,Toners&amp;Cartridges|TonerCartridges</v>
      </c>
      <c r="M659" s="23">
        <f>IFERROR(__xludf.DUMMYFUNCTION("""COMPUTED_VALUE"""),598.0)</f>
        <v>598</v>
      </c>
      <c r="N659" s="23">
        <f>IFERROR(__xludf.DUMMYFUNCTION("""COMPUTED_VALUE"""),1150.0)</f>
        <v>1150</v>
      </c>
      <c r="O659" s="24">
        <f>IFERROR(__xludf.DUMMYFUNCTION("""COMPUTED_VALUE"""),0.48)</f>
        <v>0.48</v>
      </c>
      <c r="P659" s="17">
        <f>IFERROR(__xludf.DUMMYFUNCTION("""COMPUTED_VALUE"""),4.1)</f>
        <v>4.1</v>
      </c>
      <c r="Q659" s="25">
        <f>IFERROR(__xludf.DUMMYFUNCTION("""COMPUTED_VALUE"""),2535.0)</f>
        <v>2535</v>
      </c>
    </row>
    <row r="660">
      <c r="A660" s="7" t="s">
        <v>22</v>
      </c>
      <c r="B660" s="7" t="s">
        <v>15</v>
      </c>
      <c r="C660" s="8">
        <v>176.63</v>
      </c>
      <c r="D660" s="8">
        <v>499.0</v>
      </c>
      <c r="E660" s="19">
        <v>0.65</v>
      </c>
      <c r="F660" s="10">
        <v>4.1</v>
      </c>
      <c r="G660" s="11">
        <v>15189.0</v>
      </c>
      <c r="K660" s="17" t="str">
        <f>IFERROR(__xludf.DUMMYFUNCTION("""COMPUTED_VALUE"""),"PC SQUARE Laptop Tabletop Stand/ Computer Tablet Stand 6 Angles Adjustable Aluminum Ergonomic Foldable Portable Desktop Holder Compatible with MacBook, HP, Dell, Lenovo &amp; All Other Notebook (Silver)")</f>
        <v>PC SQUARE Laptop Tabletop Stand/ Computer Tablet Stand 6 Angles Adjustable Aluminum Ergonomic Foldable Portable Desktop Holder Compatible with MacBook, HP, Dell, Lenovo &amp; All Other Notebook (Silver)</v>
      </c>
      <c r="L660" s="17" t="str">
        <f>IFERROR(__xludf.DUMMYFUNCTION("""COMPUTED_VALUE"""),"Computers&amp;Accessories|Accessories&amp;Peripherals|LaptopAccessories|Lapdesks")</f>
        <v>Computers&amp;Accessories|Accessories&amp;Peripherals|LaptopAccessories|Lapdesks</v>
      </c>
      <c r="M660" s="23">
        <f>IFERROR(__xludf.DUMMYFUNCTION("""COMPUTED_VALUE"""),499.0)</f>
        <v>499</v>
      </c>
      <c r="N660" s="23">
        <f>IFERROR(__xludf.DUMMYFUNCTION("""COMPUTED_VALUE"""),1299.0)</f>
        <v>1299</v>
      </c>
      <c r="O660" s="24">
        <f>IFERROR(__xludf.DUMMYFUNCTION("""COMPUTED_VALUE"""),0.62)</f>
        <v>0.62</v>
      </c>
      <c r="P660" s="17">
        <f>IFERROR(__xludf.DUMMYFUNCTION("""COMPUTED_VALUE"""),4.1)</f>
        <v>4.1</v>
      </c>
      <c r="Q660" s="25">
        <f>IFERROR(__xludf.DUMMYFUNCTION("""COMPUTED_VALUE"""),2740.0)</f>
        <v>2740</v>
      </c>
    </row>
    <row r="661">
      <c r="A661" s="7" t="s">
        <v>702</v>
      </c>
      <c r="B661" s="7" t="s">
        <v>674</v>
      </c>
      <c r="C661" s="8">
        <v>522.0</v>
      </c>
      <c r="D661" s="8">
        <v>550.0</v>
      </c>
      <c r="E661" s="19">
        <v>0.05</v>
      </c>
      <c r="F661" s="10">
        <v>4.4</v>
      </c>
      <c r="G661" s="11">
        <v>12179.0</v>
      </c>
      <c r="K661" s="17" t="str">
        <f>IFERROR(__xludf.DUMMYFUNCTION("""COMPUTED_VALUE"""),"Ambrane 2 in 1 Type-C &amp; Micro USB Cable with 60W / 3A Fast Charging, 480 mbps High Data, PD Technology &amp; Quick Charge 3.0, Compatible with All Type-C &amp; Micro USB Devices (ABDC-10, Black)")</f>
        <v>Ambrane 2 in 1 Type-C &amp; Micro USB Cable with 60W / 3A Fast Charging, 480 mbps High Data, PD Technology &amp; Quick Charge 3.0, Compatible with All Type-C &amp; Micro USB Devices (ABDC-10, Black)</v>
      </c>
      <c r="L661" s="17" t="str">
        <f>IFERROR(__xludf.DUMMYFUNCTION("""COMPUTED_VALUE"""),"Computers&amp;Accessories|Accessories&amp;Peripherals|Cables&amp;Accessories|Cables|USBCables")</f>
        <v>Computers&amp;Accessories|Accessories&amp;Peripherals|Cables&amp;Accessories|Cables|USBCables</v>
      </c>
      <c r="M661" s="23">
        <f>IFERROR(__xludf.DUMMYFUNCTION("""COMPUTED_VALUE"""),199.0)</f>
        <v>199</v>
      </c>
      <c r="N661" s="23">
        <f>IFERROR(__xludf.DUMMYFUNCTION("""COMPUTED_VALUE"""),499.0)</f>
        <v>499</v>
      </c>
      <c r="O661" s="24">
        <f>IFERROR(__xludf.DUMMYFUNCTION("""COMPUTED_VALUE"""),0.6)</f>
        <v>0.6</v>
      </c>
      <c r="P661" s="17">
        <f>IFERROR(__xludf.DUMMYFUNCTION("""COMPUTED_VALUE"""),4.1)</f>
        <v>4.1</v>
      </c>
      <c r="Q661" s="17">
        <f>IFERROR(__xludf.DUMMYFUNCTION("""COMPUTED_VALUE"""),602.0)</f>
        <v>602</v>
      </c>
    </row>
    <row r="662">
      <c r="A662" s="7" t="s">
        <v>703</v>
      </c>
      <c r="B662" s="7" t="s">
        <v>704</v>
      </c>
      <c r="C662" s="8">
        <v>799.0</v>
      </c>
      <c r="D662" s="8">
        <v>1999.0</v>
      </c>
      <c r="E662" s="19">
        <v>0.6</v>
      </c>
      <c r="F662" s="10">
        <v>3.8</v>
      </c>
      <c r="G662" s="11">
        <v>12958.0</v>
      </c>
      <c r="K662" s="17" t="str">
        <f>IFERROR(__xludf.DUMMYFUNCTION("""COMPUTED_VALUE"""),"Lenovo 130 Wireless Compact Mouse, 1K DPI Optical sensor, 2.4GHz Wireless NanoUSB, 10m range, 3button(left,right,scroll) upto 3M left/right clicks, 10 month battery, Ambidextrous, Ergonomic GY51C12380")</f>
        <v>Lenovo 130 Wireless Compact Mouse, 1K DPI Optical sensor, 2.4GHz Wireless NanoUSB, 10m range, 3button(left,right,scroll) upto 3M left/right clicks, 10 month battery, Ambidextrous, Ergonomic GY51C12380</v>
      </c>
      <c r="L662" s="17" t="str">
        <f>IFERROR(__xludf.DUMMYFUNCTION("""COMPUTED_VALUE"""),"Computers&amp;Accessories|Accessories&amp;Peripherals|Keyboards,Mice&amp;InputDevices|Mice")</f>
        <v>Computers&amp;Accessories|Accessories&amp;Peripherals|Keyboards,Mice&amp;InputDevices|Mice</v>
      </c>
      <c r="M662" s="23">
        <f>IFERROR(__xludf.DUMMYFUNCTION("""COMPUTED_VALUE"""),579.0)</f>
        <v>579</v>
      </c>
      <c r="N662" s="23">
        <f>IFERROR(__xludf.DUMMYFUNCTION("""COMPUTED_VALUE"""),1090.0)</f>
        <v>1090</v>
      </c>
      <c r="O662" s="24">
        <f>IFERROR(__xludf.DUMMYFUNCTION("""COMPUTED_VALUE"""),0.47)</f>
        <v>0.47</v>
      </c>
      <c r="P662" s="17">
        <f>IFERROR(__xludf.DUMMYFUNCTION("""COMPUTED_VALUE"""),4.4)</f>
        <v>4.4</v>
      </c>
      <c r="Q662" s="25">
        <f>IFERROR(__xludf.DUMMYFUNCTION("""COMPUTED_VALUE"""),3482.0)</f>
        <v>3482</v>
      </c>
    </row>
    <row r="663">
      <c r="A663" s="7" t="s">
        <v>705</v>
      </c>
      <c r="B663" s="7" t="s">
        <v>625</v>
      </c>
      <c r="C663" s="8">
        <v>681.0</v>
      </c>
      <c r="D663" s="8">
        <v>1199.0</v>
      </c>
      <c r="E663" s="19">
        <v>0.43</v>
      </c>
      <c r="F663" s="10">
        <v>4.2</v>
      </c>
      <c r="G663" s="11">
        <v>8258.0</v>
      </c>
      <c r="K663" s="17" t="str">
        <f>IFERROR(__xludf.DUMMYFUNCTION("""COMPUTED_VALUE"""),"Pilot Frixion Clicker Roller Pen (Blue), (9000019529)")</f>
        <v>Pilot Frixion Clicker Roller Pen (Blue), (9000019529)</v>
      </c>
      <c r="L663" s="17" t="str">
        <f>IFERROR(__xludf.DUMMYFUNCTION("""COMPUTED_VALUE"""),"OfficeProducts|OfficePaperProducts|Paper|Stationery|Pens,Pencils&amp;WritingSupplies|Pens&amp;Refills|LiquidInkRollerballPens")</f>
        <v>OfficeProducts|OfficePaperProducts|Paper|Stationery|Pens,Pencils&amp;WritingSupplies|Pens&amp;Refills|LiquidInkRollerballPens</v>
      </c>
      <c r="M663" s="23">
        <f>IFERROR(__xludf.DUMMYFUNCTION("""COMPUTED_VALUE"""),90.0)</f>
        <v>90</v>
      </c>
      <c r="N663" s="23">
        <f>IFERROR(__xludf.DUMMYFUNCTION("""COMPUTED_VALUE"""),100.0)</f>
        <v>100</v>
      </c>
      <c r="O663" s="24">
        <f>IFERROR(__xludf.DUMMYFUNCTION("""COMPUTED_VALUE"""),0.1)</f>
        <v>0.1</v>
      </c>
      <c r="P663" s="17">
        <f>IFERROR(__xludf.DUMMYFUNCTION("""COMPUTED_VALUE"""),4.1)</f>
        <v>4.1</v>
      </c>
      <c r="Q663" s="25">
        <f>IFERROR(__xludf.DUMMYFUNCTION("""COMPUTED_VALUE"""),6199.0)</f>
        <v>6199</v>
      </c>
    </row>
    <row r="664">
      <c r="A664" s="7" t="s">
        <v>706</v>
      </c>
      <c r="B664" s="7" t="s">
        <v>707</v>
      </c>
      <c r="C664" s="8">
        <v>1199.0</v>
      </c>
      <c r="D664" s="8">
        <v>3490.0</v>
      </c>
      <c r="E664" s="19">
        <v>0.66</v>
      </c>
      <c r="F664" s="10">
        <v>4.1</v>
      </c>
      <c r="G664" s="11">
        <v>11716.0</v>
      </c>
      <c r="K664" s="17" t="str">
        <f>IFERROR(__xludf.DUMMYFUNCTION("""COMPUTED_VALUE"""),"ZEBRONICS Aluminium Alloy Laptop Stand, Compatible with 9-15.6 inch Laptops, 7 Angles Adjustable, Anti Slip Silicon Rubber Pads, Foldable, Velvet Pouch Inside, Zeb-NS2000 (Dark Grey)")</f>
        <v>ZEBRONICS Aluminium Alloy Laptop Stand, Compatible with 9-15.6 inch Laptops, 7 Angles Adjustable, Anti Slip Silicon Rubber Pads, Foldable, Velvet Pouch Inside, Zeb-NS2000 (Dark Grey)</v>
      </c>
      <c r="L664" s="17" t="str">
        <f>IFERROR(__xludf.DUMMYFUNCTION("""COMPUTED_VALUE"""),"Computers&amp;Accessories|Accessories&amp;Peripherals|LaptopAccessories|Lapdesks")</f>
        <v>Computers&amp;Accessories|Accessories&amp;Peripherals|LaptopAccessories|Lapdesks</v>
      </c>
      <c r="M664" s="23">
        <f>IFERROR(__xludf.DUMMYFUNCTION("""COMPUTED_VALUE"""),899.0)</f>
        <v>899</v>
      </c>
      <c r="N664" s="23">
        <f>IFERROR(__xludf.DUMMYFUNCTION("""COMPUTED_VALUE"""),1999.0)</f>
        <v>1999</v>
      </c>
      <c r="O664" s="24">
        <f>IFERROR(__xludf.DUMMYFUNCTION("""COMPUTED_VALUE"""),0.55)</f>
        <v>0.55</v>
      </c>
      <c r="P664" s="17">
        <f>IFERROR(__xludf.DUMMYFUNCTION("""COMPUTED_VALUE"""),4.4)</f>
        <v>4.4</v>
      </c>
      <c r="Q664" s="25">
        <f>IFERROR(__xludf.DUMMYFUNCTION("""COMPUTED_VALUE"""),1667.0)</f>
        <v>1667</v>
      </c>
    </row>
    <row r="665">
      <c r="A665" s="7" t="s">
        <v>708</v>
      </c>
      <c r="B665" s="7" t="s">
        <v>709</v>
      </c>
      <c r="C665" s="8">
        <v>2499.0</v>
      </c>
      <c r="D665" s="8">
        <v>4999.0</v>
      </c>
      <c r="E665" s="19">
        <v>0.5</v>
      </c>
      <c r="F665" s="10">
        <v>4.4</v>
      </c>
      <c r="G665" s="11">
        <v>35024.0</v>
      </c>
      <c r="K665" s="17" t="str">
        <f>IFERROR(__xludf.DUMMYFUNCTION("""COMPUTED_VALUE"""),"HP K500F Backlit Membrane Wired Gaming Keyboard with Mixed Color Lighting, Metal Panel with Logo Lighting, 26 Anti-Ghosting Keys, and Windows Lock Key / 3 Years Warranty(7ZZ97AA)")</f>
        <v>HP K500F Backlit Membrane Wired Gaming Keyboard with Mixed Color Lighting, Metal Panel with Logo Lighting, 26 Anti-Ghosting Keys, and Windows Lock Key / 3 Years Warranty(7ZZ97AA)</v>
      </c>
      <c r="L665" s="17" t="str">
        <f>IFERROR(__xludf.DUMMYFUNCTION("""COMPUTED_VALUE"""),"Computers&amp;Accessories|Accessories&amp;Peripherals|PCGamingPeripherals|GamingKeyboards")</f>
        <v>Computers&amp;Accessories|Accessories&amp;Peripherals|PCGamingPeripherals|GamingKeyboards</v>
      </c>
      <c r="M665" s="23">
        <f>IFERROR(__xludf.DUMMYFUNCTION("""COMPUTED_VALUE"""),1149.0)</f>
        <v>1149</v>
      </c>
      <c r="N665" s="23">
        <f>IFERROR(__xludf.DUMMYFUNCTION("""COMPUTED_VALUE"""),1800.0)</f>
        <v>1800</v>
      </c>
      <c r="O665" s="24">
        <f>IFERROR(__xludf.DUMMYFUNCTION("""COMPUTED_VALUE"""),0.36)</f>
        <v>0.36</v>
      </c>
      <c r="P665" s="17">
        <f>IFERROR(__xludf.DUMMYFUNCTION("""COMPUTED_VALUE"""),4.3)</f>
        <v>4.3</v>
      </c>
      <c r="Q665" s="25">
        <f>IFERROR(__xludf.DUMMYFUNCTION("""COMPUTED_VALUE"""),4723.0)</f>
        <v>4723</v>
      </c>
    </row>
    <row r="666">
      <c r="A666" s="7" t="s">
        <v>710</v>
      </c>
      <c r="B666" s="7" t="s">
        <v>711</v>
      </c>
      <c r="C666" s="8">
        <v>1799.0</v>
      </c>
      <c r="D666" s="8">
        <v>4999.0</v>
      </c>
      <c r="E666" s="19">
        <v>0.64</v>
      </c>
      <c r="F666" s="10">
        <v>4.1</v>
      </c>
      <c r="G666" s="11">
        <v>55192.0</v>
      </c>
      <c r="K666" s="17" t="str">
        <f>IFERROR(__xludf.DUMMYFUNCTION("""COMPUTED_VALUE"""),"GIZGA Club-laptop Neoprene Reversible for 15.6-inches Laptop Sleeve - Black-Red")</f>
        <v>GIZGA Club-laptop Neoprene Reversible for 15.6-inches Laptop Sleeve - Black-Red</v>
      </c>
      <c r="L666" s="17" t="str">
        <f>IFERROR(__xludf.DUMMYFUNCTION("""COMPUTED_VALUE"""),"Computers&amp;Accessories|Accessories&amp;Peripherals|LaptopAccessories|Bags&amp;Sleeves|LaptopSleeves&amp;Slipcases")</f>
        <v>Computers&amp;Accessories|Accessories&amp;Peripherals|LaptopAccessories|Bags&amp;Sleeves|LaptopSleeves&amp;Slipcases</v>
      </c>
      <c r="M666" s="23">
        <f>IFERROR(__xludf.DUMMYFUNCTION("""COMPUTED_VALUE"""),249.0)</f>
        <v>249</v>
      </c>
      <c r="N666" s="23">
        <f>IFERROR(__xludf.DUMMYFUNCTION("""COMPUTED_VALUE"""),499.0)</f>
        <v>499</v>
      </c>
      <c r="O666" s="24">
        <f>IFERROR(__xludf.DUMMYFUNCTION("""COMPUTED_VALUE"""),0.5)</f>
        <v>0.5</v>
      </c>
      <c r="P666" s="17">
        <f>IFERROR(__xludf.DUMMYFUNCTION("""COMPUTED_VALUE"""),4.2)</f>
        <v>4.2</v>
      </c>
      <c r="Q666" s="25">
        <f>IFERROR(__xludf.DUMMYFUNCTION("""COMPUTED_VALUE"""),22860.0)</f>
        <v>22860</v>
      </c>
    </row>
    <row r="667">
      <c r="A667" s="7" t="s">
        <v>712</v>
      </c>
      <c r="B667" s="7" t="s">
        <v>393</v>
      </c>
      <c r="C667" s="8">
        <v>429.0</v>
      </c>
      <c r="D667" s="8">
        <v>599.0</v>
      </c>
      <c r="E667" s="19">
        <v>0.28</v>
      </c>
      <c r="F667" s="10">
        <v>4.1</v>
      </c>
      <c r="G667" s="7" t="s">
        <v>713</v>
      </c>
      <c r="K667" s="17" t="str">
        <f>IFERROR(__xludf.DUMMYFUNCTION("""COMPUTED_VALUE"""),"TP-Link TL-WA855RE 300 Mbps Wi-Fi Range Extender (White)")</f>
        <v>TP-Link TL-WA855RE 300 Mbps Wi-Fi Range Extender (White)</v>
      </c>
      <c r="L667" s="17" t="str">
        <f>IFERROR(__xludf.DUMMYFUNCTION("""COMPUTED_VALUE"""),"Computers&amp;Accessories|NetworkingDevices|Repeaters&amp;Extenders")</f>
        <v>Computers&amp;Accessories|NetworkingDevices|Repeaters&amp;Extenders</v>
      </c>
      <c r="M667" s="23">
        <f>IFERROR(__xludf.DUMMYFUNCTION("""COMPUTED_VALUE"""),1599.0)</f>
        <v>1599</v>
      </c>
      <c r="N667" s="23">
        <f>IFERROR(__xludf.DUMMYFUNCTION("""COMPUTED_VALUE"""),3599.0)</f>
        <v>3599</v>
      </c>
      <c r="O667" s="24">
        <f>IFERROR(__xludf.DUMMYFUNCTION("""COMPUTED_VALUE"""),0.56)</f>
        <v>0.56</v>
      </c>
      <c r="P667" s="17">
        <f>IFERROR(__xludf.DUMMYFUNCTION("""COMPUTED_VALUE"""),4.2)</f>
        <v>4.2</v>
      </c>
      <c r="Q667" s="25">
        <f>IFERROR(__xludf.DUMMYFUNCTION("""COMPUTED_VALUE"""),16182.0)</f>
        <v>16182</v>
      </c>
    </row>
    <row r="668">
      <c r="A668" s="7" t="s">
        <v>714</v>
      </c>
      <c r="B668" s="7" t="s">
        <v>627</v>
      </c>
      <c r="C668" s="8">
        <v>100.0</v>
      </c>
      <c r="D668" s="8">
        <v>499.0</v>
      </c>
      <c r="E668" s="19">
        <v>0.8</v>
      </c>
      <c r="F668" s="10">
        <v>3.5</v>
      </c>
      <c r="G668" s="11">
        <v>9638.0</v>
      </c>
      <c r="K668" s="17" t="str">
        <f>IFERROR(__xludf.DUMMYFUNCTION("""COMPUTED_VALUE"""),"boAt Stone 250 Portable Wireless Speaker with 5W RMS Immersive Audio, RGB LEDs, Up to 8HRS Playtime, IPX7 Water Resistance, Multi-Compatibility Modes(Black)")</f>
        <v>boAt Stone 250 Portable Wireless Speaker with 5W RMS Immersive Audio, RGB LEDs, Up to 8HRS Playtime, IPX7 Water Resistance, Multi-Compatibility Modes(Black)</v>
      </c>
      <c r="L668" s="17" t="str">
        <f>IFERROR(__xludf.DUMMYFUNCTION("""COMPUTED_VALUE"""),"Electronics|HomeAudio|Speakers|BluetoothSpeakers")</f>
        <v>Electronics|HomeAudio|Speakers|BluetoothSpeakers</v>
      </c>
      <c r="M668" s="23">
        <f>IFERROR(__xludf.DUMMYFUNCTION("""COMPUTED_VALUE"""),1199.0)</f>
        <v>1199</v>
      </c>
      <c r="N668" s="23">
        <f>IFERROR(__xludf.DUMMYFUNCTION("""COMPUTED_VALUE"""),3990.0)</f>
        <v>3990</v>
      </c>
      <c r="O668" s="24">
        <f>IFERROR(__xludf.DUMMYFUNCTION("""COMPUTED_VALUE"""),0.7)</f>
        <v>0.7</v>
      </c>
      <c r="P668" s="17">
        <f>IFERROR(__xludf.DUMMYFUNCTION("""COMPUTED_VALUE"""),4.2)</f>
        <v>4.2</v>
      </c>
      <c r="Q668" s="25">
        <f>IFERROR(__xludf.DUMMYFUNCTION("""COMPUTED_VALUE"""),2908.0)</f>
        <v>2908</v>
      </c>
    </row>
    <row r="669">
      <c r="A669" s="7" t="s">
        <v>715</v>
      </c>
      <c r="B669" s="7" t="s">
        <v>647</v>
      </c>
      <c r="C669" s="8">
        <v>329.0</v>
      </c>
      <c r="D669" s="8">
        <v>399.0</v>
      </c>
      <c r="E669" s="19">
        <v>0.18</v>
      </c>
      <c r="F669" s="10">
        <v>3.6</v>
      </c>
      <c r="G669" s="11">
        <v>33735.0</v>
      </c>
      <c r="K669" s="17" t="str">
        <f>IFERROR(__xludf.DUMMYFUNCTION("""COMPUTED_VALUE"""),"Offbeat® - DASH 2.4GHz Wireless + Bluetooth 5.1 Mouse, Multi-Device Dual Mode Slim Rechargeable Silent Click Buttons Wireless Bluetooth Mouse, 3 Adjustable DPI, Works on 2 devices at the same time with a switch button for Windows/Mac/Android/Ipad/Smart TV")</f>
        <v>Offbeat® - DASH 2.4GHz Wireless + Bluetooth 5.1 Mouse, Multi-Device Dual Mode Slim Rechargeable Silent Click Buttons Wireless Bluetooth Mouse, 3 Adjustable DPI, Works on 2 devices at the same time with a switch button for Windows/Mac/Android/Ipad/Smart TV</v>
      </c>
      <c r="L669" s="17" t="str">
        <f>IFERROR(__xludf.DUMMYFUNCTION("""COMPUTED_VALUE"""),"Computers&amp;Accessories|Accessories&amp;Peripherals|Keyboards,Mice&amp;InputDevices|Mice")</f>
        <v>Computers&amp;Accessories|Accessories&amp;Peripherals|Keyboards,Mice&amp;InputDevices|Mice</v>
      </c>
      <c r="M669" s="23">
        <f>IFERROR(__xludf.DUMMYFUNCTION("""COMPUTED_VALUE"""),1099.0)</f>
        <v>1099</v>
      </c>
      <c r="N669" s="23">
        <f>IFERROR(__xludf.DUMMYFUNCTION("""COMPUTED_VALUE"""),1499.0)</f>
        <v>1499</v>
      </c>
      <c r="O669" s="24">
        <f>IFERROR(__xludf.DUMMYFUNCTION("""COMPUTED_VALUE"""),0.27)</f>
        <v>0.27</v>
      </c>
      <c r="P669" s="17">
        <f>IFERROR(__xludf.DUMMYFUNCTION("""COMPUTED_VALUE"""),4.2)</f>
        <v>4.2</v>
      </c>
      <c r="Q669" s="25">
        <f>IFERROR(__xludf.DUMMYFUNCTION("""COMPUTED_VALUE"""),2375.0)</f>
        <v>2375</v>
      </c>
    </row>
    <row r="670">
      <c r="A670" s="7" t="s">
        <v>23</v>
      </c>
      <c r="B670" s="7" t="s">
        <v>15</v>
      </c>
      <c r="C670" s="8">
        <v>229.0</v>
      </c>
      <c r="D670" s="8">
        <v>299.0</v>
      </c>
      <c r="E670" s="19">
        <v>0.23</v>
      </c>
      <c r="F670" s="10">
        <v>4.3</v>
      </c>
      <c r="G670" s="11">
        <v>30411.0</v>
      </c>
      <c r="K670" s="17" t="str">
        <f>IFERROR(__xludf.DUMMYFUNCTION("""COMPUTED_VALUE"""),"Classmate Drawing Book - Unruled, 40 Pages, 210 mm x 297 mm - Pack Of 4")</f>
        <v>Classmate Drawing Book - Unruled, 40 Pages, 210 mm x 297 mm - Pack Of 4</v>
      </c>
      <c r="L670" s="17" t="str">
        <f>IFERROR(__xludf.DUMMYFUNCTION("""COMPUTED_VALUE"""),"OfficeProducts|OfficePaperProducts|Paper|Stationery|Notebooks,WritingPads&amp;Diaries|CompositionNotebooks")</f>
        <v>OfficeProducts|OfficePaperProducts|Paper|Stationery|Notebooks,WritingPads&amp;Diaries|CompositionNotebooks</v>
      </c>
      <c r="M670" s="23">
        <f>IFERROR(__xludf.DUMMYFUNCTION("""COMPUTED_VALUE"""),120.0)</f>
        <v>120</v>
      </c>
      <c r="N670" s="23">
        <f>IFERROR(__xludf.DUMMYFUNCTION("""COMPUTED_VALUE"""),120.0)</f>
        <v>120</v>
      </c>
      <c r="O670" s="24">
        <f>IFERROR(__xludf.DUMMYFUNCTION("""COMPUTED_VALUE"""),0.0)</f>
        <v>0</v>
      </c>
      <c r="P670" s="17">
        <f>IFERROR(__xludf.DUMMYFUNCTION("""COMPUTED_VALUE"""),4.5)</f>
        <v>4.5</v>
      </c>
      <c r="Q670" s="25">
        <f>IFERROR(__xludf.DUMMYFUNCTION("""COMPUTED_VALUE"""),4951.0)</f>
        <v>4951</v>
      </c>
    </row>
    <row r="671">
      <c r="A671" s="7" t="s">
        <v>716</v>
      </c>
      <c r="B671" s="7" t="s">
        <v>625</v>
      </c>
      <c r="C671" s="8">
        <v>139.0</v>
      </c>
      <c r="D671" s="8">
        <v>299.0</v>
      </c>
      <c r="E671" s="19">
        <v>0.54</v>
      </c>
      <c r="F671" s="10">
        <v>3.8</v>
      </c>
      <c r="G671" s="11">
        <v>3044.0</v>
      </c>
      <c r="K671" s="17" t="str">
        <f>IFERROR(__xludf.DUMMYFUNCTION("""COMPUTED_VALUE"""),"HP GK320 Wired Full Size RGB Backlight Mechanical Gaming Keyboard, 4 LED Indicators, Mechanical Switches, Double Injection Key Caps, and Windows Lock Key(4QN01AA)")</f>
        <v>HP GK320 Wired Full Size RGB Backlight Mechanical Gaming Keyboard, 4 LED Indicators, Mechanical Switches, Double Injection Key Caps, and Windows Lock Key(4QN01AA)</v>
      </c>
      <c r="L671" s="17" t="str">
        <f>IFERROR(__xludf.DUMMYFUNCTION("""COMPUTED_VALUE"""),"Computers&amp;Accessories|Accessories&amp;Peripherals|PCGamingPeripherals|GamingKeyboards")</f>
        <v>Computers&amp;Accessories|Accessories&amp;Peripherals|PCGamingPeripherals|GamingKeyboards</v>
      </c>
      <c r="M671" s="23">
        <f>IFERROR(__xludf.DUMMYFUNCTION("""COMPUTED_VALUE"""),1519.0)</f>
        <v>1519</v>
      </c>
      <c r="N671" s="23">
        <f>IFERROR(__xludf.DUMMYFUNCTION("""COMPUTED_VALUE"""),3499.0)</f>
        <v>3499</v>
      </c>
      <c r="O671" s="24">
        <f>IFERROR(__xludf.DUMMYFUNCTION("""COMPUTED_VALUE"""),0.57)</f>
        <v>0.57</v>
      </c>
      <c r="P671" s="17">
        <f>IFERROR(__xludf.DUMMYFUNCTION("""COMPUTED_VALUE"""),4.3)</f>
        <v>4.3</v>
      </c>
      <c r="Q671" s="17">
        <f>IFERROR(__xludf.DUMMYFUNCTION("""COMPUTED_VALUE"""),408.0)</f>
        <v>408</v>
      </c>
    </row>
    <row r="672">
      <c r="A672" s="7" t="s">
        <v>717</v>
      </c>
      <c r="B672" s="7" t="s">
        <v>572</v>
      </c>
      <c r="C672" s="8">
        <v>1199.0</v>
      </c>
      <c r="D672" s="8">
        <v>2499.0</v>
      </c>
      <c r="E672" s="19">
        <v>0.52</v>
      </c>
      <c r="F672" s="10">
        <v>4.0</v>
      </c>
      <c r="G672" s="11">
        <v>33584.0</v>
      </c>
      <c r="K672" s="17" t="str">
        <f>IFERROR(__xludf.DUMMYFUNCTION("""COMPUTED_VALUE"""),"Parker Moments Vector Timecheck Gold Trim Roller Ball Pen (Black)")</f>
        <v>Parker Moments Vector Timecheck Gold Trim Roller Ball Pen (Black)</v>
      </c>
      <c r="L672" s="17" t="str">
        <f>IFERROR(__xludf.DUMMYFUNCTION("""COMPUTED_VALUE"""),"OfficeProducts|OfficePaperProducts|Paper|Stationery|Pens,Pencils&amp;WritingSupplies|Pens&amp;Refills|LiquidInkRollerballPens")</f>
        <v>OfficeProducts|OfficePaperProducts|Paper|Stationery|Pens,Pencils&amp;WritingSupplies|Pens&amp;Refills|LiquidInkRollerballPens</v>
      </c>
      <c r="M672" s="23">
        <f>IFERROR(__xludf.DUMMYFUNCTION("""COMPUTED_VALUE"""),420.0)</f>
        <v>420</v>
      </c>
      <c r="N672" s="23">
        <f>IFERROR(__xludf.DUMMYFUNCTION("""COMPUTED_VALUE"""),420.0)</f>
        <v>420</v>
      </c>
      <c r="O672" s="24">
        <f>IFERROR(__xludf.DUMMYFUNCTION("""COMPUTED_VALUE"""),0.0)</f>
        <v>0</v>
      </c>
      <c r="P672" s="17">
        <f>IFERROR(__xludf.DUMMYFUNCTION("""COMPUTED_VALUE"""),4.2)</f>
        <v>4.2</v>
      </c>
      <c r="Q672" s="25">
        <f>IFERROR(__xludf.DUMMYFUNCTION("""COMPUTED_VALUE"""),1926.0)</f>
        <v>1926</v>
      </c>
    </row>
    <row r="673">
      <c r="A673" s="7" t="s">
        <v>718</v>
      </c>
      <c r="B673" s="7" t="s">
        <v>719</v>
      </c>
      <c r="C673" s="8">
        <v>1049.0</v>
      </c>
      <c r="D673" s="8">
        <v>2299.0</v>
      </c>
      <c r="E673" s="19">
        <v>0.54</v>
      </c>
      <c r="F673" s="10">
        <v>3.9</v>
      </c>
      <c r="G673" s="11">
        <v>1779.0</v>
      </c>
      <c r="K673" s="17" t="str">
        <f>IFERROR(__xludf.DUMMYFUNCTION("""COMPUTED_VALUE"""),"Camlin Elegante Fountain Pen - Black/Blue/Red")</f>
        <v>Camlin Elegante Fountain Pen - Black/Blue/Red</v>
      </c>
      <c r="L673" s="17" t="str">
        <f>IFERROR(__xludf.DUMMYFUNCTION("""COMPUTED_VALUE"""),"OfficeProducts|OfficePaperProducts|Paper|Stationery|Pens,Pencils&amp;WritingSupplies|Pens&amp;Refills|FountainPens")</f>
        <v>OfficeProducts|OfficePaperProducts|Paper|Stationery|Pens,Pencils&amp;WritingSupplies|Pens&amp;Refills|FountainPens</v>
      </c>
      <c r="M673" s="23">
        <f>IFERROR(__xludf.DUMMYFUNCTION("""COMPUTED_VALUE"""),225.0)</f>
        <v>225</v>
      </c>
      <c r="N673" s="23">
        <f>IFERROR(__xludf.DUMMYFUNCTION("""COMPUTED_VALUE"""),225.0)</f>
        <v>225</v>
      </c>
      <c r="O673" s="24">
        <f>IFERROR(__xludf.DUMMYFUNCTION("""COMPUTED_VALUE"""),0.0)</f>
        <v>0</v>
      </c>
      <c r="P673" s="17">
        <f>IFERROR(__xludf.DUMMYFUNCTION("""COMPUTED_VALUE"""),4.1)</f>
        <v>4.1</v>
      </c>
      <c r="Q673" s="25">
        <f>IFERROR(__xludf.DUMMYFUNCTION("""COMPUTED_VALUE"""),4798.0)</f>
        <v>4798</v>
      </c>
    </row>
    <row r="674">
      <c r="A674" s="7" t="s">
        <v>468</v>
      </c>
      <c r="B674" s="7" t="s">
        <v>469</v>
      </c>
      <c r="C674" s="8">
        <v>119.0</v>
      </c>
      <c r="D674" s="8">
        <v>299.0</v>
      </c>
      <c r="E674" s="19">
        <v>0.6</v>
      </c>
      <c r="F674" s="10">
        <v>4.1</v>
      </c>
      <c r="G674" s="11">
        <v>5999.0</v>
      </c>
      <c r="K674" s="17" t="str">
        <f>IFERROR(__xludf.DUMMYFUNCTION("""COMPUTED_VALUE"""),"CARECASE® Optical Bay 2nd Hard Drive Caddy, 9.5 mm CD/DVD Drive Slot for SSD and HDD")</f>
        <v>CARECASE® Optical Bay 2nd Hard Drive Caddy, 9.5 mm CD/DVD Drive Slot for SSD and HDD</v>
      </c>
      <c r="L674" s="17" t="str">
        <f>IFERROR(__xludf.DUMMYFUNCTION("""COMPUTED_VALUE"""),"Computers&amp;Accessories|Accessories&amp;Peripherals|HardDriveAccessories|Caddies")</f>
        <v>Computers&amp;Accessories|Accessories&amp;Peripherals|HardDriveAccessories|Caddies</v>
      </c>
      <c r="M674" s="23">
        <f>IFERROR(__xludf.DUMMYFUNCTION("""COMPUTED_VALUE"""),199.0)</f>
        <v>199</v>
      </c>
      <c r="N674" s="23">
        <f>IFERROR(__xludf.DUMMYFUNCTION("""COMPUTED_VALUE"""),799.0)</f>
        <v>799</v>
      </c>
      <c r="O674" s="24">
        <f>IFERROR(__xludf.DUMMYFUNCTION("""COMPUTED_VALUE"""),0.75)</f>
        <v>0.75</v>
      </c>
      <c r="P674" s="17">
        <f>IFERROR(__xludf.DUMMYFUNCTION("""COMPUTED_VALUE"""),4.1)</f>
        <v>4.1</v>
      </c>
      <c r="Q674" s="25">
        <f>IFERROR(__xludf.DUMMYFUNCTION("""COMPUTED_VALUE"""),7333.0)</f>
        <v>7333</v>
      </c>
    </row>
    <row r="675">
      <c r="A675" s="7" t="s">
        <v>28</v>
      </c>
      <c r="B675" s="7" t="s">
        <v>15</v>
      </c>
      <c r="C675" s="8">
        <v>154.0</v>
      </c>
      <c r="D675" s="8">
        <v>339.0</v>
      </c>
      <c r="E675" s="19">
        <v>0.55</v>
      </c>
      <c r="F675" s="10">
        <v>4.3</v>
      </c>
      <c r="G675" s="11">
        <v>13391.0</v>
      </c>
      <c r="K675" s="17" t="str">
        <f>IFERROR(__xludf.DUMMYFUNCTION("""COMPUTED_VALUE"""),"WeCool S5 Long Selfie Stick, with Large Reinforced Tripod Stand up to 61 Inch / 156 Cms, Ultra Long Multi Function Bluetooth Selfie Stick with 1/4 Screw Compatible with Gopro, Camera, and Ring Light")</f>
        <v>WeCool S5 Long Selfie Stick, with Large Reinforced Tripod Stand up to 61 Inch / 156 Cms, Ultra Long Multi Function Bluetooth Selfie Stick with 1/4 Screw Compatible with Gopro, Camera, and Ring Light</v>
      </c>
      <c r="L675" s="17" t="str">
        <f>IFERROR(__xludf.DUMMYFUNCTION("""COMPUTED_VALUE"""),"Electronics|Mobiles&amp;Accessories|MobileAccessories|Photo&amp;VideoAccessories|SelfieSticks")</f>
        <v>Electronics|Mobiles&amp;Accessories|MobileAccessories|Photo&amp;VideoAccessories|SelfieSticks</v>
      </c>
      <c r="M675" s="23">
        <f>IFERROR(__xludf.DUMMYFUNCTION("""COMPUTED_VALUE"""),1799.0)</f>
        <v>1799</v>
      </c>
      <c r="N675" s="23">
        <f>IFERROR(__xludf.DUMMYFUNCTION("""COMPUTED_VALUE"""),3999.0)</f>
        <v>3999</v>
      </c>
      <c r="O675" s="24">
        <f>IFERROR(__xludf.DUMMYFUNCTION("""COMPUTED_VALUE"""),0.55)</f>
        <v>0.55</v>
      </c>
      <c r="P675" s="17">
        <f>IFERROR(__xludf.DUMMYFUNCTION("""COMPUTED_VALUE"""),4.6)</f>
        <v>4.6</v>
      </c>
      <c r="Q675" s="17">
        <f>IFERROR(__xludf.DUMMYFUNCTION("""COMPUTED_VALUE"""),245.0)</f>
        <v>245</v>
      </c>
    </row>
    <row r="676">
      <c r="A676" s="7" t="s">
        <v>720</v>
      </c>
      <c r="B676" s="7" t="s">
        <v>721</v>
      </c>
      <c r="C676" s="8">
        <v>225.0</v>
      </c>
      <c r="D676" s="8">
        <v>250.0</v>
      </c>
      <c r="E676" s="19">
        <v>0.1</v>
      </c>
      <c r="F676" s="10">
        <v>4.4</v>
      </c>
      <c r="G676" s="11">
        <v>26556.0</v>
      </c>
      <c r="K676" s="17" t="str">
        <f>IFERROR(__xludf.DUMMYFUNCTION("""COMPUTED_VALUE"""),"Crucial P3 500GB PCIe 3.0 3D NAND NVMe M.2 SSD, up to 3500MB/s - CT500P3SSD8")</f>
        <v>Crucial P3 500GB PCIe 3.0 3D NAND NVMe M.2 SSD, up to 3500MB/s - CT500P3SSD8</v>
      </c>
      <c r="L676" s="17" t="str">
        <f>IFERROR(__xludf.DUMMYFUNCTION("""COMPUTED_VALUE"""),"Computers&amp;Accessories|Components|InternalSolidStateDrives")</f>
        <v>Computers&amp;Accessories|Components|InternalSolidStateDrives</v>
      </c>
      <c r="M676" s="23">
        <f>IFERROR(__xludf.DUMMYFUNCTION("""COMPUTED_VALUE"""),3307.0)</f>
        <v>3307</v>
      </c>
      <c r="N676" s="23">
        <f>IFERROR(__xludf.DUMMYFUNCTION("""COMPUTED_VALUE"""),6100.0)</f>
        <v>6100</v>
      </c>
      <c r="O676" s="24">
        <f>IFERROR(__xludf.DUMMYFUNCTION("""COMPUTED_VALUE"""),0.46)</f>
        <v>0.46</v>
      </c>
      <c r="P676" s="17">
        <f>IFERROR(__xludf.DUMMYFUNCTION("""COMPUTED_VALUE"""),4.3)</f>
        <v>4.3</v>
      </c>
      <c r="Q676" s="25">
        <f>IFERROR(__xludf.DUMMYFUNCTION("""COMPUTED_VALUE"""),2515.0)</f>
        <v>2515</v>
      </c>
    </row>
    <row r="677">
      <c r="A677" s="7" t="s">
        <v>722</v>
      </c>
      <c r="B677" s="7" t="s">
        <v>631</v>
      </c>
      <c r="C677" s="8">
        <v>656.0</v>
      </c>
      <c r="D677" s="8">
        <v>1499.0</v>
      </c>
      <c r="E677" s="19">
        <v>0.56</v>
      </c>
      <c r="F677" s="10">
        <v>4.3</v>
      </c>
      <c r="G677" s="11">
        <v>25903.0</v>
      </c>
      <c r="K677" s="17" t="str">
        <f>IFERROR(__xludf.DUMMYFUNCTION("""COMPUTED_VALUE"""),"Wayona Usb Type C Fast Charger Cable Fast Charging Usb C Cable/Cord Compatible For Samsung Galaxy S10E S10 S9 S8 Plus S10+,Note 10 Note 9 Note 8,S20,M31S,M40,Realme X3,Pixel 2 Xl (3 Ft Pack Of 1,Grey)")</f>
        <v>Wayona Usb Type C Fast Charger Cable Fast Charging Usb C Cable/Cord Compatible For Samsung Galaxy S10E S10 S9 S8 Plus S10+,Note 10 Note 9 Note 8,S20,M31S,M40,Realme X3,Pixel 2 Xl (3 Ft Pack Of 1,Grey)</v>
      </c>
      <c r="L677" s="17" t="str">
        <f>IFERROR(__xludf.DUMMYFUNCTION("""COMPUTED_VALUE"""),"Computers&amp;Accessories|Accessories&amp;Peripherals|Cables&amp;Accessories|Cables|USBCables")</f>
        <v>Computers&amp;Accessories|Accessories&amp;Peripherals|Cables&amp;Accessories|Cables|USBCables</v>
      </c>
      <c r="M677" s="23">
        <f>IFERROR(__xludf.DUMMYFUNCTION("""COMPUTED_VALUE"""),325.0)</f>
        <v>325</v>
      </c>
      <c r="N677" s="23">
        <f>IFERROR(__xludf.DUMMYFUNCTION("""COMPUTED_VALUE"""),1299.0)</f>
        <v>1299</v>
      </c>
      <c r="O677" s="24">
        <f>IFERROR(__xludf.DUMMYFUNCTION("""COMPUTED_VALUE"""),0.75)</f>
        <v>0.75</v>
      </c>
      <c r="P677" s="17">
        <f>IFERROR(__xludf.DUMMYFUNCTION("""COMPUTED_VALUE"""),4.2)</f>
        <v>4.2</v>
      </c>
      <c r="Q677" s="25">
        <f>IFERROR(__xludf.DUMMYFUNCTION("""COMPUTED_VALUE"""),10576.0)</f>
        <v>10576</v>
      </c>
    </row>
    <row r="678">
      <c r="A678" s="7" t="s">
        <v>723</v>
      </c>
      <c r="B678" s="7" t="s">
        <v>622</v>
      </c>
      <c r="C678" s="8">
        <v>1109.0</v>
      </c>
      <c r="D678" s="8">
        <v>2800.0</v>
      </c>
      <c r="E678" s="19">
        <v>0.6</v>
      </c>
      <c r="F678" s="10">
        <v>4.3</v>
      </c>
      <c r="G678" s="11">
        <v>53464.0</v>
      </c>
      <c r="K678" s="17" t="str">
        <f>IFERROR(__xludf.DUMMYFUNCTION("""COMPUTED_VALUE"""),"HP v222w 64GB USB 2.0 Pen Drive (Silver)")</f>
        <v>HP v222w 64GB USB 2.0 Pen Drive (Silver)</v>
      </c>
      <c r="L678" s="17" t="str">
        <f>IFERROR(__xludf.DUMMYFUNCTION("""COMPUTED_VALUE"""),"Computers&amp;Accessories|ExternalDevices&amp;DataStorage|PenDrives")</f>
        <v>Computers&amp;Accessories|ExternalDevices&amp;DataStorage|PenDrives</v>
      </c>
      <c r="M678" s="23">
        <f>IFERROR(__xludf.DUMMYFUNCTION("""COMPUTED_VALUE"""),449.0)</f>
        <v>449</v>
      </c>
      <c r="N678" s="23">
        <f>IFERROR(__xludf.DUMMYFUNCTION("""COMPUTED_VALUE"""),1300.0)</f>
        <v>1300</v>
      </c>
      <c r="O678" s="24">
        <f>IFERROR(__xludf.DUMMYFUNCTION("""COMPUTED_VALUE"""),0.65)</f>
        <v>0.65</v>
      </c>
      <c r="P678" s="17">
        <f>IFERROR(__xludf.DUMMYFUNCTION("""COMPUTED_VALUE"""),4.2)</f>
        <v>4.2</v>
      </c>
      <c r="Q678" s="25">
        <f>IFERROR(__xludf.DUMMYFUNCTION("""COMPUTED_VALUE"""),4959.0)</f>
        <v>4959</v>
      </c>
    </row>
    <row r="679">
      <c r="A679" s="7" t="s">
        <v>465</v>
      </c>
      <c r="B679" s="7" t="s">
        <v>373</v>
      </c>
      <c r="C679" s="8">
        <v>2999.0</v>
      </c>
      <c r="D679" s="8">
        <v>7990.0</v>
      </c>
      <c r="E679" s="19">
        <v>0.62</v>
      </c>
      <c r="F679" s="10">
        <v>4.1</v>
      </c>
      <c r="G679" s="11">
        <v>48448.0</v>
      </c>
      <c r="K679" s="17" t="str">
        <f>IFERROR(__xludf.DUMMYFUNCTION("""COMPUTED_VALUE"""),"Duracell Ultra Alkaline D Battery, 2 Pcs")</f>
        <v>Duracell Ultra Alkaline D Battery, 2 Pcs</v>
      </c>
      <c r="L679" s="17" t="str">
        <f>IFERROR(__xludf.DUMMYFUNCTION("""COMPUTED_VALUE"""),"Electronics|GeneralPurposeBatteries&amp;BatteryChargers|DisposableBatteries")</f>
        <v>Electronics|GeneralPurposeBatteries&amp;BatteryChargers|DisposableBatteries</v>
      </c>
      <c r="M679" s="23">
        <f>IFERROR(__xludf.DUMMYFUNCTION("""COMPUTED_VALUE"""),380.0)</f>
        <v>380</v>
      </c>
      <c r="N679" s="23">
        <f>IFERROR(__xludf.DUMMYFUNCTION("""COMPUTED_VALUE"""),400.0)</f>
        <v>400</v>
      </c>
      <c r="O679" s="24">
        <f>IFERROR(__xludf.DUMMYFUNCTION("""COMPUTED_VALUE"""),0.05)</f>
        <v>0.05</v>
      </c>
      <c r="P679" s="17">
        <f>IFERROR(__xludf.DUMMYFUNCTION("""COMPUTED_VALUE"""),4.4)</f>
        <v>4.4</v>
      </c>
      <c r="Q679" s="25">
        <f>IFERROR(__xludf.DUMMYFUNCTION("""COMPUTED_VALUE"""),2111.0)</f>
        <v>2111</v>
      </c>
    </row>
    <row r="680">
      <c r="A680" s="7" t="s">
        <v>724</v>
      </c>
      <c r="B680" s="7" t="s">
        <v>696</v>
      </c>
      <c r="C680" s="8">
        <v>169.0</v>
      </c>
      <c r="D680" s="8">
        <v>299.0</v>
      </c>
      <c r="E680" s="19">
        <v>0.43</v>
      </c>
      <c r="F680" s="10">
        <v>4.4</v>
      </c>
      <c r="G680" s="11">
        <v>5176.0</v>
      </c>
      <c r="K680" s="17" t="str">
        <f>IFERROR(__xludf.DUMMYFUNCTION("""COMPUTED_VALUE"""),"boAt BassHeads 900 On-Ear Wired Headphones with Mic (White)")</f>
        <v>boAt BassHeads 900 On-Ear Wired Headphones with Mic (White)</v>
      </c>
      <c r="L680" s="17" t="str">
        <f>IFERROR(__xludf.DUMMYFUNCTION("""COMPUTED_VALUE"""),"Electronics|Headphones,Earbuds&amp;Accessories|Headphones|On-Ear")</f>
        <v>Electronics|Headphones,Earbuds&amp;Accessories|Headphones|On-Ear</v>
      </c>
      <c r="M680" s="23">
        <f>IFERROR(__xludf.DUMMYFUNCTION("""COMPUTED_VALUE"""),849.0)</f>
        <v>849</v>
      </c>
      <c r="N680" s="23">
        <f>IFERROR(__xludf.DUMMYFUNCTION("""COMPUTED_VALUE"""),2490.0)</f>
        <v>2490</v>
      </c>
      <c r="O680" s="24">
        <f>IFERROR(__xludf.DUMMYFUNCTION("""COMPUTED_VALUE"""),0.66)</f>
        <v>0.66</v>
      </c>
      <c r="P680" s="17">
        <f>IFERROR(__xludf.DUMMYFUNCTION("""COMPUTED_VALUE"""),4.2)</f>
        <v>4.2</v>
      </c>
      <c r="Q680" s="25">
        <f>IFERROR(__xludf.DUMMYFUNCTION("""COMPUTED_VALUE"""),91188.0)</f>
        <v>91188</v>
      </c>
    </row>
    <row r="681">
      <c r="A681" s="7" t="s">
        <v>725</v>
      </c>
      <c r="B681" s="7" t="s">
        <v>683</v>
      </c>
      <c r="C681" s="8">
        <v>309.0</v>
      </c>
      <c r="D681" s="8">
        <v>404.0</v>
      </c>
      <c r="E681" s="19">
        <v>0.24</v>
      </c>
      <c r="F681" s="10">
        <v>4.4</v>
      </c>
      <c r="G681" s="11">
        <v>8614.0</v>
      </c>
      <c r="K681" s="17" t="str">
        <f>IFERROR(__xludf.DUMMYFUNCTION("""COMPUTED_VALUE"""),"KINGONE Wireless Charging Pencil (2nd Generation) for iPad with Magnetic and Tilt Sensitive, Palm Rejection, Compatible with Apple iPad Pro 11 inch 1/2/3/4, iPad Pro 12.9 Inch 3/4/5/6, iPad Air 4/5, mini6")</f>
        <v>KINGONE Wireless Charging Pencil (2nd Generation) for iPad with Magnetic and Tilt Sensitive, Palm Rejection, Compatible with Apple iPad Pro 11 inch 1/2/3/4, iPad Pro 12.9 Inch 3/4/5/6, iPad Air 4/5, mini6</v>
      </c>
      <c r="L681" s="17" t="str">
        <f>IFERROR(__xludf.DUMMYFUNCTION("""COMPUTED_VALUE"""),"Electronics|Mobiles&amp;Accessories|MobileAccessories|StylusPens")</f>
        <v>Electronics|Mobiles&amp;Accessories|MobileAccessories|StylusPens</v>
      </c>
      <c r="M681" s="23">
        <f>IFERROR(__xludf.DUMMYFUNCTION("""COMPUTED_VALUE"""),2599.0)</f>
        <v>2599</v>
      </c>
      <c r="N681" s="23">
        <f>IFERROR(__xludf.DUMMYFUNCTION("""COMPUTED_VALUE"""),6999.0)</f>
        <v>6999</v>
      </c>
      <c r="O681" s="24">
        <f>IFERROR(__xludf.DUMMYFUNCTION("""COMPUTED_VALUE"""),0.63)</f>
        <v>0.63</v>
      </c>
      <c r="P681" s="17">
        <f>IFERROR(__xludf.DUMMYFUNCTION("""COMPUTED_VALUE"""),4.5)</f>
        <v>4.5</v>
      </c>
      <c r="Q681" s="25">
        <f>IFERROR(__xludf.DUMMYFUNCTION("""COMPUTED_VALUE"""),1526.0)</f>
        <v>1526</v>
      </c>
    </row>
    <row r="682">
      <c r="A682" s="7" t="s">
        <v>726</v>
      </c>
      <c r="B682" s="7" t="s">
        <v>572</v>
      </c>
      <c r="C682" s="8">
        <v>599.0</v>
      </c>
      <c r="D682" s="8">
        <v>1399.0</v>
      </c>
      <c r="E682" s="19">
        <v>0.57</v>
      </c>
      <c r="F682" s="10">
        <v>3.8</v>
      </c>
      <c r="G682" s="11">
        <v>60026.0</v>
      </c>
      <c r="K682" s="17" t="str">
        <f>IFERROR(__xludf.DUMMYFUNCTION("""COMPUTED_VALUE"""),"Lapster 65W compatible for OnePlus Dash Warp Charge Cable , type c to c cable fast charging Data Sync Cable Compatible with One Plus 10R / 9RT/ 9 pro/ 9R/ 8T/ 9/ Nord &amp; for All Type C Devices – Red, 1 Meter")</f>
        <v>Lapster 65W compatible for OnePlus Dash Warp Charge Cable , type c to c cable fast charging Data Sync Cable Compatible with One Plus 10R / 9RT/ 9 pro/ 9R/ 8T/ 9/ Nord &amp; for All Type C Devices – Red, 1 Meter</v>
      </c>
      <c r="L682" s="17" t="str">
        <f>IFERROR(__xludf.DUMMYFUNCTION("""COMPUTED_VALUE"""),"Computers&amp;Accessories|Accessories&amp;Peripherals|Cables&amp;Accessories|Cables|USBCables")</f>
        <v>Computers&amp;Accessories|Accessories&amp;Peripherals|Cables&amp;Accessories|Cables|USBCables</v>
      </c>
      <c r="M682" s="23">
        <f>IFERROR(__xludf.DUMMYFUNCTION("""COMPUTED_VALUE"""),199.0)</f>
        <v>199</v>
      </c>
      <c r="N682" s="23">
        <f>IFERROR(__xludf.DUMMYFUNCTION("""COMPUTED_VALUE"""),999.0)</f>
        <v>999</v>
      </c>
      <c r="O682" s="24">
        <f>IFERROR(__xludf.DUMMYFUNCTION("""COMPUTED_VALUE"""),0.8)</f>
        <v>0.8</v>
      </c>
      <c r="P682" s="17">
        <f>IFERROR(__xludf.DUMMYFUNCTION("""COMPUTED_VALUE"""),4.5)</f>
        <v>4.5</v>
      </c>
      <c r="Q682" s="17">
        <f>IFERROR(__xludf.DUMMYFUNCTION("""COMPUTED_VALUE"""),127.0)</f>
        <v>127</v>
      </c>
    </row>
    <row r="683">
      <c r="A683" s="15" t="s">
        <v>727</v>
      </c>
      <c r="B683" s="7" t="s">
        <v>647</v>
      </c>
      <c r="C683" s="8">
        <v>299.0</v>
      </c>
      <c r="D683" s="8">
        <v>599.0</v>
      </c>
      <c r="E683" s="19">
        <v>0.5</v>
      </c>
      <c r="F683" s="10">
        <v>3.8</v>
      </c>
      <c r="G683" s="11">
        <v>3066.0</v>
      </c>
      <c r="K683" s="17" t="str">
        <f>IFERROR(__xludf.DUMMYFUNCTION("""COMPUTED_VALUE"""),"SWAPKART Portable Flexible Adjustable Eye Protection USB LED Desk Light Table Lamp for Reading, Working on PC, Laptop, Power Bank, Bedroom ( Multicolour )")</f>
        <v>SWAPKART Portable Flexible Adjustable Eye Protection USB LED Desk Light Table Lamp for Reading, Working on PC, Laptop, Power Bank, Bedroom ( Multicolour )</v>
      </c>
      <c r="L683" s="17" t="str">
        <f>IFERROR(__xludf.DUMMYFUNCTION("""COMPUTED_VALUE"""),"Computers&amp;Accessories|Accessories&amp;Peripherals|USBGadgets|Lamps")</f>
        <v>Computers&amp;Accessories|Accessories&amp;Peripherals|USBGadgets|Lamps</v>
      </c>
      <c r="M683" s="23">
        <f>IFERROR(__xludf.DUMMYFUNCTION("""COMPUTED_VALUE"""),298.0)</f>
        <v>298</v>
      </c>
      <c r="N683" s="23">
        <f>IFERROR(__xludf.DUMMYFUNCTION("""COMPUTED_VALUE"""),999.0)</f>
        <v>999</v>
      </c>
      <c r="O683" s="24">
        <f>IFERROR(__xludf.DUMMYFUNCTION("""COMPUTED_VALUE"""),0.7)</f>
        <v>0.7</v>
      </c>
      <c r="P683" s="17">
        <f>IFERROR(__xludf.DUMMYFUNCTION("""COMPUTED_VALUE"""),4.3)</f>
        <v>4.3</v>
      </c>
      <c r="Q683" s="25">
        <f>IFERROR(__xludf.DUMMYFUNCTION("""COMPUTED_VALUE"""),1552.0)</f>
        <v>1552</v>
      </c>
    </row>
    <row r="684">
      <c r="A684" s="7" t="s">
        <v>728</v>
      </c>
      <c r="B684" s="7" t="s">
        <v>631</v>
      </c>
      <c r="C684" s="8">
        <v>449.0</v>
      </c>
      <c r="D684" s="8">
        <v>999.0</v>
      </c>
      <c r="E684" s="19">
        <v>0.55</v>
      </c>
      <c r="F684" s="10">
        <v>4.0</v>
      </c>
      <c r="G684" s="11">
        <v>2102.0</v>
      </c>
      <c r="K684" s="17" t="str">
        <f>IFERROR(__xludf.DUMMYFUNCTION("""COMPUTED_VALUE"""),"Infinity (JBL Fuze 100, Wireless Portable Bluetooth Speaker with Mic, Deep Bass, Dual Equalizer, IPX7 Waterproof, Rugged Fabric Design (Black)")</f>
        <v>Infinity (JBL Fuze 100, Wireless Portable Bluetooth Speaker with Mic, Deep Bass, Dual Equalizer, IPX7 Waterproof, Rugged Fabric Design (Black)</v>
      </c>
      <c r="L684" s="17" t="str">
        <f>IFERROR(__xludf.DUMMYFUNCTION("""COMPUTED_VALUE"""),"Electronics|HomeAudio|Speakers|OutdoorSpeakers")</f>
        <v>Electronics|HomeAudio|Speakers|OutdoorSpeakers</v>
      </c>
      <c r="M684" s="23">
        <f>IFERROR(__xludf.DUMMYFUNCTION("""COMPUTED_VALUE"""),1499.0)</f>
        <v>1499</v>
      </c>
      <c r="N684" s="23">
        <f>IFERROR(__xludf.DUMMYFUNCTION("""COMPUTED_VALUE"""),2999.0)</f>
        <v>2999</v>
      </c>
      <c r="O684" s="24">
        <f>IFERROR(__xludf.DUMMYFUNCTION("""COMPUTED_VALUE"""),0.5)</f>
        <v>0.5</v>
      </c>
      <c r="P684" s="17">
        <f>IFERROR(__xludf.DUMMYFUNCTION("""COMPUTED_VALUE"""),4.1)</f>
        <v>4.1</v>
      </c>
      <c r="Q684" s="25">
        <f>IFERROR(__xludf.DUMMYFUNCTION("""COMPUTED_VALUE"""),25262.0)</f>
        <v>25262</v>
      </c>
    </row>
    <row r="685">
      <c r="A685" s="7" t="s">
        <v>729</v>
      </c>
      <c r="B685" s="7" t="s">
        <v>625</v>
      </c>
      <c r="C685" s="8">
        <v>799.0</v>
      </c>
      <c r="D685" s="8">
        <v>1295.0</v>
      </c>
      <c r="E685" s="19">
        <v>0.38</v>
      </c>
      <c r="F685" s="10">
        <v>4.4</v>
      </c>
      <c r="G685" s="11">
        <v>34852.0</v>
      </c>
      <c r="K685" s="17" t="str">
        <f>IFERROR(__xludf.DUMMYFUNCTION("""COMPUTED_VALUE"""),"StyleHouse Lint Remover for Woolen Clothes, Electric Lint Remover, Best Lint Shaver for Clothes")</f>
        <v>StyleHouse Lint Remover for Woolen Clothes, Electric Lint Remover, Best Lint Shaver for Clothes</v>
      </c>
      <c r="L685" s="17" t="str">
        <f>IFERROR(__xludf.DUMMYFUNCTION("""COMPUTED_VALUE"""),"Home&amp;Kitchen|Kitchen&amp;HomeAppliances|Vacuum,Cleaning&amp;Ironing|Irons,Steamers&amp;Accessories|LintShavers")</f>
        <v>Home&amp;Kitchen|Kitchen&amp;HomeAppliances|Vacuum,Cleaning&amp;Ironing|Irons,Steamers&amp;Accessories|LintShavers</v>
      </c>
      <c r="M685" s="23">
        <f>IFERROR(__xludf.DUMMYFUNCTION("""COMPUTED_VALUE"""),455.0)</f>
        <v>455</v>
      </c>
      <c r="N685" s="23">
        <f>IFERROR(__xludf.DUMMYFUNCTION("""COMPUTED_VALUE"""),999.0)</f>
        <v>999</v>
      </c>
      <c r="O685" s="24">
        <f>IFERROR(__xludf.DUMMYFUNCTION("""COMPUTED_VALUE"""),0.54)</f>
        <v>0.54</v>
      </c>
      <c r="P685" s="17">
        <f>IFERROR(__xludf.DUMMYFUNCTION("""COMPUTED_VALUE"""),4.1)</f>
        <v>4.1</v>
      </c>
      <c r="Q685" s="25">
        <f>IFERROR(__xludf.DUMMYFUNCTION("""COMPUTED_VALUE"""),3578.0)</f>
        <v>3578</v>
      </c>
    </row>
    <row r="686">
      <c r="A686" s="7" t="s">
        <v>30</v>
      </c>
      <c r="B686" s="7" t="s">
        <v>31</v>
      </c>
      <c r="C686" s="8">
        <v>219.0</v>
      </c>
      <c r="D686" s="8">
        <v>700.0</v>
      </c>
      <c r="E686" s="19">
        <v>0.69</v>
      </c>
      <c r="F686" s="10">
        <v>4.4</v>
      </c>
      <c r="G686" s="7" t="s">
        <v>730</v>
      </c>
      <c r="K686" s="17" t="str">
        <f>IFERROR(__xludf.DUMMYFUNCTION("""COMPUTED_VALUE"""),"Pigeon Polypropylene Mini Handy and Compact Chopper with 3 Blades for Effortlessly Chopping Vegetables and Fruits for Your Kitchen (12420, Green, 400 ml)")</f>
        <v>Pigeon Polypropylene Mini Handy and Compact Chopper with 3 Blades for Effortlessly Chopping Vegetables and Fruits for Your Kitchen (12420, Green, 400 ml)</v>
      </c>
      <c r="L686" s="17" t="str">
        <f>IFERROR(__xludf.DUMMYFUNCTION("""COMPUTED_VALUE"""),"Home&amp;Kitchen|Kitchen&amp;Dining|KitchenTools|ManualChoppers&amp;Chippers|Choppers")</f>
        <v>Home&amp;Kitchen|Kitchen&amp;Dining|KitchenTools|ManualChoppers&amp;Chippers|Choppers</v>
      </c>
      <c r="M686" s="23">
        <f>IFERROR(__xludf.DUMMYFUNCTION("""COMPUTED_VALUE"""),199.0)</f>
        <v>199</v>
      </c>
      <c r="N686" s="23">
        <f>IFERROR(__xludf.DUMMYFUNCTION("""COMPUTED_VALUE"""),495.0)</f>
        <v>495</v>
      </c>
      <c r="O686" s="24">
        <f>IFERROR(__xludf.DUMMYFUNCTION("""COMPUTED_VALUE"""),0.6)</f>
        <v>0.6</v>
      </c>
      <c r="P686" s="17">
        <f>IFERROR(__xludf.DUMMYFUNCTION("""COMPUTED_VALUE"""),4.1)</f>
        <v>4.1</v>
      </c>
      <c r="Q686" s="17" t="str">
        <f>IFERROR(__xludf.DUMMYFUNCTION("""COMPUTED_VALUE"""),"2,70,563")</f>
        <v>2,70,563</v>
      </c>
    </row>
    <row r="687">
      <c r="A687" s="7" t="s">
        <v>731</v>
      </c>
      <c r="B687" s="7" t="s">
        <v>732</v>
      </c>
      <c r="C687" s="8">
        <v>157.0</v>
      </c>
      <c r="D687" s="8">
        <v>160.0</v>
      </c>
      <c r="E687" s="19">
        <v>0.02</v>
      </c>
      <c r="F687" s="10">
        <v>4.5</v>
      </c>
      <c r="G687" s="11">
        <v>8618.0</v>
      </c>
      <c r="K687" s="17" t="str">
        <f>IFERROR(__xludf.DUMMYFUNCTION("""COMPUTED_VALUE"""),"SHOPTOSHOP Electric Lint Remover, Best Lint Shaver for Clothes,Lint Remover for Woolen Clothes ,Lint Remover for Sweaters")</f>
        <v>SHOPTOSHOP Electric Lint Remover, Best Lint Shaver for Clothes,Lint Remover for Woolen Clothes ,Lint Remover for Sweaters</v>
      </c>
      <c r="L687" s="17" t="str">
        <f>IFERROR(__xludf.DUMMYFUNCTION("""COMPUTED_VALUE"""),"Home&amp;Kitchen|Kitchen&amp;HomeAppliances|Vacuum,Cleaning&amp;Ironing|Irons,Steamers&amp;Accessories|LintShavers")</f>
        <v>Home&amp;Kitchen|Kitchen&amp;HomeAppliances|Vacuum,Cleaning&amp;Ironing|Irons,Steamers&amp;Accessories|LintShavers</v>
      </c>
      <c r="M687" s="23">
        <f>IFERROR(__xludf.DUMMYFUNCTION("""COMPUTED_VALUE"""),499.0)</f>
        <v>499</v>
      </c>
      <c r="N687" s="23">
        <f>IFERROR(__xludf.DUMMYFUNCTION("""COMPUTED_VALUE"""),999.0)</f>
        <v>999</v>
      </c>
      <c r="O687" s="24">
        <f>IFERROR(__xludf.DUMMYFUNCTION("""COMPUTED_VALUE"""),0.5)</f>
        <v>0.5</v>
      </c>
      <c r="P687" s="17">
        <f>IFERROR(__xludf.DUMMYFUNCTION("""COMPUTED_VALUE"""),4.1)</f>
        <v>4.1</v>
      </c>
      <c r="Q687" s="25">
        <f>IFERROR(__xludf.DUMMYFUNCTION("""COMPUTED_VALUE"""),4859.0)</f>
        <v>4859</v>
      </c>
    </row>
    <row r="688">
      <c r="A688" s="7" t="s">
        <v>475</v>
      </c>
      <c r="B688" s="7" t="s">
        <v>386</v>
      </c>
      <c r="C688" s="8">
        <v>369.0</v>
      </c>
      <c r="D688" s="8">
        <v>1600.0</v>
      </c>
      <c r="E688" s="19">
        <v>0.77</v>
      </c>
      <c r="F688" s="10">
        <v>4.0</v>
      </c>
      <c r="G688" s="11">
        <v>32625.0</v>
      </c>
      <c r="K688" s="17" t="str">
        <f>IFERROR(__xludf.DUMMYFUNCTION("""COMPUTED_VALUE"""),"Orpat OEH-1260 2000-Watt Fan Heater (Grey)")</f>
        <v>Orpat OEH-1260 2000-Watt Fan Heater (Grey)</v>
      </c>
      <c r="L688" s="17" t="str">
        <f>IFERROR(__xludf.DUMMYFUNCTION("""COMPUTED_VALUE"""),"Home&amp;Kitchen|Heating,Cooling&amp;AirQuality|RoomHeaters|FanHeaters")</f>
        <v>Home&amp;Kitchen|Heating,Cooling&amp;AirQuality|RoomHeaters|FanHeaters</v>
      </c>
      <c r="M688" s="23">
        <f>IFERROR(__xludf.DUMMYFUNCTION("""COMPUTED_VALUE"""),1464.0)</f>
        <v>1464</v>
      </c>
      <c r="N688" s="23">
        <f>IFERROR(__xludf.DUMMYFUNCTION("""COMPUTED_VALUE"""),1650.0)</f>
        <v>1650</v>
      </c>
      <c r="O688" s="24">
        <f>IFERROR(__xludf.DUMMYFUNCTION("""COMPUTED_VALUE"""),0.11)</f>
        <v>0.11</v>
      </c>
      <c r="P688" s="17">
        <f>IFERROR(__xludf.DUMMYFUNCTION("""COMPUTED_VALUE"""),4.1)</f>
        <v>4.1</v>
      </c>
      <c r="Q688" s="25">
        <f>IFERROR(__xludf.DUMMYFUNCTION("""COMPUTED_VALUE"""),14120.0)</f>
        <v>14120</v>
      </c>
    </row>
    <row r="689">
      <c r="A689" s="7" t="s">
        <v>733</v>
      </c>
      <c r="B689" s="7" t="s">
        <v>625</v>
      </c>
      <c r="C689" s="8">
        <v>599.0</v>
      </c>
      <c r="D689" s="8">
        <v>899.0</v>
      </c>
      <c r="E689" s="19">
        <v>0.33</v>
      </c>
      <c r="F689" s="10">
        <v>4.0</v>
      </c>
      <c r="G689" s="11">
        <v>4018.0</v>
      </c>
      <c r="K689" s="17" t="str">
        <f>IFERROR(__xludf.DUMMYFUNCTION("""COMPUTED_VALUE"""),"Bajaj DX-6 1000W Dry Iron with Advance Soleplate and Anti-bacterial German Coating Technology, White")</f>
        <v>Bajaj DX-6 1000W Dry Iron with Advance Soleplate and Anti-bacterial German Coating Technology, White</v>
      </c>
      <c r="L689" s="17" t="str">
        <f>IFERROR(__xludf.DUMMYFUNCTION("""COMPUTED_VALUE"""),"Home&amp;Kitchen|Kitchen&amp;HomeAppliances|Vacuum,Cleaning&amp;Ironing|Irons,Steamers&amp;Accessories|Irons|DryIrons")</f>
        <v>Home&amp;Kitchen|Kitchen&amp;HomeAppliances|Vacuum,Cleaning&amp;Ironing|Irons,Steamers&amp;Accessories|Irons|DryIrons</v>
      </c>
      <c r="M689" s="23">
        <f>IFERROR(__xludf.DUMMYFUNCTION("""COMPUTED_VALUE"""),625.0)</f>
        <v>625</v>
      </c>
      <c r="N689" s="23">
        <f>IFERROR(__xludf.DUMMYFUNCTION("""COMPUTED_VALUE"""),1400.0)</f>
        <v>1400</v>
      </c>
      <c r="O689" s="24">
        <f>IFERROR(__xludf.DUMMYFUNCTION("""COMPUTED_VALUE"""),0.55)</f>
        <v>0.55</v>
      </c>
      <c r="P689" s="17">
        <f>IFERROR(__xludf.DUMMYFUNCTION("""COMPUTED_VALUE"""),4.2)</f>
        <v>4.2</v>
      </c>
      <c r="Q689" s="25">
        <f>IFERROR(__xludf.DUMMYFUNCTION("""COMPUTED_VALUE"""),23316.0)</f>
        <v>23316</v>
      </c>
    </row>
    <row r="690">
      <c r="A690" s="7" t="s">
        <v>734</v>
      </c>
      <c r="B690" s="7" t="s">
        <v>735</v>
      </c>
      <c r="C690" s="8">
        <v>479.0</v>
      </c>
      <c r="D690" s="8">
        <v>599.0</v>
      </c>
      <c r="E690" s="19">
        <v>0.2</v>
      </c>
      <c r="F690" s="10">
        <v>4.3</v>
      </c>
      <c r="G690" s="11">
        <v>11687.0</v>
      </c>
      <c r="K690" s="17" t="str">
        <f>IFERROR(__xludf.DUMMYFUNCTION("""COMPUTED_VALUE"""),"Havells Instanio 3-Litre Instant Geyser (White/Blue)")</f>
        <v>Havells Instanio 3-Litre Instant Geyser (White/Blue)</v>
      </c>
      <c r="L690" s="17" t="str">
        <f>IFERROR(__xludf.DUMMYFUNCTION("""COMPUTED_VALUE"""),"Home&amp;Kitchen|Heating,Cooling&amp;AirQuality|WaterHeaters&amp;Geysers|InstantWaterHeaters")</f>
        <v>Home&amp;Kitchen|Heating,Cooling&amp;AirQuality|WaterHeaters&amp;Geysers|InstantWaterHeaters</v>
      </c>
      <c r="M690" s="23">
        <f>IFERROR(__xludf.DUMMYFUNCTION("""COMPUTED_VALUE"""),3600.0)</f>
        <v>3600</v>
      </c>
      <c r="N690" s="23">
        <f>IFERROR(__xludf.DUMMYFUNCTION("""COMPUTED_VALUE"""),6190.0)</f>
        <v>6190</v>
      </c>
      <c r="O690" s="24">
        <f>IFERROR(__xludf.DUMMYFUNCTION("""COMPUTED_VALUE"""),0.42)</f>
        <v>0.42</v>
      </c>
      <c r="P690" s="17">
        <f>IFERROR(__xludf.DUMMYFUNCTION("""COMPUTED_VALUE"""),4.3)</f>
        <v>4.3</v>
      </c>
      <c r="Q690" s="25">
        <f>IFERROR(__xludf.DUMMYFUNCTION("""COMPUTED_VALUE"""),11924.0)</f>
        <v>11924</v>
      </c>
    </row>
    <row r="691">
      <c r="A691" s="7" t="s">
        <v>33</v>
      </c>
      <c r="B691" s="7" t="s">
        <v>15</v>
      </c>
      <c r="C691" s="8">
        <v>350.0</v>
      </c>
      <c r="D691" s="8">
        <v>899.0</v>
      </c>
      <c r="E691" s="19">
        <v>0.61</v>
      </c>
      <c r="F691" s="10">
        <v>4.2</v>
      </c>
      <c r="G691" s="11">
        <v>2262.0</v>
      </c>
      <c r="K691" s="17" t="str">
        <f>IFERROR(__xludf.DUMMYFUNCTION("""COMPUTED_VALUE"""),"Havells Aqua Plus 1.2 litre Double Wall Kettle / 304 Stainless Steel Inner Body / Cool touch outer body / Wider mouth/ 2 Year warranty (Black, 1500 Watt)")</f>
        <v>Havells Aqua Plus 1.2 litre Double Wall Kettle / 304 Stainless Steel Inner Body / Cool touch outer body / Wider mouth/ 2 Year warranty (Black, 1500 Watt)</v>
      </c>
      <c r="L691" s="17" t="str">
        <f>IFERROR(__xludf.DUMMYFUNCTION("""COMPUTED_VALUE"""),"Home&amp;Kitchen|Kitchen&amp;HomeAppliances|SmallKitchenAppliances|Kettles&amp;HotWaterDispensers|ElectricKettles")</f>
        <v>Home&amp;Kitchen|Kitchen&amp;HomeAppliances|SmallKitchenAppliances|Kettles&amp;HotWaterDispensers|ElectricKettles</v>
      </c>
      <c r="M691" s="23">
        <f>IFERROR(__xludf.DUMMYFUNCTION("""COMPUTED_VALUE"""),1625.0)</f>
        <v>1625</v>
      </c>
      <c r="N691" s="23">
        <f>IFERROR(__xludf.DUMMYFUNCTION("""COMPUTED_VALUE"""),2995.0)</f>
        <v>2995</v>
      </c>
      <c r="O691" s="24">
        <f>IFERROR(__xludf.DUMMYFUNCTION("""COMPUTED_VALUE"""),0.46)</f>
        <v>0.46</v>
      </c>
      <c r="P691" s="17">
        <f>IFERROR(__xludf.DUMMYFUNCTION("""COMPUTED_VALUE"""),4.5)</f>
        <v>4.5</v>
      </c>
      <c r="Q691" s="25">
        <f>IFERROR(__xludf.DUMMYFUNCTION("""COMPUTED_VALUE"""),23484.0)</f>
        <v>23484</v>
      </c>
    </row>
    <row r="692">
      <c r="A692" s="7" t="s">
        <v>736</v>
      </c>
      <c r="B692" s="7" t="s">
        <v>393</v>
      </c>
      <c r="C692" s="8">
        <v>1598.0</v>
      </c>
      <c r="D692" s="8">
        <v>2990.0</v>
      </c>
      <c r="E692" s="19">
        <v>0.47</v>
      </c>
      <c r="F692" s="10">
        <v>3.8</v>
      </c>
      <c r="G692" s="11">
        <v>11015.0</v>
      </c>
      <c r="K692" s="17" t="str">
        <f>IFERROR(__xludf.DUMMYFUNCTION("""COMPUTED_VALUE"""),"Bajaj Splendora 3 Litre 3KW IWH Instant Water Heater (Geyser), White")</f>
        <v>Bajaj Splendora 3 Litre 3KW IWH Instant Water Heater (Geyser), White</v>
      </c>
      <c r="L692" s="17" t="str">
        <f>IFERROR(__xludf.DUMMYFUNCTION("""COMPUTED_VALUE"""),"Home&amp;Kitchen|Heating,Cooling&amp;AirQuality|WaterHeaters&amp;Geysers|InstantWaterHeaters")</f>
        <v>Home&amp;Kitchen|Heating,Cooling&amp;AirQuality|WaterHeaters&amp;Geysers|InstantWaterHeaters</v>
      </c>
      <c r="M692" s="23">
        <f>IFERROR(__xludf.DUMMYFUNCTION("""COMPUTED_VALUE"""),2599.0)</f>
        <v>2599</v>
      </c>
      <c r="N692" s="23">
        <f>IFERROR(__xludf.DUMMYFUNCTION("""COMPUTED_VALUE"""),5890.0)</f>
        <v>5890</v>
      </c>
      <c r="O692" s="24">
        <f>IFERROR(__xludf.DUMMYFUNCTION("""COMPUTED_VALUE"""),0.56)</f>
        <v>0.56</v>
      </c>
      <c r="P692" s="17">
        <f>IFERROR(__xludf.DUMMYFUNCTION("""COMPUTED_VALUE"""),4.1)</f>
        <v>4.1</v>
      </c>
      <c r="Q692" s="25">
        <f>IFERROR(__xludf.DUMMYFUNCTION("""COMPUTED_VALUE"""),21783.0)</f>
        <v>21783</v>
      </c>
    </row>
    <row r="693">
      <c r="A693" s="7" t="s">
        <v>737</v>
      </c>
      <c r="B693" s="7" t="s">
        <v>738</v>
      </c>
      <c r="C693" s="8">
        <v>599.0</v>
      </c>
      <c r="D693" s="8">
        <v>899.0</v>
      </c>
      <c r="E693" s="19">
        <v>0.33</v>
      </c>
      <c r="F693" s="10">
        <v>4.3</v>
      </c>
      <c r="G693" s="11">
        <v>95116.0</v>
      </c>
      <c r="K693" s="17" t="str">
        <f>IFERROR(__xludf.DUMMYFUNCTION("""COMPUTED_VALUE"""),"Bajaj New Shakti Neo 15L Vertical Storage Water Heater (Geyser 15 litres) 4 Star BEE Rated Heater For Water Heating with Titanium Armour, Swirl Flow Technology, Glasslined Tank (White), 1 Yr Warranty")</f>
        <v>Bajaj New Shakti Neo 15L Vertical Storage Water Heater (Geyser 15 litres) 4 Star BEE Rated Heater For Water Heating with Titanium Armour, Swirl Flow Technology, Glasslined Tank (White), 1 Yr Warranty</v>
      </c>
      <c r="L693" s="17" t="str">
        <f>IFERROR(__xludf.DUMMYFUNCTION("""COMPUTED_VALUE"""),"Home&amp;Kitchen|Heating,Cooling&amp;AirQuality|WaterHeaters&amp;Geysers|StorageWaterHeaters")</f>
        <v>Home&amp;Kitchen|Heating,Cooling&amp;AirQuality|WaterHeaters&amp;Geysers|StorageWaterHeaters</v>
      </c>
      <c r="M693" s="23">
        <f>IFERROR(__xludf.DUMMYFUNCTION("""COMPUTED_VALUE"""),5499.0)</f>
        <v>5499</v>
      </c>
      <c r="N693" s="23">
        <f>IFERROR(__xludf.DUMMYFUNCTION("""COMPUTED_VALUE"""),13150.0)</f>
        <v>13150</v>
      </c>
      <c r="O693" s="24">
        <f>IFERROR(__xludf.DUMMYFUNCTION("""COMPUTED_VALUE"""),0.58)</f>
        <v>0.58</v>
      </c>
      <c r="P693" s="17">
        <f>IFERROR(__xludf.DUMMYFUNCTION("""COMPUTED_VALUE"""),4.2)</f>
        <v>4.2</v>
      </c>
      <c r="Q693" s="25">
        <f>IFERROR(__xludf.DUMMYFUNCTION("""COMPUTED_VALUE"""),6398.0)</f>
        <v>6398</v>
      </c>
    </row>
    <row r="694">
      <c r="A694" s="7" t="s">
        <v>34</v>
      </c>
      <c r="B694" s="7" t="s">
        <v>15</v>
      </c>
      <c r="C694" s="8">
        <v>159.0</v>
      </c>
      <c r="D694" s="8">
        <v>399.0</v>
      </c>
      <c r="E694" s="19">
        <v>0.6</v>
      </c>
      <c r="F694" s="10">
        <v>4.1</v>
      </c>
      <c r="G694" s="11">
        <v>4768.0</v>
      </c>
      <c r="K694" s="17" t="str">
        <f>IFERROR(__xludf.DUMMYFUNCTION("""COMPUTED_VALUE"""),"Bajaj Majesty DX-11 1000W Dry Iron with Advance Soleplate and Anti-bacterial German Coating Technology, White and Blue")</f>
        <v>Bajaj Majesty DX-11 1000W Dry Iron with Advance Soleplate and Anti-bacterial German Coating Technology, White and Blue</v>
      </c>
      <c r="L694" s="17" t="str">
        <f>IFERROR(__xludf.DUMMYFUNCTION("""COMPUTED_VALUE"""),"Home&amp;Kitchen|Kitchen&amp;HomeAppliances|Vacuum,Cleaning&amp;Ironing|Irons,Steamers&amp;Accessories|Irons|DryIrons")</f>
        <v>Home&amp;Kitchen|Kitchen&amp;HomeAppliances|Vacuum,Cleaning&amp;Ironing|Irons,Steamers&amp;Accessories|Irons|DryIrons</v>
      </c>
      <c r="M694" s="23">
        <f>IFERROR(__xludf.DUMMYFUNCTION("""COMPUTED_VALUE"""),599.0)</f>
        <v>599</v>
      </c>
      <c r="N694" s="23">
        <f>IFERROR(__xludf.DUMMYFUNCTION("""COMPUTED_VALUE"""),785.0)</f>
        <v>785</v>
      </c>
      <c r="O694" s="24">
        <f>IFERROR(__xludf.DUMMYFUNCTION("""COMPUTED_VALUE"""),0.24)</f>
        <v>0.24</v>
      </c>
      <c r="P694" s="17">
        <f>IFERROR(__xludf.DUMMYFUNCTION("""COMPUTED_VALUE"""),4.2)</f>
        <v>4.2</v>
      </c>
      <c r="Q694" s="25">
        <f>IFERROR(__xludf.DUMMYFUNCTION("""COMPUTED_VALUE"""),24247.0)</f>
        <v>24247</v>
      </c>
    </row>
    <row r="695">
      <c r="A695" s="7" t="s">
        <v>739</v>
      </c>
      <c r="B695" s="7" t="s">
        <v>622</v>
      </c>
      <c r="C695" s="8">
        <v>1299.0</v>
      </c>
      <c r="D695" s="8">
        <v>3000.0</v>
      </c>
      <c r="E695" s="19">
        <v>0.57</v>
      </c>
      <c r="F695" s="10">
        <v>4.3</v>
      </c>
      <c r="G695" s="11">
        <v>23022.0</v>
      </c>
      <c r="K695" s="17" t="str">
        <f>IFERROR(__xludf.DUMMYFUNCTION("""COMPUTED_VALUE"""),"Bajaj Rex 500W Mixer Grinder with Nutri-Pro Feature, 3 Jars, White")</f>
        <v>Bajaj Rex 500W Mixer Grinder with Nutri-Pro Feature, 3 Jars, White</v>
      </c>
      <c r="L695" s="17" t="str">
        <f>IFERROR(__xludf.DUMMYFUNCTION("""COMPUTED_VALUE"""),"Home&amp;Kitchen|Kitchen&amp;HomeAppliances|SmallKitchenAppliances|MixerGrinders")</f>
        <v>Home&amp;Kitchen|Kitchen&amp;HomeAppliances|SmallKitchenAppliances|MixerGrinders</v>
      </c>
      <c r="M695" s="23">
        <f>IFERROR(__xludf.DUMMYFUNCTION("""COMPUTED_VALUE"""),1999.0)</f>
        <v>1999</v>
      </c>
      <c r="N695" s="23">
        <f>IFERROR(__xludf.DUMMYFUNCTION("""COMPUTED_VALUE"""),3210.0)</f>
        <v>3210</v>
      </c>
      <c r="O695" s="24">
        <f>IFERROR(__xludf.DUMMYFUNCTION("""COMPUTED_VALUE"""),0.38)</f>
        <v>0.38</v>
      </c>
      <c r="P695" s="17">
        <f>IFERROR(__xludf.DUMMYFUNCTION("""COMPUTED_VALUE"""),4.2)</f>
        <v>4.2</v>
      </c>
      <c r="Q695" s="25">
        <f>IFERROR(__xludf.DUMMYFUNCTION("""COMPUTED_VALUE"""),41349.0)</f>
        <v>41349</v>
      </c>
    </row>
    <row r="696">
      <c r="A696" s="7" t="s">
        <v>491</v>
      </c>
      <c r="B696" s="7" t="s">
        <v>373</v>
      </c>
      <c r="C696" s="8">
        <v>1599.0</v>
      </c>
      <c r="D696" s="8">
        <v>4999.0</v>
      </c>
      <c r="E696" s="19">
        <v>0.68</v>
      </c>
      <c r="F696" s="10">
        <v>4.0</v>
      </c>
      <c r="G696" s="11">
        <v>67951.0</v>
      </c>
      <c r="K696" s="17" t="str">
        <f>IFERROR(__xludf.DUMMYFUNCTION("""COMPUTED_VALUE"""),"R B Nova Lint/Fabric Shaver for Cloths, Lint Remover for Woolen Sweaters, Blankets, Jackets/Burr Remover Pill Remover from Carpets, Pack of 1")</f>
        <v>R B Nova Lint/Fabric Shaver for Cloths, Lint Remover for Woolen Sweaters, Blankets, Jackets/Burr Remover Pill Remover from Carpets, Pack of 1</v>
      </c>
      <c r="L696" s="17" t="str">
        <f>IFERROR(__xludf.DUMMYFUNCTION("""COMPUTED_VALUE"""),"Home&amp;Kitchen|Kitchen&amp;HomeAppliances|Vacuum,Cleaning&amp;Ironing|Irons,Steamers&amp;Accessories|LintShavers")</f>
        <v>Home&amp;Kitchen|Kitchen&amp;HomeAppliances|Vacuum,Cleaning&amp;Ironing|Irons,Steamers&amp;Accessories|LintShavers</v>
      </c>
      <c r="M696" s="23">
        <f>IFERROR(__xludf.DUMMYFUNCTION("""COMPUTED_VALUE"""),398.0)</f>
        <v>398</v>
      </c>
      <c r="N696" s="23">
        <f>IFERROR(__xludf.DUMMYFUNCTION("""COMPUTED_VALUE"""),1999.0)</f>
        <v>1999</v>
      </c>
      <c r="O696" s="24">
        <f>IFERROR(__xludf.DUMMYFUNCTION("""COMPUTED_VALUE"""),0.8)</f>
        <v>0.8</v>
      </c>
      <c r="P696" s="17">
        <f>IFERROR(__xludf.DUMMYFUNCTION("""COMPUTED_VALUE"""),4.1)</f>
        <v>4.1</v>
      </c>
      <c r="Q696" s="17">
        <f>IFERROR(__xludf.DUMMYFUNCTION("""COMPUTED_VALUE"""),257.0)</f>
        <v>257</v>
      </c>
    </row>
    <row r="697">
      <c r="A697" s="7" t="s">
        <v>740</v>
      </c>
      <c r="B697" s="7" t="s">
        <v>741</v>
      </c>
      <c r="C697" s="8">
        <v>294.0</v>
      </c>
      <c r="D697" s="8">
        <v>4999.0</v>
      </c>
      <c r="E697" s="19">
        <v>0.94</v>
      </c>
      <c r="F697" s="10">
        <v>4.3</v>
      </c>
      <c r="G697" s="11">
        <v>4426.0</v>
      </c>
      <c r="K697" s="17" t="str">
        <f>IFERROR(__xludf.DUMMYFUNCTION("""COMPUTED_VALUE"""),"Bajaj Immersion Rod Water Heater 1500 Watts, Silver")</f>
        <v>Bajaj Immersion Rod Water Heater 1500 Watts, Silver</v>
      </c>
      <c r="L697" s="17" t="str">
        <f>IFERROR(__xludf.DUMMYFUNCTION("""COMPUTED_VALUE"""),"Home&amp;Kitchen|Heating,Cooling&amp;AirQuality|WaterHeaters&amp;Geysers|ImmersionRods")</f>
        <v>Home&amp;Kitchen|Heating,Cooling&amp;AirQuality|WaterHeaters&amp;Geysers|ImmersionRods</v>
      </c>
      <c r="M697" s="23">
        <f>IFERROR(__xludf.DUMMYFUNCTION("""COMPUTED_VALUE"""),539.0)</f>
        <v>539</v>
      </c>
      <c r="N697" s="23">
        <f>IFERROR(__xludf.DUMMYFUNCTION("""COMPUTED_VALUE"""),720.0)</f>
        <v>720</v>
      </c>
      <c r="O697" s="24">
        <f>IFERROR(__xludf.DUMMYFUNCTION("""COMPUTED_VALUE"""),0.25)</f>
        <v>0.25</v>
      </c>
      <c r="P697" s="17">
        <f>IFERROR(__xludf.DUMMYFUNCTION("""COMPUTED_VALUE"""),4.1)</f>
        <v>4.1</v>
      </c>
      <c r="Q697" s="25">
        <f>IFERROR(__xludf.DUMMYFUNCTION("""COMPUTED_VALUE"""),36017.0)</f>
        <v>36017</v>
      </c>
    </row>
    <row r="698">
      <c r="A698" s="7" t="s">
        <v>742</v>
      </c>
      <c r="B698" s="7" t="s">
        <v>683</v>
      </c>
      <c r="C698" s="8">
        <v>828.0</v>
      </c>
      <c r="D698" s="8">
        <v>861.0</v>
      </c>
      <c r="E698" s="19">
        <v>0.04</v>
      </c>
      <c r="F698" s="10">
        <v>4.2</v>
      </c>
      <c r="G698" s="11">
        <v>4567.0</v>
      </c>
      <c r="K698" s="17" t="str">
        <f>IFERROR(__xludf.DUMMYFUNCTION("""COMPUTED_VALUE"""),"INALSA Electric Kettle 1.5 Litre with Stainless Steel Body - Absa|Auto Shut Off &amp; Boil Dry Protection Safety Features| Cordless Base &amp; Cord Winder|Hot Water Kettle |Water Heater Jug")</f>
        <v>INALSA Electric Kettle 1.5 Litre with Stainless Steel Body - Absa|Auto Shut Off &amp; Boil Dry Protection Safety Features| Cordless Base &amp; Cord Winder|Hot Water Kettle |Water Heater Jug</v>
      </c>
      <c r="L698" s="17" t="str">
        <f>IFERROR(__xludf.DUMMYFUNCTION("""COMPUTED_VALUE"""),"Home&amp;Kitchen|Kitchen&amp;HomeAppliances|SmallKitchenAppliances|Kettles&amp;HotWaterDispensers|ElectricKettles")</f>
        <v>Home&amp;Kitchen|Kitchen&amp;HomeAppliances|SmallKitchenAppliances|Kettles&amp;HotWaterDispensers|ElectricKettles</v>
      </c>
      <c r="M698" s="23">
        <f>IFERROR(__xludf.DUMMYFUNCTION("""COMPUTED_VALUE"""),699.0)</f>
        <v>699</v>
      </c>
      <c r="N698" s="23">
        <f>IFERROR(__xludf.DUMMYFUNCTION("""COMPUTED_VALUE"""),1595.0)</f>
        <v>1595</v>
      </c>
      <c r="O698" s="24">
        <f>IFERROR(__xludf.DUMMYFUNCTION("""COMPUTED_VALUE"""),0.56)</f>
        <v>0.56</v>
      </c>
      <c r="P698" s="17">
        <f>IFERROR(__xludf.DUMMYFUNCTION("""COMPUTED_VALUE"""),4.1)</f>
        <v>4.1</v>
      </c>
      <c r="Q698" s="25">
        <f>IFERROR(__xludf.DUMMYFUNCTION("""COMPUTED_VALUE"""),8090.0)</f>
        <v>8090</v>
      </c>
    </row>
    <row r="699">
      <c r="A699" s="7" t="s">
        <v>743</v>
      </c>
      <c r="B699" s="7" t="s">
        <v>572</v>
      </c>
      <c r="C699" s="8">
        <v>745.0</v>
      </c>
      <c r="D699" s="8">
        <v>795.0</v>
      </c>
      <c r="E699" s="19">
        <v>0.06</v>
      </c>
      <c r="F699" s="10">
        <v>4.0</v>
      </c>
      <c r="G699" s="11">
        <v>13797.0</v>
      </c>
      <c r="K699" s="17" t="str">
        <f>IFERROR(__xludf.DUMMYFUNCTION("""COMPUTED_VALUE"""),"Prestige PIC 20 1600 Watt Induction Cooktop with Push button (Black)")</f>
        <v>Prestige PIC 20 1600 Watt Induction Cooktop with Push button (Black)</v>
      </c>
      <c r="L699" s="17" t="str">
        <f>IFERROR(__xludf.DUMMYFUNCTION("""COMPUTED_VALUE"""),"Home&amp;Kitchen|Kitchen&amp;HomeAppliances|SmallKitchenAppliances|InductionCooktop")</f>
        <v>Home&amp;Kitchen|Kitchen&amp;HomeAppliances|SmallKitchenAppliances|InductionCooktop</v>
      </c>
      <c r="M699" s="23">
        <f>IFERROR(__xludf.DUMMYFUNCTION("""COMPUTED_VALUE"""),2148.0)</f>
        <v>2148</v>
      </c>
      <c r="N699" s="23">
        <f>IFERROR(__xludf.DUMMYFUNCTION("""COMPUTED_VALUE"""),3645.0)</f>
        <v>3645</v>
      </c>
      <c r="O699" s="24">
        <f>IFERROR(__xludf.DUMMYFUNCTION("""COMPUTED_VALUE"""),0.41)</f>
        <v>0.41</v>
      </c>
      <c r="P699" s="17">
        <f>IFERROR(__xludf.DUMMYFUNCTION("""COMPUTED_VALUE"""),4.1)</f>
        <v>4.1</v>
      </c>
      <c r="Q699" s="25">
        <f>IFERROR(__xludf.DUMMYFUNCTION("""COMPUTED_VALUE"""),31388.0)</f>
        <v>31388</v>
      </c>
    </row>
    <row r="700">
      <c r="A700" s="7" t="s">
        <v>744</v>
      </c>
      <c r="B700" s="7" t="s">
        <v>745</v>
      </c>
      <c r="C700" s="8">
        <v>1549.0</v>
      </c>
      <c r="D700" s="8">
        <v>2495.0</v>
      </c>
      <c r="E700" s="19">
        <v>0.38</v>
      </c>
      <c r="F700" s="10">
        <v>4.4</v>
      </c>
      <c r="G700" s="11">
        <v>15137.0</v>
      </c>
      <c r="K700" s="17" t="str">
        <f>IFERROR(__xludf.DUMMYFUNCTION("""COMPUTED_VALUE"""),"Pigeon Healthifry Digital Air Fryer, 360° High Speed Air Circulation Technology 1200 W with Non-Stick 4.2 L Basket - Green")</f>
        <v>Pigeon Healthifry Digital Air Fryer, 360° High Speed Air Circulation Technology 1200 W with Non-Stick 4.2 L Basket - Green</v>
      </c>
      <c r="L700" s="17" t="str">
        <f>IFERROR(__xludf.DUMMYFUNCTION("""COMPUTED_VALUE"""),"Home&amp;Kitchen|Kitchen&amp;HomeAppliances|SmallKitchenAppliances|DeepFatFryers|AirFryers")</f>
        <v>Home&amp;Kitchen|Kitchen&amp;HomeAppliances|SmallKitchenAppliances|DeepFatFryers|AirFryers</v>
      </c>
      <c r="M700" s="23">
        <f>IFERROR(__xludf.DUMMYFUNCTION("""COMPUTED_VALUE"""),3599.0)</f>
        <v>3599</v>
      </c>
      <c r="N700" s="23">
        <f>IFERROR(__xludf.DUMMYFUNCTION("""COMPUTED_VALUE"""),7950.0)</f>
        <v>7950</v>
      </c>
      <c r="O700" s="24">
        <f>IFERROR(__xludf.DUMMYFUNCTION("""COMPUTED_VALUE"""),0.55)</f>
        <v>0.55</v>
      </c>
      <c r="P700" s="17">
        <f>IFERROR(__xludf.DUMMYFUNCTION("""COMPUTED_VALUE"""),4.2)</f>
        <v>4.2</v>
      </c>
      <c r="Q700" s="17">
        <f>IFERROR(__xludf.DUMMYFUNCTION("""COMPUTED_VALUE"""),136.0)</f>
        <v>136</v>
      </c>
    </row>
    <row r="701">
      <c r="A701" s="7" t="s">
        <v>35</v>
      </c>
      <c r="B701" s="7" t="s">
        <v>15</v>
      </c>
      <c r="C701" s="8">
        <v>349.0</v>
      </c>
      <c r="D701" s="8">
        <v>399.0</v>
      </c>
      <c r="E701" s="19">
        <v>0.13</v>
      </c>
      <c r="F701" s="10">
        <v>4.4</v>
      </c>
      <c r="G701" s="11">
        <v>18757.0</v>
      </c>
      <c r="K701" s="17" t="str">
        <f>IFERROR(__xludf.DUMMYFUNCTION("""COMPUTED_VALUE"""),"Philips GC1905 1440-Watt Steam Iron with Spray (Blue)")</f>
        <v>Philips GC1905 1440-Watt Steam Iron with Spray (Blue)</v>
      </c>
      <c r="L701" s="17" t="str">
        <f>IFERROR(__xludf.DUMMYFUNCTION("""COMPUTED_VALUE"""),"Home&amp;Kitchen|Kitchen&amp;HomeAppliances|Vacuum,Cleaning&amp;Ironing|Irons,Steamers&amp;Accessories|Irons|SteamIrons")</f>
        <v>Home&amp;Kitchen|Kitchen&amp;HomeAppliances|Vacuum,Cleaning&amp;Ironing|Irons,Steamers&amp;Accessories|Irons|SteamIrons</v>
      </c>
      <c r="M701" s="23">
        <f>IFERROR(__xludf.DUMMYFUNCTION("""COMPUTED_VALUE"""),1614.0)</f>
        <v>1614</v>
      </c>
      <c r="N701" s="23">
        <f>IFERROR(__xludf.DUMMYFUNCTION("""COMPUTED_VALUE"""),1745.0)</f>
        <v>1745</v>
      </c>
      <c r="O701" s="24">
        <f>IFERROR(__xludf.DUMMYFUNCTION("""COMPUTED_VALUE"""),0.08)</f>
        <v>0.08</v>
      </c>
      <c r="P701" s="17">
        <f>IFERROR(__xludf.DUMMYFUNCTION("""COMPUTED_VALUE"""),4.3)</f>
        <v>4.3</v>
      </c>
      <c r="Q701" s="25">
        <f>IFERROR(__xludf.DUMMYFUNCTION("""COMPUTED_VALUE"""),37974.0)</f>
        <v>37974</v>
      </c>
    </row>
    <row r="702">
      <c r="A702" s="7" t="s">
        <v>41</v>
      </c>
      <c r="B702" s="7" t="s">
        <v>15</v>
      </c>
      <c r="C702" s="8">
        <v>970.0</v>
      </c>
      <c r="D702" s="8">
        <v>1799.0</v>
      </c>
      <c r="E702" s="19">
        <v>0.46</v>
      </c>
      <c r="F702" s="10">
        <v>4.5</v>
      </c>
      <c r="G702" s="10">
        <v>815.0</v>
      </c>
      <c r="K702" s="17" t="str">
        <f>IFERROR(__xludf.DUMMYFUNCTION("""COMPUTED_VALUE"""),"Havells Immersion HB15 1500 Watt (White Blue)")</f>
        <v>Havells Immersion HB15 1500 Watt (White Blue)</v>
      </c>
      <c r="L702" s="17" t="str">
        <f>IFERROR(__xludf.DUMMYFUNCTION("""COMPUTED_VALUE"""),"Home&amp;Kitchen|Heating,Cooling&amp;AirQuality|WaterHeaters&amp;Geysers|ImmersionRods")</f>
        <v>Home&amp;Kitchen|Heating,Cooling&amp;AirQuality|WaterHeaters&amp;Geysers|ImmersionRods</v>
      </c>
      <c r="M702" s="23">
        <f>IFERROR(__xludf.DUMMYFUNCTION("""COMPUTED_VALUE"""),719.0)</f>
        <v>719</v>
      </c>
      <c r="N702" s="23">
        <f>IFERROR(__xludf.DUMMYFUNCTION("""COMPUTED_VALUE"""),1295.0)</f>
        <v>1295</v>
      </c>
      <c r="O702" s="24">
        <f>IFERROR(__xludf.DUMMYFUNCTION("""COMPUTED_VALUE"""),0.44)</f>
        <v>0.44</v>
      </c>
      <c r="P702" s="17">
        <f>IFERROR(__xludf.DUMMYFUNCTION("""COMPUTED_VALUE"""),4.2)</f>
        <v>4.2</v>
      </c>
      <c r="Q702" s="25">
        <f>IFERROR(__xludf.DUMMYFUNCTION("""COMPUTED_VALUE"""),17218.0)</f>
        <v>17218</v>
      </c>
    </row>
    <row r="703">
      <c r="A703" s="7" t="s">
        <v>746</v>
      </c>
      <c r="B703" s="7" t="s">
        <v>676</v>
      </c>
      <c r="C703" s="8">
        <v>1469.0</v>
      </c>
      <c r="D703" s="8">
        <v>2499.0</v>
      </c>
      <c r="E703" s="19">
        <v>0.41</v>
      </c>
      <c r="F703" s="10">
        <v>4.2</v>
      </c>
      <c r="G703" s="7" t="s">
        <v>747</v>
      </c>
      <c r="K703" s="17" t="str">
        <f>IFERROR(__xludf.DUMMYFUNCTION("""COMPUTED_VALUE"""),"AGARO LR2007 Lint Remover, Rechargeable, for Woolen Sweaters, Blankets, Jackets, Burr Remover, Pill Remover From Carpets, Curtains")</f>
        <v>AGARO LR2007 Lint Remover, Rechargeable, for Woolen Sweaters, Blankets, Jackets, Burr Remover, Pill Remover From Carpets, Curtains</v>
      </c>
      <c r="L703" s="17" t="str">
        <f>IFERROR(__xludf.DUMMYFUNCTION("""COMPUTED_VALUE"""),"Home&amp;Kitchen|Kitchen&amp;HomeAppliances|Vacuum,Cleaning&amp;Ironing|Irons,Steamers&amp;Accessories|LintShavers")</f>
        <v>Home&amp;Kitchen|Kitchen&amp;HomeAppliances|Vacuum,Cleaning&amp;Ironing|Irons,Steamers&amp;Accessories|LintShavers</v>
      </c>
      <c r="M703" s="23">
        <f>IFERROR(__xludf.DUMMYFUNCTION("""COMPUTED_VALUE"""),678.0)</f>
        <v>678</v>
      </c>
      <c r="N703" s="23">
        <f>IFERROR(__xludf.DUMMYFUNCTION("""COMPUTED_VALUE"""),1499.0)</f>
        <v>1499</v>
      </c>
      <c r="O703" s="24">
        <f>IFERROR(__xludf.DUMMYFUNCTION("""COMPUTED_VALUE"""),0.55)</f>
        <v>0.55</v>
      </c>
      <c r="P703" s="17">
        <f>IFERROR(__xludf.DUMMYFUNCTION("""COMPUTED_VALUE"""),4.2)</f>
        <v>4.2</v>
      </c>
      <c r="Q703" s="17">
        <f>IFERROR(__xludf.DUMMYFUNCTION("""COMPUTED_VALUE"""),900.0)</f>
        <v>900</v>
      </c>
    </row>
    <row r="704">
      <c r="A704" s="7" t="s">
        <v>748</v>
      </c>
      <c r="B704" s="7" t="s">
        <v>749</v>
      </c>
      <c r="C704" s="8">
        <v>198.0</v>
      </c>
      <c r="D704" s="8">
        <v>800.0</v>
      </c>
      <c r="E704" s="19">
        <v>0.75</v>
      </c>
      <c r="F704" s="10">
        <v>4.1</v>
      </c>
      <c r="G704" s="11">
        <v>9344.0</v>
      </c>
      <c r="K704" s="17" t="str">
        <f>IFERROR(__xludf.DUMMYFUNCTION("""COMPUTED_VALUE"""),"NutriPro Juicer Mixer Grinder - Smoothie Maker - 500 Watts (3 Jars 2 Blades)")</f>
        <v>NutriPro Juicer Mixer Grinder - Smoothie Maker - 500 Watts (3 Jars 2 Blades)</v>
      </c>
      <c r="L704" s="17" t="str">
        <f>IFERROR(__xludf.DUMMYFUNCTION("""COMPUTED_VALUE"""),"Home&amp;Kitchen|Kitchen&amp;HomeAppliances|SmallKitchenAppliances|JuicerMixerGrinders")</f>
        <v>Home&amp;Kitchen|Kitchen&amp;HomeAppliances|SmallKitchenAppliances|JuicerMixerGrinders</v>
      </c>
      <c r="M704" s="23">
        <f>IFERROR(__xludf.DUMMYFUNCTION("""COMPUTED_VALUE"""),1969.0)</f>
        <v>1969</v>
      </c>
      <c r="N704" s="23">
        <f>IFERROR(__xludf.DUMMYFUNCTION("""COMPUTED_VALUE"""),5000.0)</f>
        <v>5000</v>
      </c>
      <c r="O704" s="24">
        <f>IFERROR(__xludf.DUMMYFUNCTION("""COMPUTED_VALUE"""),0.61)</f>
        <v>0.61</v>
      </c>
      <c r="P704" s="17">
        <f>IFERROR(__xludf.DUMMYFUNCTION("""COMPUTED_VALUE"""),4.1)</f>
        <v>4.1</v>
      </c>
      <c r="Q704" s="25">
        <f>IFERROR(__xludf.DUMMYFUNCTION("""COMPUTED_VALUE"""),4927.0)</f>
        <v>4927</v>
      </c>
    </row>
    <row r="705">
      <c r="A705" s="7" t="s">
        <v>750</v>
      </c>
      <c r="B705" s="7" t="s">
        <v>751</v>
      </c>
      <c r="C705" s="8">
        <v>549.0</v>
      </c>
      <c r="D705" s="8">
        <v>549.0</v>
      </c>
      <c r="E705" s="19">
        <v>0.0</v>
      </c>
      <c r="F705" s="10">
        <v>4.5</v>
      </c>
      <c r="G705" s="11">
        <v>4875.0</v>
      </c>
      <c r="K705" s="17" t="str">
        <f>IFERROR(__xludf.DUMMYFUNCTION("""COMPUTED_VALUE"""),"Philips GC026/30 Fabric Shaver, Lint Remover for Woolen Sweaters, Blankets, Jackets/Burr Remover Pill Remover from Carpets, Curtains (White)")</f>
        <v>Philips GC026/30 Fabric Shaver, Lint Remover for Woolen Sweaters, Blankets, Jackets/Burr Remover Pill Remover from Carpets, Curtains (White)</v>
      </c>
      <c r="L705" s="17" t="str">
        <f>IFERROR(__xludf.DUMMYFUNCTION("""COMPUTED_VALUE"""),"Home&amp;Kitchen|Kitchen&amp;HomeAppliances|Vacuum,Cleaning&amp;Ironing|Irons,Steamers&amp;Accessories|LintShavers")</f>
        <v>Home&amp;Kitchen|Kitchen&amp;HomeAppliances|Vacuum,Cleaning&amp;Ironing|Irons,Steamers&amp;Accessories|LintShavers</v>
      </c>
      <c r="M705" s="23">
        <f>IFERROR(__xludf.DUMMYFUNCTION("""COMPUTED_VALUE"""),1490.0)</f>
        <v>1490</v>
      </c>
      <c r="N705" s="23">
        <f>IFERROR(__xludf.DUMMYFUNCTION("""COMPUTED_VALUE"""),1695.0)</f>
        <v>1695</v>
      </c>
      <c r="O705" s="24">
        <f>IFERROR(__xludf.DUMMYFUNCTION("""COMPUTED_VALUE"""),0.12)</f>
        <v>0.12</v>
      </c>
      <c r="P705" s="17">
        <f>IFERROR(__xludf.DUMMYFUNCTION("""COMPUTED_VALUE"""),4.4)</f>
        <v>4.4</v>
      </c>
      <c r="Q705" s="25">
        <f>IFERROR(__xludf.DUMMYFUNCTION("""COMPUTED_VALUE"""),3543.0)</f>
        <v>3543</v>
      </c>
    </row>
    <row r="706">
      <c r="A706" s="7" t="s">
        <v>514</v>
      </c>
      <c r="B706" s="7" t="s">
        <v>373</v>
      </c>
      <c r="C706" s="8">
        <v>2999.0</v>
      </c>
      <c r="D706" s="8">
        <v>9999.0</v>
      </c>
      <c r="E706" s="19">
        <v>0.7</v>
      </c>
      <c r="F706" s="10">
        <v>4.2</v>
      </c>
      <c r="G706" s="11">
        <v>20881.0</v>
      </c>
      <c r="K706" s="17" t="str">
        <f>IFERROR(__xludf.DUMMYFUNCTION("""COMPUTED_VALUE"""),"Philips Viva Collection HD4928/01 2100-Watt Induction Cooktop with Feather Touch Sensor and Crystal Glass Plate (Black)")</f>
        <v>Philips Viva Collection HD4928/01 2100-Watt Induction Cooktop with Feather Touch Sensor and Crystal Glass Plate (Black)</v>
      </c>
      <c r="L706" s="17" t="str">
        <f>IFERROR(__xludf.DUMMYFUNCTION("""COMPUTED_VALUE"""),"Home&amp;Kitchen|Kitchen&amp;HomeAppliances|SmallKitchenAppliances|InductionCooktop")</f>
        <v>Home&amp;Kitchen|Kitchen&amp;HomeAppliances|SmallKitchenAppliances|InductionCooktop</v>
      </c>
      <c r="M706" s="23">
        <f>IFERROR(__xludf.DUMMYFUNCTION("""COMPUTED_VALUE"""),3229.0)</f>
        <v>3229</v>
      </c>
      <c r="N706" s="23">
        <f>IFERROR(__xludf.DUMMYFUNCTION("""COMPUTED_VALUE"""),5295.0)</f>
        <v>5295</v>
      </c>
      <c r="O706" s="24">
        <f>IFERROR(__xludf.DUMMYFUNCTION("""COMPUTED_VALUE"""),0.39)</f>
        <v>0.39</v>
      </c>
      <c r="P706" s="17">
        <f>IFERROR(__xludf.DUMMYFUNCTION("""COMPUTED_VALUE"""),4.2)</f>
        <v>4.2</v>
      </c>
      <c r="Q706" s="25">
        <f>IFERROR(__xludf.DUMMYFUNCTION("""COMPUTED_VALUE"""),39724.0)</f>
        <v>39724</v>
      </c>
    </row>
    <row r="707">
      <c r="A707" s="7" t="s">
        <v>752</v>
      </c>
      <c r="B707" s="7" t="s">
        <v>373</v>
      </c>
      <c r="C707" s="8">
        <v>12000.0</v>
      </c>
      <c r="D707" s="8">
        <v>29999.0</v>
      </c>
      <c r="E707" s="19">
        <v>0.6</v>
      </c>
      <c r="F707" s="10">
        <v>4.3</v>
      </c>
      <c r="G707" s="11">
        <v>4744.0</v>
      </c>
      <c r="K707" s="17" t="str">
        <f>IFERROR(__xludf.DUMMYFUNCTION("""COMPUTED_VALUE"""),"AGARO Esteem Multi Kettle 1.2 Litre, 600W with 3 Heating Modes &amp; Rapid Boil Technology")</f>
        <v>AGARO Esteem Multi Kettle 1.2 Litre, 600W with 3 Heating Modes &amp; Rapid Boil Technology</v>
      </c>
      <c r="L707" s="17" t="str">
        <f>IFERROR(__xludf.DUMMYFUNCTION("""COMPUTED_VALUE"""),"Home&amp;Kitchen|Kitchen&amp;HomeAppliances|SmallKitchenAppliances|Kettles&amp;HotWaterDispensers|ElectricKettles")</f>
        <v>Home&amp;Kitchen|Kitchen&amp;HomeAppliances|SmallKitchenAppliances|Kettles&amp;HotWaterDispensers|ElectricKettles</v>
      </c>
      <c r="M707" s="23">
        <f>IFERROR(__xludf.DUMMYFUNCTION("""COMPUTED_VALUE"""),1260.0)</f>
        <v>1260</v>
      </c>
      <c r="N707" s="23">
        <f>IFERROR(__xludf.DUMMYFUNCTION("""COMPUTED_VALUE"""),1699.0)</f>
        <v>1699</v>
      </c>
      <c r="O707" s="24">
        <f>IFERROR(__xludf.DUMMYFUNCTION("""COMPUTED_VALUE"""),0.26)</f>
        <v>0.26</v>
      </c>
      <c r="P707" s="17">
        <f>IFERROR(__xludf.DUMMYFUNCTION("""COMPUTED_VALUE"""),4.2)</f>
        <v>4.2</v>
      </c>
      <c r="Q707" s="25">
        <f>IFERROR(__xludf.DUMMYFUNCTION("""COMPUTED_VALUE"""),2891.0)</f>
        <v>2891</v>
      </c>
    </row>
    <row r="708">
      <c r="A708" s="7" t="s">
        <v>753</v>
      </c>
      <c r="B708" s="7" t="s">
        <v>393</v>
      </c>
      <c r="C708" s="8">
        <v>1299.0</v>
      </c>
      <c r="D708" s="8">
        <v>3499.0</v>
      </c>
      <c r="E708" s="19">
        <v>0.63</v>
      </c>
      <c r="F708" s="10">
        <v>3.9</v>
      </c>
      <c r="G708" s="11">
        <v>12452.0</v>
      </c>
      <c r="K708" s="17" t="str">
        <f>IFERROR(__xludf.DUMMYFUNCTION("""COMPUTED_VALUE"""),"SOFLIN Egg Boiler Electric Automatic Off 7 Egg Poacher for Steaming, Cooking, Boiling and Frying (400 Watts, Blue)")</f>
        <v>SOFLIN Egg Boiler Electric Automatic Off 7 Egg Poacher for Steaming, Cooking, Boiling and Frying (400 Watts, Blue)</v>
      </c>
      <c r="L708" s="17" t="str">
        <f>IFERROR(__xludf.DUMMYFUNCTION("""COMPUTED_VALUE"""),"Home&amp;Kitchen|Kitchen&amp;HomeAppliances|SmallKitchenAppliances|EggBoilers")</f>
        <v>Home&amp;Kitchen|Kitchen&amp;HomeAppliances|SmallKitchenAppliances|EggBoilers</v>
      </c>
      <c r="M708" s="23">
        <f>IFERROR(__xludf.DUMMYFUNCTION("""COMPUTED_VALUE"""),379.0)</f>
        <v>379</v>
      </c>
      <c r="N708" s="23">
        <f>IFERROR(__xludf.DUMMYFUNCTION("""COMPUTED_VALUE"""),999.0)</f>
        <v>999</v>
      </c>
      <c r="O708" s="24">
        <f>IFERROR(__xludf.DUMMYFUNCTION("""COMPUTED_VALUE"""),0.62)</f>
        <v>0.62</v>
      </c>
      <c r="P708" s="17">
        <f>IFERROR(__xludf.DUMMYFUNCTION("""COMPUTED_VALUE"""),4.3)</f>
        <v>4.3</v>
      </c>
      <c r="Q708" s="25">
        <f>IFERROR(__xludf.DUMMYFUNCTION("""COMPUTED_VALUE"""),3096.0)</f>
        <v>3096</v>
      </c>
    </row>
    <row r="709">
      <c r="A709" s="7" t="s">
        <v>754</v>
      </c>
      <c r="B709" s="7" t="s">
        <v>652</v>
      </c>
      <c r="C709" s="8">
        <v>269.0</v>
      </c>
      <c r="D709" s="8">
        <v>315.0</v>
      </c>
      <c r="E709" s="19">
        <v>0.15</v>
      </c>
      <c r="F709" s="10">
        <v>4.5</v>
      </c>
      <c r="G709" s="11">
        <v>17810.0</v>
      </c>
      <c r="K709" s="17" t="str">
        <f>IFERROR(__xludf.DUMMYFUNCTION("""COMPUTED_VALUE"""),"Prestige Sandwich Maker PGMFD 01, Black")</f>
        <v>Prestige Sandwich Maker PGMFD 01, Black</v>
      </c>
      <c r="L709" s="17" t="str">
        <f>IFERROR(__xludf.DUMMYFUNCTION("""COMPUTED_VALUE"""),"Home&amp;Kitchen|Kitchen&amp;HomeAppliances|SmallKitchenAppliances|SandwichMakers")</f>
        <v>Home&amp;Kitchen|Kitchen&amp;HomeAppliances|SmallKitchenAppliances|SandwichMakers</v>
      </c>
      <c r="M709" s="23">
        <f>IFERROR(__xludf.DUMMYFUNCTION("""COMPUTED_VALUE"""),1299.0)</f>
        <v>1299</v>
      </c>
      <c r="N709" s="23">
        <f>IFERROR(__xludf.DUMMYFUNCTION("""COMPUTED_VALUE"""),1299.0)</f>
        <v>1299</v>
      </c>
      <c r="O709" s="24">
        <f>IFERROR(__xludf.DUMMYFUNCTION("""COMPUTED_VALUE"""),0.0)</f>
        <v>0</v>
      </c>
      <c r="P709" s="17">
        <f>IFERROR(__xludf.DUMMYFUNCTION("""COMPUTED_VALUE"""),4.2)</f>
        <v>4.2</v>
      </c>
      <c r="Q709" s="25">
        <f>IFERROR(__xludf.DUMMYFUNCTION("""COMPUTED_VALUE"""),40106.0)</f>
        <v>40106</v>
      </c>
    </row>
    <row r="710">
      <c r="A710" s="7" t="s">
        <v>755</v>
      </c>
      <c r="B710" s="7" t="s">
        <v>393</v>
      </c>
      <c r="C710" s="8">
        <v>799.0</v>
      </c>
      <c r="D710" s="8">
        <v>1499.0</v>
      </c>
      <c r="E710" s="19">
        <v>0.47</v>
      </c>
      <c r="F710" s="10">
        <v>4.1</v>
      </c>
      <c r="G710" s="11">
        <v>53648.0</v>
      </c>
      <c r="K710" s="17" t="str">
        <f>IFERROR(__xludf.DUMMYFUNCTION("""COMPUTED_VALUE"""),"Orient Electric Fabrijoy DIFJ10BP 1000-Watt Dry Iron, Non-Stick (White and Blue)")</f>
        <v>Orient Electric Fabrijoy DIFJ10BP 1000-Watt Dry Iron, Non-Stick (White and Blue)</v>
      </c>
      <c r="L710" s="17" t="str">
        <f>IFERROR(__xludf.DUMMYFUNCTION("""COMPUTED_VALUE"""),"Home&amp;Kitchen|Kitchen&amp;HomeAppliances|Vacuum,Cleaning&amp;Ironing|Irons,Steamers&amp;Accessories|Irons|DryIrons")</f>
        <v>Home&amp;Kitchen|Kitchen&amp;HomeAppliances|Vacuum,Cleaning&amp;Ironing|Irons,Steamers&amp;Accessories|Irons|DryIrons</v>
      </c>
      <c r="M710" s="23">
        <f>IFERROR(__xludf.DUMMYFUNCTION("""COMPUTED_VALUE"""),549.0)</f>
        <v>549</v>
      </c>
      <c r="N710" s="23">
        <f>IFERROR(__xludf.DUMMYFUNCTION("""COMPUTED_VALUE"""),1090.0)</f>
        <v>1090</v>
      </c>
      <c r="O710" s="24">
        <f>IFERROR(__xludf.DUMMYFUNCTION("""COMPUTED_VALUE"""),0.5)</f>
        <v>0.5</v>
      </c>
      <c r="P710" s="17">
        <f>IFERROR(__xludf.DUMMYFUNCTION("""COMPUTED_VALUE"""),4.2)</f>
        <v>4.2</v>
      </c>
      <c r="Q710" s="25">
        <f>IFERROR(__xludf.DUMMYFUNCTION("""COMPUTED_VALUE"""),13029.0)</f>
        <v>13029</v>
      </c>
    </row>
    <row r="711">
      <c r="A711" s="7" t="s">
        <v>756</v>
      </c>
      <c r="B711" s="7" t="s">
        <v>757</v>
      </c>
      <c r="C711" s="8">
        <v>6299.0</v>
      </c>
      <c r="D711" s="8">
        <v>13750.0</v>
      </c>
      <c r="E711" s="19">
        <v>0.54</v>
      </c>
      <c r="F711" s="10">
        <v>4.2</v>
      </c>
      <c r="G711" s="11">
        <v>2014.0</v>
      </c>
      <c r="K711" s="17" t="str">
        <f>IFERROR(__xludf.DUMMYFUNCTION("""COMPUTED_VALUE"""),"Philips GC181 Heavy Weight 1000-Watt Dry Iron, Pack of 1")</f>
        <v>Philips GC181 Heavy Weight 1000-Watt Dry Iron, Pack of 1</v>
      </c>
      <c r="L711" s="17" t="str">
        <f>IFERROR(__xludf.DUMMYFUNCTION("""COMPUTED_VALUE"""),"Home&amp;Kitchen|Kitchen&amp;HomeAppliances|Vacuum,Cleaning&amp;Ironing|Irons,Steamers&amp;Accessories|Irons|DryIrons")</f>
        <v>Home&amp;Kitchen|Kitchen&amp;HomeAppliances|Vacuum,Cleaning&amp;Ironing|Irons,Steamers&amp;Accessories|Irons|DryIrons</v>
      </c>
      <c r="M711" s="23">
        <f>IFERROR(__xludf.DUMMYFUNCTION("""COMPUTED_VALUE"""),1321.0)</f>
        <v>1321</v>
      </c>
      <c r="N711" s="23">
        <f>IFERROR(__xludf.DUMMYFUNCTION("""COMPUTED_VALUE"""),1545.0)</f>
        <v>1545</v>
      </c>
      <c r="O711" s="24">
        <f>IFERROR(__xludf.DUMMYFUNCTION("""COMPUTED_VALUE"""),0.14)</f>
        <v>0.14</v>
      </c>
      <c r="P711" s="17">
        <f>IFERROR(__xludf.DUMMYFUNCTION("""COMPUTED_VALUE"""),4.3)</f>
        <v>4.3</v>
      </c>
      <c r="Q711" s="25">
        <f>IFERROR(__xludf.DUMMYFUNCTION("""COMPUTED_VALUE"""),15453.0)</f>
        <v>15453</v>
      </c>
    </row>
    <row r="712">
      <c r="A712" s="7" t="s">
        <v>758</v>
      </c>
      <c r="B712" s="7" t="s">
        <v>759</v>
      </c>
      <c r="C712" s="8">
        <v>59.0</v>
      </c>
      <c r="D712" s="8">
        <v>59.0</v>
      </c>
      <c r="E712" s="19">
        <v>0.0</v>
      </c>
      <c r="F712" s="10">
        <v>3.8</v>
      </c>
      <c r="G712" s="11">
        <v>5958.0</v>
      </c>
      <c r="K712" s="17" t="str">
        <f>IFERROR(__xludf.DUMMYFUNCTION("""COMPUTED_VALUE"""),"Bajaj DX-7 1000W Dry Iron with Advance Soleplate and Anti-bacterial German Coating Technology, White")</f>
        <v>Bajaj DX-7 1000W Dry Iron with Advance Soleplate and Anti-bacterial German Coating Technology, White</v>
      </c>
      <c r="L712" s="17" t="str">
        <f>IFERROR(__xludf.DUMMYFUNCTION("""COMPUTED_VALUE"""),"Home&amp;Kitchen|Kitchen&amp;HomeAppliances|Vacuum,Cleaning&amp;Ironing|Irons,Steamers&amp;Accessories|Irons|DryIrons")</f>
        <v>Home&amp;Kitchen|Kitchen&amp;HomeAppliances|Vacuum,Cleaning&amp;Ironing|Irons,Steamers&amp;Accessories|Irons|DryIrons</v>
      </c>
      <c r="M712" s="23">
        <f>IFERROR(__xludf.DUMMYFUNCTION("""COMPUTED_VALUE"""),775.0)</f>
        <v>775</v>
      </c>
      <c r="N712" s="23">
        <f>IFERROR(__xludf.DUMMYFUNCTION("""COMPUTED_VALUE"""),875.0)</f>
        <v>875</v>
      </c>
      <c r="O712" s="24">
        <f>IFERROR(__xludf.DUMMYFUNCTION("""COMPUTED_VALUE"""),0.11)</f>
        <v>0.11</v>
      </c>
      <c r="P712" s="17">
        <f>IFERROR(__xludf.DUMMYFUNCTION("""COMPUTED_VALUE"""),4.2)</f>
        <v>4.2</v>
      </c>
      <c r="Q712" s="25">
        <f>IFERROR(__xludf.DUMMYFUNCTION("""COMPUTED_VALUE"""),46647.0)</f>
        <v>46647</v>
      </c>
    </row>
    <row r="713">
      <c r="A713" s="7" t="s">
        <v>760</v>
      </c>
      <c r="B713" s="7" t="s">
        <v>399</v>
      </c>
      <c r="C713" s="8">
        <v>571.0</v>
      </c>
      <c r="D713" s="8">
        <v>999.0</v>
      </c>
      <c r="E713" s="19">
        <v>0.43</v>
      </c>
      <c r="F713" s="10">
        <v>4.3</v>
      </c>
      <c r="G713" s="11">
        <v>38221.0</v>
      </c>
      <c r="K713" s="17" t="str">
        <f>IFERROR(__xludf.DUMMYFUNCTION("""COMPUTED_VALUE"""),"Bajaj New Shakti Neo 25L Vertical Storage Water Heater (Geyser 25 Litres) 4 Star BEE Rated Heater For Water Heating with Titanium Armour, Swirl Flow Technology, Glasslined Tank(White), 1 Yr Warranty")</f>
        <v>Bajaj New Shakti Neo 25L Vertical Storage Water Heater (Geyser 25 Litres) 4 Star BEE Rated Heater For Water Heating with Titanium Armour, Swirl Flow Technology, Glasslined Tank(White), 1 Yr Warranty</v>
      </c>
      <c r="L713" s="17" t="str">
        <f>IFERROR(__xludf.DUMMYFUNCTION("""COMPUTED_VALUE"""),"Home&amp;Kitchen|Heating,Cooling&amp;AirQuality|WaterHeaters&amp;Geysers|StorageWaterHeaters")</f>
        <v>Home&amp;Kitchen|Heating,Cooling&amp;AirQuality|WaterHeaters&amp;Geysers|StorageWaterHeaters</v>
      </c>
      <c r="M713" s="23">
        <f>IFERROR(__xludf.DUMMYFUNCTION("""COMPUTED_VALUE"""),6299.0)</f>
        <v>6299</v>
      </c>
      <c r="N713" s="23">
        <f>IFERROR(__xludf.DUMMYFUNCTION("""COMPUTED_VALUE"""),15270.0)</f>
        <v>15270</v>
      </c>
      <c r="O713" s="24">
        <f>IFERROR(__xludf.DUMMYFUNCTION("""COMPUTED_VALUE"""),0.59)</f>
        <v>0.59</v>
      </c>
      <c r="P713" s="17">
        <f>IFERROR(__xludf.DUMMYFUNCTION("""COMPUTED_VALUE"""),4.1)</f>
        <v>4.1</v>
      </c>
      <c r="Q713" s="25">
        <f>IFERROR(__xludf.DUMMYFUNCTION("""COMPUTED_VALUE"""),3233.0)</f>
        <v>3233</v>
      </c>
    </row>
    <row r="714">
      <c r="A714" s="7" t="s">
        <v>761</v>
      </c>
      <c r="B714" s="7" t="s">
        <v>719</v>
      </c>
      <c r="C714" s="8">
        <v>549.0</v>
      </c>
      <c r="D714" s="8">
        <v>999.0</v>
      </c>
      <c r="E714" s="19">
        <v>0.45</v>
      </c>
      <c r="F714" s="10">
        <v>3.9</v>
      </c>
      <c r="G714" s="11">
        <v>64705.0</v>
      </c>
      <c r="K714" s="17" t="str">
        <f>IFERROR(__xludf.DUMMYFUNCTION("""COMPUTED_VALUE"""),"Room Heater Warmer Wall-Outlet 400 Watts Electric Handy Room Heater (Room Heaters Home for Bedroom, Reading Books, Work, bathrooms, Rooms, Offices, Home Offices,2022")</f>
        <v>Room Heater Warmer Wall-Outlet 400 Watts Electric Handy Room Heater (Room Heaters Home for Bedroom, Reading Books, Work, bathrooms, Rooms, Offices, Home Offices,2022</v>
      </c>
      <c r="L714" s="17" t="str">
        <f>IFERROR(__xludf.DUMMYFUNCTION("""COMPUTED_VALUE"""),"Home&amp;Kitchen|Heating,Cooling&amp;AirQuality|RoomHeaters|ElectricHeaters")</f>
        <v>Home&amp;Kitchen|Heating,Cooling&amp;AirQuality|RoomHeaters|ElectricHeaters</v>
      </c>
      <c r="M714" s="23">
        <f>IFERROR(__xludf.DUMMYFUNCTION("""COMPUTED_VALUE"""),799.0)</f>
        <v>799</v>
      </c>
      <c r="N714" s="23">
        <f>IFERROR(__xludf.DUMMYFUNCTION("""COMPUTED_VALUE"""),1989.0)</f>
        <v>1989</v>
      </c>
      <c r="O714" s="24">
        <f>IFERROR(__xludf.DUMMYFUNCTION("""COMPUTED_VALUE"""),0.6)</f>
        <v>0.6</v>
      </c>
      <c r="P714" s="17">
        <f>IFERROR(__xludf.DUMMYFUNCTION("""COMPUTED_VALUE"""),4.3)</f>
        <v>4.3</v>
      </c>
      <c r="Q714" s="17">
        <f>IFERROR(__xludf.DUMMYFUNCTION("""COMPUTED_VALUE"""),70.0)</f>
        <v>70</v>
      </c>
    </row>
    <row r="715">
      <c r="A715" s="7" t="s">
        <v>501</v>
      </c>
      <c r="B715" s="7" t="s">
        <v>502</v>
      </c>
      <c r="C715" s="8">
        <v>2099.0</v>
      </c>
      <c r="D715" s="8">
        <v>5999.0</v>
      </c>
      <c r="E715" s="19">
        <v>0.65</v>
      </c>
      <c r="F715" s="10">
        <v>4.3</v>
      </c>
      <c r="G715" s="11">
        <v>17129.0</v>
      </c>
      <c r="K715" s="17" t="str">
        <f>IFERROR(__xludf.DUMMYFUNCTION("""COMPUTED_VALUE"""),"Butterfly EKN 1.5-Litre Electric Kettle (Silver with Black)")</f>
        <v>Butterfly EKN 1.5-Litre Electric Kettle (Silver with Black)</v>
      </c>
      <c r="L715" s="17" t="str">
        <f>IFERROR(__xludf.DUMMYFUNCTION("""COMPUTED_VALUE"""),"Home&amp;Kitchen|Kitchen&amp;HomeAppliances|SmallKitchenAppliances|Kettles&amp;HotWaterDispensers|Kettle&amp;ToasterSets")</f>
        <v>Home&amp;Kitchen|Kitchen&amp;HomeAppliances|SmallKitchenAppliances|Kettles&amp;HotWaterDispensers|Kettle&amp;ToasterSets</v>
      </c>
      <c r="M715" s="23">
        <f>IFERROR(__xludf.DUMMYFUNCTION("""COMPUTED_VALUE"""),749.0)</f>
        <v>749</v>
      </c>
      <c r="N715" s="23">
        <f>IFERROR(__xludf.DUMMYFUNCTION("""COMPUTED_VALUE"""),1111.0)</f>
        <v>1111</v>
      </c>
      <c r="O715" s="24">
        <f>IFERROR(__xludf.DUMMYFUNCTION("""COMPUTED_VALUE"""),0.33)</f>
        <v>0.33</v>
      </c>
      <c r="P715" s="17">
        <f>IFERROR(__xludf.DUMMYFUNCTION("""COMPUTED_VALUE"""),4.2)</f>
        <v>4.2</v>
      </c>
      <c r="Q715" s="25">
        <f>IFERROR(__xludf.DUMMYFUNCTION("""COMPUTED_VALUE"""),35693.0)</f>
        <v>35693</v>
      </c>
    </row>
    <row r="716">
      <c r="A716" s="7" t="s">
        <v>40</v>
      </c>
      <c r="B716" s="7" t="s">
        <v>37</v>
      </c>
      <c r="C716" s="8">
        <v>13490.0</v>
      </c>
      <c r="D716" s="8">
        <v>21990.0</v>
      </c>
      <c r="E716" s="19">
        <v>0.39</v>
      </c>
      <c r="F716" s="10">
        <v>4.3</v>
      </c>
      <c r="G716" s="11">
        <v>11976.0</v>
      </c>
      <c r="K716" s="17" t="str">
        <f>IFERROR(__xludf.DUMMYFUNCTION("""COMPUTED_VALUE"""),"Crompton Arno Neo 15-L 5 Star Rated Storage Water Heater (Geyser) with Advanced 3 Level Safety (Grey)")</f>
        <v>Crompton Arno Neo 15-L 5 Star Rated Storage Water Heater (Geyser) with Advanced 3 Level Safety (Grey)</v>
      </c>
      <c r="L716" s="17" t="str">
        <f>IFERROR(__xludf.DUMMYFUNCTION("""COMPUTED_VALUE"""),"Home&amp;Kitchen|Heating,Cooling&amp;AirQuality|WaterHeaters&amp;Geysers|StorageWaterHeaters")</f>
        <v>Home&amp;Kitchen|Heating,Cooling&amp;AirQuality|WaterHeaters&amp;Geysers|StorageWaterHeaters</v>
      </c>
      <c r="M716" s="23">
        <f>IFERROR(__xludf.DUMMYFUNCTION("""COMPUTED_VALUE"""),6199.0)</f>
        <v>6199</v>
      </c>
      <c r="N716" s="23">
        <f>IFERROR(__xludf.DUMMYFUNCTION("""COMPUTED_VALUE"""),10400.0)</f>
        <v>10400</v>
      </c>
      <c r="O716" s="24">
        <f>IFERROR(__xludf.DUMMYFUNCTION("""COMPUTED_VALUE"""),0.4)</f>
        <v>0.4</v>
      </c>
      <c r="P716" s="17">
        <f>IFERROR(__xludf.DUMMYFUNCTION("""COMPUTED_VALUE"""),4.1)</f>
        <v>4.1</v>
      </c>
      <c r="Q716" s="25">
        <f>IFERROR(__xludf.DUMMYFUNCTION("""COMPUTED_VALUE"""),14391.0)</f>
        <v>14391</v>
      </c>
    </row>
    <row r="717">
      <c r="A717" s="7" t="s">
        <v>762</v>
      </c>
      <c r="B717" s="7" t="s">
        <v>660</v>
      </c>
      <c r="C717" s="8">
        <v>448.0</v>
      </c>
      <c r="D717" s="8">
        <v>699.0</v>
      </c>
      <c r="E717" s="19">
        <v>0.36</v>
      </c>
      <c r="F717" s="10">
        <v>3.9</v>
      </c>
      <c r="G717" s="11">
        <v>17348.0</v>
      </c>
      <c r="K717" s="17" t="str">
        <f>IFERROR(__xludf.DUMMYFUNCTION("""COMPUTED_VALUE"""),"Borosil Chef Delite BCH20DBB21 300-Watt Chopper (Black)")</f>
        <v>Borosil Chef Delite BCH20DBB21 300-Watt Chopper (Black)</v>
      </c>
      <c r="L717" s="17" t="str">
        <f>IFERROR(__xludf.DUMMYFUNCTION("""COMPUTED_VALUE"""),"Home&amp;Kitchen|Kitchen&amp;HomeAppliances|SmallKitchenAppliances|MiniFoodProcessors&amp;Choppers")</f>
        <v>Home&amp;Kitchen|Kitchen&amp;HomeAppliances|SmallKitchenAppliances|MiniFoodProcessors&amp;Choppers</v>
      </c>
      <c r="M717" s="23">
        <f>IFERROR(__xludf.DUMMYFUNCTION("""COMPUTED_VALUE"""),1819.0)</f>
        <v>1819</v>
      </c>
      <c r="N717" s="23">
        <f>IFERROR(__xludf.DUMMYFUNCTION("""COMPUTED_VALUE"""),2490.0)</f>
        <v>2490</v>
      </c>
      <c r="O717" s="24">
        <f>IFERROR(__xludf.DUMMYFUNCTION("""COMPUTED_VALUE"""),0.27)</f>
        <v>0.27</v>
      </c>
      <c r="P717" s="17">
        <f>IFERROR(__xludf.DUMMYFUNCTION("""COMPUTED_VALUE"""),4.4)</f>
        <v>4.4</v>
      </c>
      <c r="Q717" s="25">
        <f>IFERROR(__xludf.DUMMYFUNCTION("""COMPUTED_VALUE"""),7946.0)</f>
        <v>7946</v>
      </c>
    </row>
    <row r="718">
      <c r="A718" s="7" t="s">
        <v>763</v>
      </c>
      <c r="B718" s="7" t="s">
        <v>393</v>
      </c>
      <c r="C718" s="8">
        <v>1499.0</v>
      </c>
      <c r="D718" s="8">
        <v>2999.0</v>
      </c>
      <c r="E718" s="19">
        <v>0.5</v>
      </c>
      <c r="F718" s="10">
        <v>3.7</v>
      </c>
      <c r="G718" s="11">
        <v>87798.0</v>
      </c>
      <c r="K718" s="17" t="str">
        <f>IFERROR(__xludf.DUMMYFUNCTION("""COMPUTED_VALUE"""),"HealthSense Weight Machine for Kitchen, Kitchen Food Weighing Scale for Health, Fitness, Home Baking &amp; Cooking with Hanging Design, Touch Button, Tare Function &amp; 1 Year Warranty – Chef-Mate KS 40")</f>
        <v>HealthSense Weight Machine for Kitchen, Kitchen Food Weighing Scale for Health, Fitness, Home Baking &amp; Cooking with Hanging Design, Touch Button, Tare Function &amp; 1 Year Warranty – Chef-Mate KS 40</v>
      </c>
      <c r="L718" s="17" t="str">
        <f>IFERROR(__xludf.DUMMYFUNCTION("""COMPUTED_VALUE"""),"Home&amp;Kitchen|Kitchen&amp;HomeAppliances|SmallKitchenAppliances|DigitalKitchenScales|DigitalScales")</f>
        <v>Home&amp;Kitchen|Kitchen&amp;HomeAppliances|SmallKitchenAppliances|DigitalKitchenScales|DigitalScales</v>
      </c>
      <c r="M718" s="23">
        <f>IFERROR(__xludf.DUMMYFUNCTION("""COMPUTED_VALUE"""),799.0)</f>
        <v>799</v>
      </c>
      <c r="N718" s="23">
        <f>IFERROR(__xludf.DUMMYFUNCTION("""COMPUTED_VALUE"""),1500.0)</f>
        <v>1500</v>
      </c>
      <c r="O718" s="24">
        <f>IFERROR(__xludf.DUMMYFUNCTION("""COMPUTED_VALUE"""),0.47)</f>
        <v>0.47</v>
      </c>
      <c r="P718" s="17">
        <f>IFERROR(__xludf.DUMMYFUNCTION("""COMPUTED_VALUE"""),4.3)</f>
        <v>4.3</v>
      </c>
      <c r="Q718" s="25">
        <f>IFERROR(__xludf.DUMMYFUNCTION("""COMPUTED_VALUE"""),9695.0)</f>
        <v>9695</v>
      </c>
    </row>
    <row r="719">
      <c r="A719" s="7" t="s">
        <v>764</v>
      </c>
      <c r="B719" s="7" t="s">
        <v>765</v>
      </c>
      <c r="C719" s="8">
        <v>299.0</v>
      </c>
      <c r="D719" s="8">
        <v>499.0</v>
      </c>
      <c r="E719" s="19">
        <v>0.4</v>
      </c>
      <c r="F719" s="10">
        <v>4.2</v>
      </c>
      <c r="G719" s="11">
        <v>24432.0</v>
      </c>
      <c r="K719" s="17" t="str">
        <f>IFERROR(__xludf.DUMMYFUNCTION("""COMPUTED_VALUE"""),"Bajaj New Shakti Neo 10L Vertical Storage Water Heater (Geyser 10 Litres) 4 Star BEE Rated Heater For Water Heating with Titanium Armour, Swirl Flow Technology, Glasslined Tank(White), 1 Yr Warranty")</f>
        <v>Bajaj New Shakti Neo 10L Vertical Storage Water Heater (Geyser 10 Litres) 4 Star BEE Rated Heater For Water Heating with Titanium Armour, Swirl Flow Technology, Glasslined Tank(White), 1 Yr Warranty</v>
      </c>
      <c r="L719" s="17" t="str">
        <f>IFERROR(__xludf.DUMMYFUNCTION("""COMPUTED_VALUE"""),"Home&amp;Kitchen|Heating,Cooling&amp;AirQuality|WaterHeaters&amp;Geysers|StorageWaterHeaters")</f>
        <v>Home&amp;Kitchen|Heating,Cooling&amp;AirQuality|WaterHeaters&amp;Geysers|StorageWaterHeaters</v>
      </c>
      <c r="M719" s="23">
        <f>IFERROR(__xludf.DUMMYFUNCTION("""COMPUTED_VALUE"""),4999.0)</f>
        <v>4999</v>
      </c>
      <c r="N719" s="23">
        <f>IFERROR(__xludf.DUMMYFUNCTION("""COMPUTED_VALUE"""),9650.0)</f>
        <v>9650</v>
      </c>
      <c r="O719" s="24">
        <f>IFERROR(__xludf.DUMMYFUNCTION("""COMPUTED_VALUE"""),0.48)</f>
        <v>0.48</v>
      </c>
      <c r="P719" s="17">
        <f>IFERROR(__xludf.DUMMYFUNCTION("""COMPUTED_VALUE"""),4.2)</f>
        <v>4.2</v>
      </c>
      <c r="Q719" s="25">
        <f>IFERROR(__xludf.DUMMYFUNCTION("""COMPUTED_VALUE"""),1772.0)</f>
        <v>1772</v>
      </c>
    </row>
    <row r="720">
      <c r="A720" s="7" t="s">
        <v>766</v>
      </c>
      <c r="B720" s="7" t="s">
        <v>622</v>
      </c>
      <c r="C720" s="8">
        <v>579.0</v>
      </c>
      <c r="D720" s="8">
        <v>1400.0</v>
      </c>
      <c r="E720" s="19">
        <v>0.59</v>
      </c>
      <c r="F720" s="10">
        <v>4.3</v>
      </c>
      <c r="G720" s="7" t="s">
        <v>767</v>
      </c>
      <c r="K720" s="17" t="str">
        <f>IFERROR(__xludf.DUMMYFUNCTION("""COMPUTED_VALUE"""),"Bosch Pro 1000W Mixer Grinder MGM8842MIN - Black")</f>
        <v>Bosch Pro 1000W Mixer Grinder MGM8842MIN - Black</v>
      </c>
      <c r="L720" s="17" t="str">
        <f>IFERROR(__xludf.DUMMYFUNCTION("""COMPUTED_VALUE"""),"Home&amp;Kitchen|Kitchen&amp;HomeAppliances|SmallKitchenAppliances|MixerGrinders")</f>
        <v>Home&amp;Kitchen|Kitchen&amp;HomeAppliances|SmallKitchenAppliances|MixerGrinders</v>
      </c>
      <c r="M720" s="23">
        <f>IFERROR(__xludf.DUMMYFUNCTION("""COMPUTED_VALUE"""),6999.0)</f>
        <v>6999</v>
      </c>
      <c r="N720" s="23">
        <f>IFERROR(__xludf.DUMMYFUNCTION("""COMPUTED_VALUE"""),10590.0)</f>
        <v>10590</v>
      </c>
      <c r="O720" s="24">
        <f>IFERROR(__xludf.DUMMYFUNCTION("""COMPUTED_VALUE"""),0.34)</f>
        <v>0.34</v>
      </c>
      <c r="P720" s="17">
        <f>IFERROR(__xludf.DUMMYFUNCTION("""COMPUTED_VALUE"""),4.4)</f>
        <v>4.4</v>
      </c>
      <c r="Q720" s="25">
        <f>IFERROR(__xludf.DUMMYFUNCTION("""COMPUTED_VALUE"""),11499.0)</f>
        <v>11499</v>
      </c>
    </row>
    <row r="721">
      <c r="A721" s="7" t="s">
        <v>768</v>
      </c>
      <c r="B721" s="7" t="s">
        <v>769</v>
      </c>
      <c r="C721" s="8">
        <v>2499.0</v>
      </c>
      <c r="D721" s="8">
        <v>3299.0</v>
      </c>
      <c r="E721" s="19">
        <v>0.24</v>
      </c>
      <c r="F721" s="10">
        <v>4.2</v>
      </c>
      <c r="G721" s="11">
        <v>93112.0</v>
      </c>
      <c r="K721" s="17" t="str">
        <f>IFERROR(__xludf.DUMMYFUNCTION("""COMPUTED_VALUE"""),"Bulfyss Stainless Steel Digital Kitchen Weighing Scale &amp; Food Weight Machine for Diet, Nutrition, Health, Fitness, Baking &amp; Cooking (5Kgs, Stainless Steel, 2 Years Warranty)")</f>
        <v>Bulfyss Stainless Steel Digital Kitchen Weighing Scale &amp; Food Weight Machine for Diet, Nutrition, Health, Fitness, Baking &amp; Cooking (5Kgs, Stainless Steel, 2 Years Warranty)</v>
      </c>
      <c r="L721" s="17" t="str">
        <f>IFERROR(__xludf.DUMMYFUNCTION("""COMPUTED_VALUE"""),"Home&amp;Kitchen|Kitchen&amp;HomeAppliances|SmallKitchenAppliances|DigitalKitchenScales")</f>
        <v>Home&amp;Kitchen|Kitchen&amp;HomeAppliances|SmallKitchenAppliances|DigitalKitchenScales</v>
      </c>
      <c r="M721" s="23">
        <f>IFERROR(__xludf.DUMMYFUNCTION("""COMPUTED_VALUE"""),799.0)</f>
        <v>799</v>
      </c>
      <c r="N721" s="23">
        <f>IFERROR(__xludf.DUMMYFUNCTION("""COMPUTED_VALUE"""),1999.0)</f>
        <v>1999</v>
      </c>
      <c r="O721" s="24">
        <f>IFERROR(__xludf.DUMMYFUNCTION("""COMPUTED_VALUE"""),0.6)</f>
        <v>0.6</v>
      </c>
      <c r="P721" s="17">
        <f>IFERROR(__xludf.DUMMYFUNCTION("""COMPUTED_VALUE"""),4.1)</f>
        <v>4.1</v>
      </c>
      <c r="Q721" s="25">
        <f>IFERROR(__xludf.DUMMYFUNCTION("""COMPUTED_VALUE"""),2162.0)</f>
        <v>2162</v>
      </c>
    </row>
    <row r="722">
      <c r="A722" s="7" t="s">
        <v>770</v>
      </c>
      <c r="B722" s="7" t="s">
        <v>393</v>
      </c>
      <c r="C722" s="8">
        <v>1199.0</v>
      </c>
      <c r="D722" s="8">
        <v>5999.0</v>
      </c>
      <c r="E722" s="19">
        <v>0.8</v>
      </c>
      <c r="F722" s="10">
        <v>3.9</v>
      </c>
      <c r="G722" s="11">
        <v>47521.0</v>
      </c>
      <c r="K722" s="17" t="str">
        <f>IFERROR(__xludf.DUMMYFUNCTION("""COMPUTED_VALUE"""),"VR 18 Pcs - 3 Different Size Plastic Food Snack Bag Pouch Clip Sealer Large, Medium, Small Plastic Snack Seal Sealing Bag Clips Vacuum Sealer (Set of 18, Multi-Color) (Multicolor)")</f>
        <v>VR 18 Pcs - 3 Different Size Plastic Food Snack Bag Pouch Clip Sealer Large, Medium, Small Plastic Snack Seal Sealing Bag Clips Vacuum Sealer (Set of 18, Multi-Color) (Multicolor)</v>
      </c>
      <c r="L722" s="17" t="str">
        <f>IFERROR(__xludf.DUMMYFUNCTION("""COMPUTED_VALUE"""),"Home&amp;Kitchen|Kitchen&amp;HomeAppliances|SmallKitchenAppliances|VacuumSealers")</f>
        <v>Home&amp;Kitchen|Kitchen&amp;HomeAppliances|SmallKitchenAppliances|VacuumSealers</v>
      </c>
      <c r="M722" s="23">
        <f>IFERROR(__xludf.DUMMYFUNCTION("""COMPUTED_VALUE"""),89.0)</f>
        <v>89</v>
      </c>
      <c r="N722" s="23">
        <f>IFERROR(__xludf.DUMMYFUNCTION("""COMPUTED_VALUE"""),89.0)</f>
        <v>89</v>
      </c>
      <c r="O722" s="24">
        <f>IFERROR(__xludf.DUMMYFUNCTION("""COMPUTED_VALUE"""),0.0)</f>
        <v>0</v>
      </c>
      <c r="P722" s="17">
        <f>IFERROR(__xludf.DUMMYFUNCTION("""COMPUTED_VALUE"""),4.2)</f>
        <v>4.2</v>
      </c>
      <c r="Q722" s="25">
        <f>IFERROR(__xludf.DUMMYFUNCTION("""COMPUTED_VALUE"""),19621.0)</f>
        <v>19621</v>
      </c>
    </row>
    <row r="723">
      <c r="A723" s="7" t="s">
        <v>771</v>
      </c>
      <c r="B723" s="7" t="s">
        <v>735</v>
      </c>
      <c r="C723" s="8">
        <v>399.0</v>
      </c>
      <c r="D723" s="8">
        <v>499.0</v>
      </c>
      <c r="E723" s="19">
        <v>0.2</v>
      </c>
      <c r="F723" s="10">
        <v>4.3</v>
      </c>
      <c r="G723" s="11">
        <v>27201.0</v>
      </c>
      <c r="K723" s="17" t="str">
        <f>IFERROR(__xludf.DUMMYFUNCTION("""COMPUTED_VALUE"""),"Orient Electric Apex-FX 1200mm Ultra High Speed 400 RPM Ceiling Fan (Brown)")</f>
        <v>Orient Electric Apex-FX 1200mm Ultra High Speed 400 RPM Ceiling Fan (Brown)</v>
      </c>
      <c r="L723" s="17" t="str">
        <f>IFERROR(__xludf.DUMMYFUNCTION("""COMPUTED_VALUE"""),"Home&amp;Kitchen|Heating,Cooling&amp;AirQuality|Fans|CeilingFans")</f>
        <v>Home&amp;Kitchen|Heating,Cooling&amp;AirQuality|Fans|CeilingFans</v>
      </c>
      <c r="M723" s="23">
        <f>IFERROR(__xludf.DUMMYFUNCTION("""COMPUTED_VALUE"""),1400.0)</f>
        <v>1400</v>
      </c>
      <c r="N723" s="23">
        <f>IFERROR(__xludf.DUMMYFUNCTION("""COMPUTED_VALUE"""),2485.0)</f>
        <v>2485</v>
      </c>
      <c r="O723" s="24">
        <f>IFERROR(__xludf.DUMMYFUNCTION("""COMPUTED_VALUE"""),0.44)</f>
        <v>0.44</v>
      </c>
      <c r="P723" s="17">
        <f>IFERROR(__xludf.DUMMYFUNCTION("""COMPUTED_VALUE"""),4.1)</f>
        <v>4.1</v>
      </c>
      <c r="Q723" s="25">
        <f>IFERROR(__xludf.DUMMYFUNCTION("""COMPUTED_VALUE"""),19998.0)</f>
        <v>19998</v>
      </c>
    </row>
    <row r="724">
      <c r="A724" s="7" t="s">
        <v>42</v>
      </c>
      <c r="B724" s="7" t="s">
        <v>31</v>
      </c>
      <c r="C724" s="8">
        <v>279.0</v>
      </c>
      <c r="D724" s="8">
        <v>499.0</v>
      </c>
      <c r="E724" s="19">
        <v>0.44</v>
      </c>
      <c r="F724" s="10">
        <v>3.7</v>
      </c>
      <c r="G724" s="11">
        <v>10962.0</v>
      </c>
      <c r="K724" s="17" t="str">
        <f>IFERROR(__xludf.DUMMYFUNCTION("""COMPUTED_VALUE"""),"PrettyKrafts Folding Laundry Basket for Clothes with Lid &amp; Handle, Toys Organiser, 75 Litre, (Pack of 1), Mushroom Print")</f>
        <v>PrettyKrafts Folding Laundry Basket for Clothes with Lid &amp; Handle, Toys Organiser, 75 Litre, (Pack of 1), Mushroom Print</v>
      </c>
      <c r="L724" s="17" t="str">
        <f>IFERROR(__xludf.DUMMYFUNCTION("""COMPUTED_VALUE"""),"Home&amp;Kitchen|HomeStorage&amp;Organization|LaundryOrganization|LaundryBaskets")</f>
        <v>Home&amp;Kitchen|HomeStorage&amp;Organization|LaundryOrganization|LaundryBaskets</v>
      </c>
      <c r="M724" s="23">
        <f>IFERROR(__xludf.DUMMYFUNCTION("""COMPUTED_VALUE"""),355.0)</f>
        <v>355</v>
      </c>
      <c r="N724" s="23">
        <f>IFERROR(__xludf.DUMMYFUNCTION("""COMPUTED_VALUE"""),899.0)</f>
        <v>899</v>
      </c>
      <c r="O724" s="24">
        <f>IFERROR(__xludf.DUMMYFUNCTION("""COMPUTED_VALUE"""),0.61)</f>
        <v>0.61</v>
      </c>
      <c r="P724" s="17">
        <f>IFERROR(__xludf.DUMMYFUNCTION("""COMPUTED_VALUE"""),4.1)</f>
        <v>4.1</v>
      </c>
      <c r="Q724" s="25">
        <f>IFERROR(__xludf.DUMMYFUNCTION("""COMPUTED_VALUE"""),1051.0)</f>
        <v>1051</v>
      </c>
    </row>
    <row r="725">
      <c r="A725" s="7" t="s">
        <v>43</v>
      </c>
      <c r="B725" s="7" t="s">
        <v>37</v>
      </c>
      <c r="C725" s="8">
        <v>13490.0</v>
      </c>
      <c r="D725" s="8">
        <v>22900.0</v>
      </c>
      <c r="E725" s="19">
        <v>0.41</v>
      </c>
      <c r="F725" s="10">
        <v>4.3</v>
      </c>
      <c r="G725" s="11">
        <v>16299.0</v>
      </c>
      <c r="K725" s="17" t="str">
        <f>IFERROR(__xludf.DUMMYFUNCTION("""COMPUTED_VALUE"""),"Bajaj Majesty RX11 2000 Watts Heat Convector Room Heater (White, ISI Approved)")</f>
        <v>Bajaj Majesty RX11 2000 Watts Heat Convector Room Heater (White, ISI Approved)</v>
      </c>
      <c r="L725" s="17" t="str">
        <f>IFERROR(__xludf.DUMMYFUNCTION("""COMPUTED_VALUE"""),"Home&amp;Kitchen|Heating,Cooling&amp;AirQuality|RoomHeaters|ElectricHeaters")</f>
        <v>Home&amp;Kitchen|Heating,Cooling&amp;AirQuality|RoomHeaters|ElectricHeaters</v>
      </c>
      <c r="M725" s="23">
        <f>IFERROR(__xludf.DUMMYFUNCTION("""COMPUTED_VALUE"""),2169.0)</f>
        <v>2169</v>
      </c>
      <c r="N725" s="23">
        <f>IFERROR(__xludf.DUMMYFUNCTION("""COMPUTED_VALUE"""),3279.0)</f>
        <v>3279</v>
      </c>
      <c r="O725" s="24">
        <f>IFERROR(__xludf.DUMMYFUNCTION("""COMPUTED_VALUE"""),0.34)</f>
        <v>0.34</v>
      </c>
      <c r="P725" s="17">
        <f>IFERROR(__xludf.DUMMYFUNCTION("""COMPUTED_VALUE"""),4.1)</f>
        <v>4.1</v>
      </c>
      <c r="Q725" s="25">
        <f>IFERROR(__xludf.DUMMYFUNCTION("""COMPUTED_VALUE"""),1716.0)</f>
        <v>1716</v>
      </c>
    </row>
    <row r="726">
      <c r="A726" s="7" t="s">
        <v>772</v>
      </c>
      <c r="B726" s="7" t="s">
        <v>625</v>
      </c>
      <c r="C726" s="8">
        <v>279.0</v>
      </c>
      <c r="D726" s="8">
        <v>375.0</v>
      </c>
      <c r="E726" s="19">
        <v>0.26</v>
      </c>
      <c r="F726" s="10">
        <v>4.3</v>
      </c>
      <c r="G726" s="11">
        <v>31534.0</v>
      </c>
      <c r="K726" s="17" t="str">
        <f>IFERROR(__xludf.DUMMYFUNCTION("""COMPUTED_VALUE"""),"Bajaj DX-2 600W Dry Iron with Advance Soleplate and Anti-bacterial German Coating Technology, Black")</f>
        <v>Bajaj DX-2 600W Dry Iron with Advance Soleplate and Anti-bacterial German Coating Technology, Black</v>
      </c>
      <c r="L726" s="17" t="str">
        <f>IFERROR(__xludf.DUMMYFUNCTION("""COMPUTED_VALUE"""),"Home&amp;Kitchen|Kitchen&amp;HomeAppliances|Vacuum,Cleaning&amp;Ironing|Irons,Steamers&amp;Accessories|Irons|DryIrons")</f>
        <v>Home&amp;Kitchen|Kitchen&amp;HomeAppliances|Vacuum,Cleaning&amp;Ironing|Irons,Steamers&amp;Accessories|Irons|DryIrons</v>
      </c>
      <c r="M726" s="23">
        <f>IFERROR(__xludf.DUMMYFUNCTION("""COMPUTED_VALUE"""),499.0)</f>
        <v>499</v>
      </c>
      <c r="N726" s="23">
        <f>IFERROR(__xludf.DUMMYFUNCTION("""COMPUTED_VALUE"""),625.0)</f>
        <v>625</v>
      </c>
      <c r="O726" s="24">
        <f>IFERROR(__xludf.DUMMYFUNCTION("""COMPUTED_VALUE"""),0.2)</f>
        <v>0.2</v>
      </c>
      <c r="P726" s="17">
        <f>IFERROR(__xludf.DUMMYFUNCTION("""COMPUTED_VALUE"""),4.2)</f>
        <v>4.2</v>
      </c>
      <c r="Q726" s="25">
        <f>IFERROR(__xludf.DUMMYFUNCTION("""COMPUTED_VALUE"""),5355.0)</f>
        <v>5355</v>
      </c>
    </row>
    <row r="727">
      <c r="A727" s="7" t="s">
        <v>773</v>
      </c>
      <c r="B727" s="7" t="s">
        <v>373</v>
      </c>
      <c r="C727" s="8">
        <v>2499.0</v>
      </c>
      <c r="D727" s="8">
        <v>4999.0</v>
      </c>
      <c r="E727" s="19">
        <v>0.5</v>
      </c>
      <c r="F727" s="10">
        <v>3.9</v>
      </c>
      <c r="G727" s="11">
        <v>7571.0</v>
      </c>
      <c r="K727" s="17" t="str">
        <f>IFERROR(__xludf.DUMMYFUNCTION("""COMPUTED_VALUE"""),"Bajaj Waterproof 1500 Watts Immersion Rod Heater")</f>
        <v>Bajaj Waterproof 1500 Watts Immersion Rod Heater</v>
      </c>
      <c r="L727" s="17" t="str">
        <f>IFERROR(__xludf.DUMMYFUNCTION("""COMPUTED_VALUE"""),"Home&amp;Kitchen|Heating,Cooling&amp;AirQuality|WaterHeaters&amp;Geysers|ImmersionRods")</f>
        <v>Home&amp;Kitchen|Heating,Cooling&amp;AirQuality|WaterHeaters&amp;Geysers|ImmersionRods</v>
      </c>
      <c r="M727" s="23">
        <f>IFERROR(__xludf.DUMMYFUNCTION("""COMPUTED_VALUE"""),653.0)</f>
        <v>653</v>
      </c>
      <c r="N727" s="23">
        <f>IFERROR(__xludf.DUMMYFUNCTION("""COMPUTED_VALUE"""),1020.0)</f>
        <v>1020</v>
      </c>
      <c r="O727" s="24">
        <f>IFERROR(__xludf.DUMMYFUNCTION("""COMPUTED_VALUE"""),0.36)</f>
        <v>0.36</v>
      </c>
      <c r="P727" s="17">
        <f>IFERROR(__xludf.DUMMYFUNCTION("""COMPUTED_VALUE"""),4.1)</f>
        <v>4.1</v>
      </c>
      <c r="Q727" s="25">
        <f>IFERROR(__xludf.DUMMYFUNCTION("""COMPUTED_VALUE"""),3366.0)</f>
        <v>3366</v>
      </c>
    </row>
    <row r="728">
      <c r="A728" s="7" t="s">
        <v>774</v>
      </c>
      <c r="B728" s="7" t="s">
        <v>732</v>
      </c>
      <c r="C728" s="8">
        <v>137.0</v>
      </c>
      <c r="D728" s="8">
        <v>160.0</v>
      </c>
      <c r="E728" s="19">
        <v>0.14</v>
      </c>
      <c r="F728" s="10">
        <v>4.4</v>
      </c>
      <c r="G728" s="11">
        <v>6537.0</v>
      </c>
      <c r="K728" s="17" t="str">
        <f>IFERROR(__xludf.DUMMYFUNCTION("""COMPUTED_VALUE"""),"AGARO Supreme High Pressure Washer, 1800 Watts, 120 Bars, 6.5L/Min Flow Rate, 8 Meters Outlet Hose, Portable, for Car,Bike and Home Cleaning Purpose, Black and Orange")</f>
        <v>AGARO Supreme High Pressure Washer, 1800 Watts, 120 Bars, 6.5L/Min Flow Rate, 8 Meters Outlet Hose, Portable, for Car,Bike and Home Cleaning Purpose, Black and Orange</v>
      </c>
      <c r="L728" s="17" t="str">
        <f>IFERROR(__xludf.DUMMYFUNCTION("""COMPUTED_VALUE"""),"Home&amp;Kitchen|Kitchen&amp;HomeAppliances|Vacuum,Cleaning&amp;Ironing|PressureWashers,Steam&amp;WindowCleaners")</f>
        <v>Home&amp;Kitchen|Kitchen&amp;HomeAppliances|Vacuum,Cleaning&amp;Ironing|PressureWashers,Steam&amp;WindowCleaners</v>
      </c>
      <c r="M728" s="23">
        <f>IFERROR(__xludf.DUMMYFUNCTION("""COMPUTED_VALUE"""),4789.0)</f>
        <v>4789</v>
      </c>
      <c r="N728" s="23">
        <f>IFERROR(__xludf.DUMMYFUNCTION("""COMPUTED_VALUE"""),8990.0)</f>
        <v>8990</v>
      </c>
      <c r="O728" s="24">
        <f>IFERROR(__xludf.DUMMYFUNCTION("""COMPUTED_VALUE"""),0.47)</f>
        <v>0.47</v>
      </c>
      <c r="P728" s="17">
        <f>IFERROR(__xludf.DUMMYFUNCTION("""COMPUTED_VALUE"""),4.3)</f>
        <v>4.3</v>
      </c>
      <c r="Q728" s="25">
        <f>IFERROR(__xludf.DUMMYFUNCTION("""COMPUTED_VALUE"""),1017.0)</f>
        <v>1017</v>
      </c>
    </row>
    <row r="729">
      <c r="A729" s="7" t="s">
        <v>44</v>
      </c>
      <c r="B729" s="7" t="s">
        <v>15</v>
      </c>
      <c r="C729" s="8">
        <v>59.0</v>
      </c>
      <c r="D729" s="8">
        <v>199.0</v>
      </c>
      <c r="E729" s="19">
        <v>0.7</v>
      </c>
      <c r="F729" s="10">
        <v>4.0</v>
      </c>
      <c r="G729" s="11">
        <v>9377.0</v>
      </c>
      <c r="K729" s="17" t="str">
        <f>IFERROR(__xludf.DUMMYFUNCTION("""COMPUTED_VALUE"""),"Orpat HHB-100E WOB 250-Watt Hand Blender (White)")</f>
        <v>Orpat HHB-100E WOB 250-Watt Hand Blender (White)</v>
      </c>
      <c r="L729" s="17" t="str">
        <f>IFERROR(__xludf.DUMMYFUNCTION("""COMPUTED_VALUE"""),"Home&amp;Kitchen|Kitchen&amp;HomeAppliances|SmallKitchenAppliances|HandBlenders")</f>
        <v>Home&amp;Kitchen|Kitchen&amp;HomeAppliances|SmallKitchenAppliances|HandBlenders</v>
      </c>
      <c r="M729" s="23">
        <f>IFERROR(__xludf.DUMMYFUNCTION("""COMPUTED_VALUE"""),753.0)</f>
        <v>753</v>
      </c>
      <c r="N729" s="23">
        <f>IFERROR(__xludf.DUMMYFUNCTION("""COMPUTED_VALUE"""),899.0)</f>
        <v>899</v>
      </c>
      <c r="O729" s="24">
        <f>IFERROR(__xludf.DUMMYFUNCTION("""COMPUTED_VALUE"""),0.16)</f>
        <v>0.16</v>
      </c>
      <c r="P729" s="17">
        <f>IFERROR(__xludf.DUMMYFUNCTION("""COMPUTED_VALUE"""),4.2)</f>
        <v>4.2</v>
      </c>
      <c r="Q729" s="25">
        <f>IFERROR(__xludf.DUMMYFUNCTION("""COMPUTED_VALUE"""),18462.0)</f>
        <v>18462</v>
      </c>
    </row>
    <row r="730">
      <c r="A730" s="7" t="s">
        <v>775</v>
      </c>
      <c r="B730" s="7" t="s">
        <v>698</v>
      </c>
      <c r="C730" s="8">
        <v>299.0</v>
      </c>
      <c r="D730" s="8">
        <v>499.0</v>
      </c>
      <c r="E730" s="19">
        <v>0.4</v>
      </c>
      <c r="F730" s="10">
        <v>4.5</v>
      </c>
      <c r="G730" s="11">
        <v>21010.0</v>
      </c>
      <c r="K730" s="17" t="str">
        <f>IFERROR(__xludf.DUMMYFUNCTION("""COMPUTED_VALUE"""),"GILTON Egg Boiler Electric Automatic Off 7 Egg Poacher for Steaming, Cooking Also Boiling and Frying, Multi Color")</f>
        <v>GILTON Egg Boiler Electric Automatic Off 7 Egg Poacher for Steaming, Cooking Also Boiling and Frying, Multi Color</v>
      </c>
      <c r="L730" s="17" t="str">
        <f>IFERROR(__xludf.DUMMYFUNCTION("""COMPUTED_VALUE"""),"Home&amp;Kitchen|Kitchen&amp;HomeAppliances|SmallKitchenAppliances|EggBoilers")</f>
        <v>Home&amp;Kitchen|Kitchen&amp;HomeAppliances|SmallKitchenAppliances|EggBoilers</v>
      </c>
      <c r="M730" s="23">
        <f>IFERROR(__xludf.DUMMYFUNCTION("""COMPUTED_VALUE"""),353.0)</f>
        <v>353</v>
      </c>
      <c r="N730" s="23">
        <f>IFERROR(__xludf.DUMMYFUNCTION("""COMPUTED_VALUE"""),1199.0)</f>
        <v>1199</v>
      </c>
      <c r="O730" s="24">
        <f>IFERROR(__xludf.DUMMYFUNCTION("""COMPUTED_VALUE"""),0.71)</f>
        <v>0.71</v>
      </c>
      <c r="P730" s="17">
        <f>IFERROR(__xludf.DUMMYFUNCTION("""COMPUTED_VALUE"""),4.3)</f>
        <v>4.3</v>
      </c>
      <c r="Q730" s="17">
        <f>IFERROR(__xludf.DUMMYFUNCTION("""COMPUTED_VALUE"""),629.0)</f>
        <v>629</v>
      </c>
    </row>
    <row r="731">
      <c r="A731" s="7" t="s">
        <v>776</v>
      </c>
      <c r="B731" s="7" t="s">
        <v>393</v>
      </c>
      <c r="C731" s="8">
        <v>1799.0</v>
      </c>
      <c r="D731" s="8">
        <v>3999.0</v>
      </c>
      <c r="E731" s="19">
        <v>0.55</v>
      </c>
      <c r="F731" s="10">
        <v>3.9</v>
      </c>
      <c r="G731" s="11">
        <v>3517.0</v>
      </c>
      <c r="K731" s="17" t="str">
        <f>IFERROR(__xludf.DUMMYFUNCTION("""COMPUTED_VALUE"""),"HealthSense Chef-Mate KS 33 Digital Kitchen Weighing Scale &amp; Food Weight Machine for Health, Fitness, Home Baking &amp; Cooking with Free Bowl, 1 Year Warranty &amp; Batteries Included")</f>
        <v>HealthSense Chef-Mate KS 33 Digital Kitchen Weighing Scale &amp; Food Weight Machine for Health, Fitness, Home Baking &amp; Cooking with Free Bowl, 1 Year Warranty &amp; Batteries Included</v>
      </c>
      <c r="L731" s="17" t="str">
        <f>IFERROR(__xludf.DUMMYFUNCTION("""COMPUTED_VALUE"""),"Home&amp;Kitchen|Kitchen&amp;HomeAppliances|SmallKitchenAppliances|DigitalKitchenScales")</f>
        <v>Home&amp;Kitchen|Kitchen&amp;HomeAppliances|SmallKitchenAppliances|DigitalKitchenScales</v>
      </c>
      <c r="M731" s="23">
        <f>IFERROR(__xludf.DUMMYFUNCTION("""COMPUTED_VALUE"""),1099.0)</f>
        <v>1099</v>
      </c>
      <c r="N731" s="23">
        <f>IFERROR(__xludf.DUMMYFUNCTION("""COMPUTED_VALUE"""),1899.0)</f>
        <v>1899</v>
      </c>
      <c r="O731" s="24">
        <f>IFERROR(__xludf.DUMMYFUNCTION("""COMPUTED_VALUE"""),0.42)</f>
        <v>0.42</v>
      </c>
      <c r="P731" s="17">
        <f>IFERROR(__xludf.DUMMYFUNCTION("""COMPUTED_VALUE"""),4.3)</f>
        <v>4.3</v>
      </c>
      <c r="Q731" s="25">
        <f>IFERROR(__xludf.DUMMYFUNCTION("""COMPUTED_VALUE"""),15276.0)</f>
        <v>15276</v>
      </c>
    </row>
    <row r="732">
      <c r="A732" s="7" t="s">
        <v>777</v>
      </c>
      <c r="B732" s="7" t="s">
        <v>719</v>
      </c>
      <c r="C732" s="8">
        <v>1999.0</v>
      </c>
      <c r="D732" s="8">
        <v>2999.0</v>
      </c>
      <c r="E732" s="19">
        <v>0.33</v>
      </c>
      <c r="F732" s="10">
        <v>4.3</v>
      </c>
      <c r="G732" s="11">
        <v>63899.0</v>
      </c>
      <c r="K732" s="17" t="str">
        <f>IFERROR(__xludf.DUMMYFUNCTION("""COMPUTED_VALUE"""),"PHILIPS Digital Air Fryer HD9252/90 with Touch Panel, uses up to 90% less fat, 7 Pre-set Menu, 1400W, 4.1 Liter, with Rapid Air Technology (Black), Large")</f>
        <v>PHILIPS Digital Air Fryer HD9252/90 with Touch Panel, uses up to 90% less fat, 7 Pre-set Menu, 1400W, 4.1 Liter, with Rapid Air Technology (Black), Large</v>
      </c>
      <c r="L732" s="17" t="str">
        <f>IFERROR(__xludf.DUMMYFUNCTION("""COMPUTED_VALUE"""),"Home&amp;Kitchen|Kitchen&amp;HomeAppliances|SmallKitchenAppliances|DeepFatFryers|AirFryers")</f>
        <v>Home&amp;Kitchen|Kitchen&amp;HomeAppliances|SmallKitchenAppliances|DeepFatFryers|AirFryers</v>
      </c>
      <c r="M732" s="23">
        <f>IFERROR(__xludf.DUMMYFUNCTION("""COMPUTED_VALUE"""),8799.0)</f>
        <v>8799</v>
      </c>
      <c r="N732" s="23">
        <f>IFERROR(__xludf.DUMMYFUNCTION("""COMPUTED_VALUE"""),11595.0)</f>
        <v>11595</v>
      </c>
      <c r="O732" s="24">
        <f>IFERROR(__xludf.DUMMYFUNCTION("""COMPUTED_VALUE"""),0.24)</f>
        <v>0.24</v>
      </c>
      <c r="P732" s="17">
        <f>IFERROR(__xludf.DUMMYFUNCTION("""COMPUTED_VALUE"""),4.4)</f>
        <v>4.4</v>
      </c>
      <c r="Q732" s="25">
        <f>IFERROR(__xludf.DUMMYFUNCTION("""COMPUTED_VALUE"""),2981.0)</f>
        <v>2981</v>
      </c>
    </row>
    <row r="733">
      <c r="A733" s="7" t="s">
        <v>46</v>
      </c>
      <c r="B733" s="7" t="s">
        <v>31</v>
      </c>
      <c r="C733" s="8">
        <v>199.0</v>
      </c>
      <c r="D733" s="8">
        <v>699.0</v>
      </c>
      <c r="E733" s="19">
        <v>0.72</v>
      </c>
      <c r="F733" s="10">
        <v>4.2</v>
      </c>
      <c r="G733" s="11">
        <v>12153.0</v>
      </c>
      <c r="K733" s="17" t="str">
        <f>IFERROR(__xludf.DUMMYFUNCTION("""COMPUTED_VALUE"""),"Philips Daily Collection HD2582/00 830-Watt 2-Slice Pop-up Toaster (White)")</f>
        <v>Philips Daily Collection HD2582/00 830-Watt 2-Slice Pop-up Toaster (White)</v>
      </c>
      <c r="L733" s="17" t="str">
        <f>IFERROR(__xludf.DUMMYFUNCTION("""COMPUTED_VALUE"""),"Home&amp;Kitchen|Kitchen&amp;HomeAppliances|SmallKitchenAppliances|Pop-upToasters")</f>
        <v>Home&amp;Kitchen|Kitchen&amp;HomeAppliances|SmallKitchenAppliances|Pop-upToasters</v>
      </c>
      <c r="M733" s="23">
        <f>IFERROR(__xludf.DUMMYFUNCTION("""COMPUTED_VALUE"""),2095.0)</f>
        <v>2095</v>
      </c>
      <c r="N733" s="23">
        <f>IFERROR(__xludf.DUMMYFUNCTION("""COMPUTED_VALUE"""),2095.0)</f>
        <v>2095</v>
      </c>
      <c r="O733" s="24">
        <f>IFERROR(__xludf.DUMMYFUNCTION("""COMPUTED_VALUE"""),0.0)</f>
        <v>0</v>
      </c>
      <c r="P733" s="17">
        <f>IFERROR(__xludf.DUMMYFUNCTION("""COMPUTED_VALUE"""),4.5)</f>
        <v>4.5</v>
      </c>
      <c r="Q733" s="25">
        <f>IFERROR(__xludf.DUMMYFUNCTION("""COMPUTED_VALUE"""),7949.0)</f>
        <v>7949</v>
      </c>
    </row>
    <row r="734">
      <c r="A734" s="7" t="s">
        <v>778</v>
      </c>
      <c r="B734" s="7" t="s">
        <v>779</v>
      </c>
      <c r="C734" s="8">
        <v>399.0</v>
      </c>
      <c r="D734" s="8">
        <v>1499.0</v>
      </c>
      <c r="E734" s="19">
        <v>0.73</v>
      </c>
      <c r="F734" s="10">
        <v>4.1</v>
      </c>
      <c r="G734" s="11">
        <v>5730.0</v>
      </c>
      <c r="K734" s="17" t="str">
        <f>IFERROR(__xludf.DUMMYFUNCTION("""COMPUTED_VALUE"""),"Philips HL7756/00 Mixer Grinder, 750W, 3 Jars (Black)")</f>
        <v>Philips HL7756/00 Mixer Grinder, 750W, 3 Jars (Black)</v>
      </c>
      <c r="L734" s="17" t="str">
        <f>IFERROR(__xludf.DUMMYFUNCTION("""COMPUTED_VALUE"""),"Home&amp;Kitchen|Kitchen&amp;HomeAppliances|SmallKitchenAppliances|MixerGrinders")</f>
        <v>Home&amp;Kitchen|Kitchen&amp;HomeAppliances|SmallKitchenAppliances|MixerGrinders</v>
      </c>
      <c r="M734" s="23">
        <f>IFERROR(__xludf.DUMMYFUNCTION("""COMPUTED_VALUE"""),3699.0)</f>
        <v>3699</v>
      </c>
      <c r="N734" s="23">
        <f>IFERROR(__xludf.DUMMYFUNCTION("""COMPUTED_VALUE"""),4295.0)</f>
        <v>4295</v>
      </c>
      <c r="O734" s="24">
        <f>IFERROR(__xludf.DUMMYFUNCTION("""COMPUTED_VALUE"""),0.14)</f>
        <v>0.14</v>
      </c>
      <c r="P734" s="17">
        <f>IFERROR(__xludf.DUMMYFUNCTION("""COMPUTED_VALUE"""),4.1)</f>
        <v>4.1</v>
      </c>
      <c r="Q734" s="25">
        <f>IFERROR(__xludf.DUMMYFUNCTION("""COMPUTED_VALUE"""),26543.0)</f>
        <v>26543</v>
      </c>
    </row>
    <row r="735">
      <c r="A735" s="7" t="s">
        <v>780</v>
      </c>
      <c r="B735" s="7" t="s">
        <v>781</v>
      </c>
      <c r="C735" s="8">
        <v>1699.0</v>
      </c>
      <c r="D735" s="8">
        <v>3999.0</v>
      </c>
      <c r="E735" s="19">
        <v>0.58</v>
      </c>
      <c r="F735" s="10">
        <v>4.2</v>
      </c>
      <c r="G735" s="11">
        <v>25488.0</v>
      </c>
      <c r="K735" s="17" t="str">
        <f>IFERROR(__xludf.DUMMYFUNCTION("""COMPUTED_VALUE"""),"Kuber Industries Waterproof Round Non Wovan Laundry Bag/Hamper|Metalic Printed With Handles|Foldable Bin &amp; 45 Liter Capicity|Size 37 x 37 x 49, Pack of 1 (Beige &amp; Brown)-KUBMART11450")</f>
        <v>Kuber Industries Waterproof Round Non Wovan Laundry Bag/Hamper|Metalic Printed With Handles|Foldable Bin &amp; 45 Liter Capicity|Size 37 x 37 x 49, Pack of 1 (Beige &amp; Brown)-KUBMART11450</v>
      </c>
      <c r="L735" s="17" t="str">
        <f>IFERROR(__xludf.DUMMYFUNCTION("""COMPUTED_VALUE"""),"Home&amp;Kitchen|HomeStorage&amp;Organization|LaundryOrganization|LaundryBaskets")</f>
        <v>Home&amp;Kitchen|HomeStorage&amp;Organization|LaundryOrganization|LaundryBaskets</v>
      </c>
      <c r="M735" s="23">
        <f>IFERROR(__xludf.DUMMYFUNCTION("""COMPUTED_VALUE"""),177.0)</f>
        <v>177</v>
      </c>
      <c r="N735" s="23">
        <f>IFERROR(__xludf.DUMMYFUNCTION("""COMPUTED_VALUE"""),199.0)</f>
        <v>199</v>
      </c>
      <c r="O735" s="24">
        <f>IFERROR(__xludf.DUMMYFUNCTION("""COMPUTED_VALUE"""),0.11)</f>
        <v>0.11</v>
      </c>
      <c r="P735" s="17">
        <f>IFERROR(__xludf.DUMMYFUNCTION("""COMPUTED_VALUE"""),4.1)</f>
        <v>4.1</v>
      </c>
      <c r="Q735" s="25">
        <f>IFERROR(__xludf.DUMMYFUNCTION("""COMPUTED_VALUE"""),3688.0)</f>
        <v>3688</v>
      </c>
    </row>
    <row r="736">
      <c r="A736" s="7" t="s">
        <v>782</v>
      </c>
      <c r="B736" s="7" t="s">
        <v>625</v>
      </c>
      <c r="C736" s="8">
        <v>699.0</v>
      </c>
      <c r="D736" s="8">
        <v>995.0</v>
      </c>
      <c r="E736" s="19">
        <v>0.3</v>
      </c>
      <c r="F736" s="10">
        <v>4.5</v>
      </c>
      <c r="G736" s="11">
        <v>54405.0</v>
      </c>
      <c r="K736" s="17" t="str">
        <f>IFERROR(__xludf.DUMMYFUNCTION("""COMPUTED_VALUE"""),"Lint Remover Woolen Clothes Lint Extractor Battery Lint Removing Machine Bhur Remover")</f>
        <v>Lint Remover Woolen Clothes Lint Extractor Battery Lint Removing Machine Bhur Remover</v>
      </c>
      <c r="L736" s="17" t="str">
        <f>IFERROR(__xludf.DUMMYFUNCTION("""COMPUTED_VALUE"""),"Home&amp;Kitchen|Kitchen&amp;HomeAppliances|Vacuum,Cleaning&amp;Ironing|Irons,Steamers&amp;Accessories|LintShavers")</f>
        <v>Home&amp;Kitchen|Kitchen&amp;HomeAppliances|Vacuum,Cleaning&amp;Ironing|Irons,Steamers&amp;Accessories|LintShavers</v>
      </c>
      <c r="M736" s="23">
        <f>IFERROR(__xludf.DUMMYFUNCTION("""COMPUTED_VALUE"""),319.0)</f>
        <v>319</v>
      </c>
      <c r="N736" s="23">
        <f>IFERROR(__xludf.DUMMYFUNCTION("""COMPUTED_VALUE"""),749.0)</f>
        <v>749</v>
      </c>
      <c r="O736" s="24">
        <f>IFERROR(__xludf.DUMMYFUNCTION("""COMPUTED_VALUE"""),0.57)</f>
        <v>0.57</v>
      </c>
      <c r="P736" s="17">
        <f>IFERROR(__xludf.DUMMYFUNCTION("""COMPUTED_VALUE"""),4.6)</f>
        <v>4.6</v>
      </c>
      <c r="Q736" s="17">
        <f>IFERROR(__xludf.DUMMYFUNCTION("""COMPUTED_VALUE"""),124.0)</f>
        <v>124</v>
      </c>
    </row>
    <row r="737">
      <c r="A737" s="7" t="s">
        <v>524</v>
      </c>
      <c r="B737" s="7" t="s">
        <v>469</v>
      </c>
      <c r="C737" s="8">
        <v>95.0</v>
      </c>
      <c r="D737" s="8">
        <v>499.0</v>
      </c>
      <c r="E737" s="19">
        <v>0.81</v>
      </c>
      <c r="F737" s="10">
        <v>4.2</v>
      </c>
      <c r="G737" s="11">
        <v>1949.0</v>
      </c>
      <c r="K737" s="17" t="str">
        <f>IFERROR(__xludf.DUMMYFUNCTION("""COMPUTED_VALUE"""),"Pigeon by Stovekraft 2 Slice Auto Pop up Toaster. A Smart Bread Toaster for Your Home (750 Watt) (black)")</f>
        <v>Pigeon by Stovekraft 2 Slice Auto Pop up Toaster. A Smart Bread Toaster for Your Home (750 Watt) (black)</v>
      </c>
      <c r="L737" s="17" t="str">
        <f>IFERROR(__xludf.DUMMYFUNCTION("""COMPUTED_VALUE"""),"Home&amp;Kitchen|Kitchen&amp;HomeAppliances|SmallKitchenAppliances|Pop-upToasters")</f>
        <v>Home&amp;Kitchen|Kitchen&amp;HomeAppliances|SmallKitchenAppliances|Pop-upToasters</v>
      </c>
      <c r="M737" s="23">
        <f>IFERROR(__xludf.DUMMYFUNCTION("""COMPUTED_VALUE"""),1099.0)</f>
        <v>1099</v>
      </c>
      <c r="N737" s="23">
        <f>IFERROR(__xludf.DUMMYFUNCTION("""COMPUTED_VALUE"""),1795.0)</f>
        <v>1795</v>
      </c>
      <c r="O737" s="24">
        <f>IFERROR(__xludf.DUMMYFUNCTION("""COMPUTED_VALUE"""),0.39)</f>
        <v>0.39</v>
      </c>
      <c r="P737" s="17">
        <f>IFERROR(__xludf.DUMMYFUNCTION("""COMPUTED_VALUE"""),4.2)</f>
        <v>4.2</v>
      </c>
      <c r="Q737" s="25">
        <f>IFERROR(__xludf.DUMMYFUNCTION("""COMPUTED_VALUE"""),4244.0)</f>
        <v>4244</v>
      </c>
    </row>
    <row r="738">
      <c r="A738" s="7" t="s">
        <v>783</v>
      </c>
      <c r="B738" s="7" t="s">
        <v>709</v>
      </c>
      <c r="C738" s="8">
        <v>1149.0</v>
      </c>
      <c r="D738" s="8">
        <v>1699.0</v>
      </c>
      <c r="E738" s="19">
        <v>0.32</v>
      </c>
      <c r="F738" s="10">
        <v>4.2</v>
      </c>
      <c r="G738" s="7" t="s">
        <v>784</v>
      </c>
      <c r="K738" s="17" t="str">
        <f>IFERROR(__xludf.DUMMYFUNCTION("""COMPUTED_VALUE"""),"Bajaj OFR Room Heater, 13 Fin 2900 Watts Oil Filled Room Heater with 400W PTC Ceramic Fan Heater, ISI Approved (Majesty 13F Plus Black)")</f>
        <v>Bajaj OFR Room Heater, 13 Fin 2900 Watts Oil Filled Room Heater with 400W PTC Ceramic Fan Heater, ISI Approved (Majesty 13F Plus Black)</v>
      </c>
      <c r="L738" s="17" t="str">
        <f>IFERROR(__xludf.DUMMYFUNCTION("""COMPUTED_VALUE"""),"Home&amp;Kitchen|Heating,Cooling&amp;AirQuality|RoomHeaters|FanHeaters")</f>
        <v>Home&amp;Kitchen|Heating,Cooling&amp;AirQuality|RoomHeaters|FanHeaters</v>
      </c>
      <c r="M738" s="23">
        <f>IFERROR(__xludf.DUMMYFUNCTION("""COMPUTED_VALUE"""),9590.0)</f>
        <v>9590</v>
      </c>
      <c r="N738" s="23">
        <f>IFERROR(__xludf.DUMMYFUNCTION("""COMPUTED_VALUE"""),15999.0)</f>
        <v>15999</v>
      </c>
      <c r="O738" s="24">
        <f>IFERROR(__xludf.DUMMYFUNCTION("""COMPUTED_VALUE"""),0.4)</f>
        <v>0.4</v>
      </c>
      <c r="P738" s="17">
        <f>IFERROR(__xludf.DUMMYFUNCTION("""COMPUTED_VALUE"""),4.1)</f>
        <v>4.1</v>
      </c>
      <c r="Q738" s="25">
        <f>IFERROR(__xludf.DUMMYFUNCTION("""COMPUTED_VALUE"""),1017.0)</f>
        <v>1017</v>
      </c>
    </row>
    <row r="739">
      <c r="A739" s="7" t="s">
        <v>785</v>
      </c>
      <c r="B739" s="7" t="s">
        <v>660</v>
      </c>
      <c r="C739" s="8">
        <v>1495.0</v>
      </c>
      <c r="D739" s="8">
        <v>1995.0</v>
      </c>
      <c r="E739" s="19">
        <v>0.25</v>
      </c>
      <c r="F739" s="10">
        <v>4.3</v>
      </c>
      <c r="G739" s="11">
        <v>7241.0</v>
      </c>
      <c r="K739" s="17" t="str">
        <f>IFERROR(__xludf.DUMMYFUNCTION("""COMPUTED_VALUE"""),"Luminous Vento Deluxe 150 mm Exhaust Fan for Kitchen, Bathroom with Strong Air Suction, Rust Proof Body and Dust Protection Shutters (2-Year Warranty, White)")</f>
        <v>Luminous Vento Deluxe 150 mm Exhaust Fan for Kitchen, Bathroom with Strong Air Suction, Rust Proof Body and Dust Protection Shutters (2-Year Warranty, White)</v>
      </c>
      <c r="L739" s="17" t="str">
        <f>IFERROR(__xludf.DUMMYFUNCTION("""COMPUTED_VALUE"""),"Home&amp;Kitchen|Heating,Cooling&amp;AirQuality|Fans|ExhaustFans")</f>
        <v>Home&amp;Kitchen|Heating,Cooling&amp;AirQuality|Fans|ExhaustFans</v>
      </c>
      <c r="M739" s="23">
        <f>IFERROR(__xludf.DUMMYFUNCTION("""COMPUTED_VALUE"""),999.0)</f>
        <v>999</v>
      </c>
      <c r="N739" s="23">
        <f>IFERROR(__xludf.DUMMYFUNCTION("""COMPUTED_VALUE"""),1490.0)</f>
        <v>1490</v>
      </c>
      <c r="O739" s="24">
        <f>IFERROR(__xludf.DUMMYFUNCTION("""COMPUTED_VALUE"""),0.33)</f>
        <v>0.33</v>
      </c>
      <c r="P739" s="17">
        <f>IFERROR(__xludf.DUMMYFUNCTION("""COMPUTED_VALUE"""),4.1)</f>
        <v>4.1</v>
      </c>
      <c r="Q739" s="25">
        <f>IFERROR(__xludf.DUMMYFUNCTION("""COMPUTED_VALUE"""),12999.0)</f>
        <v>12999</v>
      </c>
    </row>
    <row r="740">
      <c r="A740" s="7" t="s">
        <v>786</v>
      </c>
      <c r="B740" s="7" t="s">
        <v>631</v>
      </c>
      <c r="C740" s="8">
        <v>849.0</v>
      </c>
      <c r="D740" s="8">
        <v>4999.0</v>
      </c>
      <c r="E740" s="19">
        <v>0.83</v>
      </c>
      <c r="F740" s="10">
        <v>4.0</v>
      </c>
      <c r="G740" s="11">
        <v>20457.0</v>
      </c>
      <c r="K740" s="17" t="str">
        <f>IFERROR(__xludf.DUMMYFUNCTION("""COMPUTED_VALUE"""),"Kitchen Mart Stainless Steel South Indian Filter Coffee Drip Maker, Madras Kappi, Drip Decotion Maker160ml (2 Cup)")</f>
        <v>Kitchen Mart Stainless Steel South Indian Filter Coffee Drip Maker, Madras Kappi, Drip Decotion Maker160ml (2 Cup)</v>
      </c>
      <c r="L740" s="17" t="str">
        <f>IFERROR(__xludf.DUMMYFUNCTION("""COMPUTED_VALUE"""),"Home&amp;Kitchen|Kitchen&amp;HomeAppliances|Coffee,Tea&amp;Espresso|DripCoffeeMachines")</f>
        <v>Home&amp;Kitchen|Kitchen&amp;HomeAppliances|Coffee,Tea&amp;Espresso|DripCoffeeMachines</v>
      </c>
      <c r="M740" s="23">
        <f>IFERROR(__xludf.DUMMYFUNCTION("""COMPUTED_VALUE"""),292.0)</f>
        <v>292</v>
      </c>
      <c r="N740" s="23">
        <f>IFERROR(__xludf.DUMMYFUNCTION("""COMPUTED_VALUE"""),499.0)</f>
        <v>499</v>
      </c>
      <c r="O740" s="24">
        <f>IFERROR(__xludf.DUMMYFUNCTION("""COMPUTED_VALUE"""),0.41)</f>
        <v>0.41</v>
      </c>
      <c r="P740" s="17">
        <f>IFERROR(__xludf.DUMMYFUNCTION("""COMPUTED_VALUE"""),4.1)</f>
        <v>4.1</v>
      </c>
      <c r="Q740" s="25">
        <f>IFERROR(__xludf.DUMMYFUNCTION("""COMPUTED_VALUE"""),4238.0)</f>
        <v>4238</v>
      </c>
    </row>
    <row r="741">
      <c r="A741" s="7" t="s">
        <v>787</v>
      </c>
      <c r="B741" s="7" t="s">
        <v>788</v>
      </c>
      <c r="C741" s="8">
        <v>440.0</v>
      </c>
      <c r="D741" s="8">
        <v>440.0</v>
      </c>
      <c r="E741" s="19">
        <v>0.0</v>
      </c>
      <c r="F741" s="10">
        <v>4.5</v>
      </c>
      <c r="G741" s="11">
        <v>8610.0</v>
      </c>
      <c r="K741" s="17" t="str">
        <f>IFERROR(__xludf.DUMMYFUNCTION("""COMPUTED_VALUE"""),"Ikea 903.391.72 Polypropylene Plastic Solid Bevara Sealing Clip (Multicolour) - 30 Pack, Adjustable")</f>
        <v>Ikea 903.391.72 Polypropylene Plastic Solid Bevara Sealing Clip (Multicolour) - 30 Pack, Adjustable</v>
      </c>
      <c r="L741" s="17" t="str">
        <f>IFERROR(__xludf.DUMMYFUNCTION("""COMPUTED_VALUE"""),"Home&amp;Kitchen|Kitchen&amp;HomeAppliances|SmallKitchenAppliances|VacuumSealers")</f>
        <v>Home&amp;Kitchen|Kitchen&amp;HomeAppliances|SmallKitchenAppliances|VacuumSealers</v>
      </c>
      <c r="M741" s="23">
        <f>IFERROR(__xludf.DUMMYFUNCTION("""COMPUTED_VALUE"""),160.0)</f>
        <v>160</v>
      </c>
      <c r="N741" s="23">
        <f>IFERROR(__xludf.DUMMYFUNCTION("""COMPUTED_VALUE"""),299.0)</f>
        <v>299</v>
      </c>
      <c r="O741" s="24">
        <f>IFERROR(__xludf.DUMMYFUNCTION("""COMPUTED_VALUE"""),0.46)</f>
        <v>0.46</v>
      </c>
      <c r="P741" s="17">
        <f>IFERROR(__xludf.DUMMYFUNCTION("""COMPUTED_VALUE"""),4.6)</f>
        <v>4.6</v>
      </c>
      <c r="Q741" s="25">
        <f>IFERROR(__xludf.DUMMYFUNCTION("""COMPUTED_VALUE"""),2781.0)</f>
        <v>2781</v>
      </c>
    </row>
    <row r="742">
      <c r="A742" s="7" t="s">
        <v>521</v>
      </c>
      <c r="B742" s="7" t="s">
        <v>502</v>
      </c>
      <c r="C742" s="8">
        <v>349.0</v>
      </c>
      <c r="D742" s="8">
        <v>999.0</v>
      </c>
      <c r="E742" s="19">
        <v>0.65</v>
      </c>
      <c r="F742" s="10">
        <v>3.8</v>
      </c>
      <c r="G742" s="11">
        <v>16557.0</v>
      </c>
      <c r="K742" s="17" t="str">
        <f>IFERROR(__xludf.DUMMYFUNCTION("""COMPUTED_VALUE"""),"HUL Pureit Germkill kit for Classic 23 L water purifier - 1500 L Capacity")</f>
        <v>HUL Pureit Germkill kit for Classic 23 L water purifier - 1500 L Capacity</v>
      </c>
      <c r="L742" s="17" t="str">
        <f>IFERROR(__xludf.DUMMYFUNCTION("""COMPUTED_VALUE"""),"Home&amp;Kitchen|Kitchen&amp;HomeAppliances|WaterPurifiers&amp;Accessories|WaterPurifierAccessories")</f>
        <v>Home&amp;Kitchen|Kitchen&amp;HomeAppliances|WaterPurifiers&amp;Accessories|WaterPurifierAccessories</v>
      </c>
      <c r="M742" s="23">
        <f>IFERROR(__xludf.DUMMYFUNCTION("""COMPUTED_VALUE"""),600.0)</f>
        <v>600</v>
      </c>
      <c r="N742" s="23">
        <f>IFERROR(__xludf.DUMMYFUNCTION("""COMPUTED_VALUE"""),600.0)</f>
        <v>600</v>
      </c>
      <c r="O742" s="24">
        <f>IFERROR(__xludf.DUMMYFUNCTION("""COMPUTED_VALUE"""),0.0)</f>
        <v>0</v>
      </c>
      <c r="P742" s="17">
        <f>IFERROR(__xludf.DUMMYFUNCTION("""COMPUTED_VALUE"""),4.1)</f>
        <v>4.1</v>
      </c>
      <c r="Q742" s="25">
        <f>IFERROR(__xludf.DUMMYFUNCTION("""COMPUTED_VALUE"""),10907.0)</f>
        <v>10907</v>
      </c>
    </row>
    <row r="743">
      <c r="A743" s="7" t="s">
        <v>789</v>
      </c>
      <c r="B743" s="7" t="s">
        <v>631</v>
      </c>
      <c r="C743" s="8">
        <v>599.0</v>
      </c>
      <c r="D743" s="8">
        <v>3999.0</v>
      </c>
      <c r="E743" s="19">
        <v>0.85</v>
      </c>
      <c r="F743" s="10">
        <v>3.9</v>
      </c>
      <c r="G743" s="11">
        <v>1087.0</v>
      </c>
      <c r="K743" s="17" t="str">
        <f>IFERROR(__xludf.DUMMYFUNCTION("""COMPUTED_VALUE"""),"HUL Pureit Germkill kit for Classic 23 L water purifier - 3000 L Capacity")</f>
        <v>HUL Pureit Germkill kit for Classic 23 L water purifier - 3000 L Capacity</v>
      </c>
      <c r="L743" s="17" t="str">
        <f>IFERROR(__xludf.DUMMYFUNCTION("""COMPUTED_VALUE"""),"Home&amp;Kitchen|Kitchen&amp;HomeAppliances|WaterPurifiers&amp;Accessories|WaterCartridges")</f>
        <v>Home&amp;Kitchen|Kitchen&amp;HomeAppliances|WaterPurifiers&amp;Accessories|WaterCartridges</v>
      </c>
      <c r="M743" s="23">
        <f>IFERROR(__xludf.DUMMYFUNCTION("""COMPUTED_VALUE"""),1130.0)</f>
        <v>1130</v>
      </c>
      <c r="N743" s="23">
        <f>IFERROR(__xludf.DUMMYFUNCTION("""COMPUTED_VALUE"""),1130.0)</f>
        <v>1130</v>
      </c>
      <c r="O743" s="24">
        <f>IFERROR(__xludf.DUMMYFUNCTION("""COMPUTED_VALUE"""),0.0)</f>
        <v>0</v>
      </c>
      <c r="P743" s="17">
        <f>IFERROR(__xludf.DUMMYFUNCTION("""COMPUTED_VALUE"""),4.2)</f>
        <v>4.2</v>
      </c>
      <c r="Q743" s="25">
        <f>IFERROR(__xludf.DUMMYFUNCTION("""COMPUTED_VALUE"""),13250.0)</f>
        <v>13250</v>
      </c>
    </row>
    <row r="744">
      <c r="A744" s="7" t="s">
        <v>790</v>
      </c>
      <c r="B744" s="7" t="s">
        <v>741</v>
      </c>
      <c r="C744" s="8">
        <v>149.0</v>
      </c>
      <c r="D744" s="8">
        <v>399.0</v>
      </c>
      <c r="E744" s="19">
        <v>0.63</v>
      </c>
      <c r="F744" s="10">
        <v>4.0</v>
      </c>
      <c r="G744" s="11">
        <v>1540.0</v>
      </c>
      <c r="K744" s="17" t="str">
        <f>IFERROR(__xludf.DUMMYFUNCTION("""COMPUTED_VALUE"""),"Preethi Blue Leaf Diamond MG-214 mixer grinder 750 watt (Blue/White), 3 jars &amp; Flexi Lid, FBT motor with 2yr Guarantee &amp; Lifelong Free Service")</f>
        <v>Preethi Blue Leaf Diamond MG-214 mixer grinder 750 watt (Blue/White), 3 jars &amp; Flexi Lid, FBT motor with 2yr Guarantee &amp; Lifelong Free Service</v>
      </c>
      <c r="L744" s="17" t="str">
        <f>IFERROR(__xludf.DUMMYFUNCTION("""COMPUTED_VALUE"""),"Home&amp;Kitchen|Kitchen&amp;HomeAppliances|SmallKitchenAppliances|MixerGrinders")</f>
        <v>Home&amp;Kitchen|Kitchen&amp;HomeAppliances|SmallKitchenAppliances|MixerGrinders</v>
      </c>
      <c r="M744" s="23">
        <f>IFERROR(__xludf.DUMMYFUNCTION("""COMPUTED_VALUE"""),3599.0)</f>
        <v>3599</v>
      </c>
      <c r="N744" s="23">
        <f>IFERROR(__xludf.DUMMYFUNCTION("""COMPUTED_VALUE"""),9455.0)</f>
        <v>9455</v>
      </c>
      <c r="O744" s="24">
        <f>IFERROR(__xludf.DUMMYFUNCTION("""COMPUTED_VALUE"""),0.62)</f>
        <v>0.62</v>
      </c>
      <c r="P744" s="17">
        <f>IFERROR(__xludf.DUMMYFUNCTION("""COMPUTED_VALUE"""),4.1)</f>
        <v>4.1</v>
      </c>
      <c r="Q744" s="25">
        <f>IFERROR(__xludf.DUMMYFUNCTION("""COMPUTED_VALUE"""),11828.0)</f>
        <v>11828</v>
      </c>
    </row>
    <row r="745">
      <c r="A745" s="7" t="s">
        <v>791</v>
      </c>
      <c r="B745" s="7" t="s">
        <v>627</v>
      </c>
      <c r="C745" s="8">
        <v>289.0</v>
      </c>
      <c r="D745" s="8">
        <v>999.0</v>
      </c>
      <c r="E745" s="19">
        <v>0.71</v>
      </c>
      <c r="F745" s="10">
        <v>4.1</v>
      </c>
      <c r="G745" s="10">
        <v>401.0</v>
      </c>
      <c r="K745" s="17" t="str">
        <f>IFERROR(__xludf.DUMMYFUNCTION("""COMPUTED_VALUE"""),"Themisto 350 Watts Egg Boiler-Blue")</f>
        <v>Themisto 350 Watts Egg Boiler-Blue</v>
      </c>
      <c r="L745" s="17" t="str">
        <f>IFERROR(__xludf.DUMMYFUNCTION("""COMPUTED_VALUE"""),"Home&amp;Kitchen|Kitchen&amp;HomeAppliances|SmallKitchenAppliances|EggBoilers")</f>
        <v>Home&amp;Kitchen|Kitchen&amp;HomeAppliances|SmallKitchenAppliances|EggBoilers</v>
      </c>
      <c r="M745" s="23">
        <f>IFERROR(__xludf.DUMMYFUNCTION("""COMPUTED_VALUE"""),368.0)</f>
        <v>368</v>
      </c>
      <c r="N745" s="23">
        <f>IFERROR(__xludf.DUMMYFUNCTION("""COMPUTED_VALUE"""),699.0)</f>
        <v>699</v>
      </c>
      <c r="O745" s="24">
        <f>IFERROR(__xludf.DUMMYFUNCTION("""COMPUTED_VALUE"""),0.47)</f>
        <v>0.47</v>
      </c>
      <c r="P745" s="17">
        <f>IFERROR(__xludf.DUMMYFUNCTION("""COMPUTED_VALUE"""),4.1)</f>
        <v>4.1</v>
      </c>
      <c r="Q745" s="25">
        <f>IFERROR(__xludf.DUMMYFUNCTION("""COMPUTED_VALUE"""),1240.0)</f>
        <v>1240</v>
      </c>
    </row>
    <row r="746">
      <c r="A746" s="7" t="s">
        <v>792</v>
      </c>
      <c r="B746" s="7" t="s">
        <v>793</v>
      </c>
      <c r="C746" s="8">
        <v>179.0</v>
      </c>
      <c r="D746" s="8">
        <v>499.0</v>
      </c>
      <c r="E746" s="19">
        <v>0.64</v>
      </c>
      <c r="F746" s="10">
        <v>3.4</v>
      </c>
      <c r="G746" s="11">
        <v>9385.0</v>
      </c>
      <c r="K746" s="17" t="str">
        <f>IFERROR(__xludf.DUMMYFUNCTION("""COMPUTED_VALUE"""),"InstaCuppa Portable Blender for Smoothie, Milk Shakes, Crushing Ice and Juices, USB Rechargeable Personal Blender Machine for Kitchen with 2000 mAh Rechargeable Battery, 150 Watt Motor, 400 ML")</f>
        <v>InstaCuppa Portable Blender for Smoothie, Milk Shakes, Crushing Ice and Juices, USB Rechargeable Personal Blender Machine for Kitchen with 2000 mAh Rechargeable Battery, 150 Watt Motor, 400 ML</v>
      </c>
      <c r="L746" s="17" t="str">
        <f>IFERROR(__xludf.DUMMYFUNCTION("""COMPUTED_VALUE"""),"Home&amp;Kitchen|Kitchen&amp;HomeAppliances|SmallKitchenAppliances|HandBlenders")</f>
        <v>Home&amp;Kitchen|Kitchen&amp;HomeAppliances|SmallKitchenAppliances|HandBlenders</v>
      </c>
      <c r="M746" s="23">
        <f>IFERROR(__xludf.DUMMYFUNCTION("""COMPUTED_VALUE"""),1999.0)</f>
        <v>1999</v>
      </c>
      <c r="N746" s="23">
        <f>IFERROR(__xludf.DUMMYFUNCTION("""COMPUTED_VALUE"""),2499.0)</f>
        <v>2499</v>
      </c>
      <c r="O746" s="24">
        <f>IFERROR(__xludf.DUMMYFUNCTION("""COMPUTED_VALUE"""),0.2)</f>
        <v>0.2</v>
      </c>
      <c r="P746" s="17">
        <f>IFERROR(__xludf.DUMMYFUNCTION("""COMPUTED_VALUE"""),4.1)</f>
        <v>4.1</v>
      </c>
      <c r="Q746" s="25">
        <f>IFERROR(__xludf.DUMMYFUNCTION("""COMPUTED_VALUE"""),1034.0)</f>
        <v>1034</v>
      </c>
    </row>
    <row r="747">
      <c r="A747" s="7" t="s">
        <v>794</v>
      </c>
      <c r="B747" s="7" t="s">
        <v>373</v>
      </c>
      <c r="C747" s="8">
        <v>1499.0</v>
      </c>
      <c r="D747" s="8">
        <v>4999.0</v>
      </c>
      <c r="E747" s="19">
        <v>0.7</v>
      </c>
      <c r="F747" s="10">
        <v>4.0</v>
      </c>
      <c r="G747" s="11">
        <v>92588.0</v>
      </c>
      <c r="K747" s="17" t="str">
        <f>IFERROR(__xludf.DUMMYFUNCTION("""COMPUTED_VALUE"""),"USHA EI 1602 1000 W Lightweight Dry Iron with Non-Stick Soleplate (Multi-colour)")</f>
        <v>USHA EI 1602 1000 W Lightweight Dry Iron with Non-Stick Soleplate (Multi-colour)</v>
      </c>
      <c r="L747" s="17" t="str">
        <f>IFERROR(__xludf.DUMMYFUNCTION("""COMPUTED_VALUE"""),"Home&amp;Kitchen|Kitchen&amp;HomeAppliances|Vacuum,Cleaning&amp;Ironing|Irons,Steamers&amp;Accessories|Irons|DryIrons")</f>
        <v>Home&amp;Kitchen|Kitchen&amp;HomeAppliances|Vacuum,Cleaning&amp;Ironing|Irons,Steamers&amp;Accessories|Irons|DryIrons</v>
      </c>
      <c r="M747" s="23">
        <f>IFERROR(__xludf.DUMMYFUNCTION("""COMPUTED_VALUE"""),616.0)</f>
        <v>616</v>
      </c>
      <c r="N747" s="23">
        <f>IFERROR(__xludf.DUMMYFUNCTION("""COMPUTED_VALUE"""),1190.0)</f>
        <v>1190</v>
      </c>
      <c r="O747" s="24">
        <f>IFERROR(__xludf.DUMMYFUNCTION("""COMPUTED_VALUE"""),0.48)</f>
        <v>0.48</v>
      </c>
      <c r="P747" s="17">
        <f>IFERROR(__xludf.DUMMYFUNCTION("""COMPUTED_VALUE"""),4.1)</f>
        <v>4.1</v>
      </c>
      <c r="Q747" s="25">
        <f>IFERROR(__xludf.DUMMYFUNCTION("""COMPUTED_VALUE"""),37126.0)</f>
        <v>37126</v>
      </c>
    </row>
    <row r="748">
      <c r="A748" s="7" t="s">
        <v>795</v>
      </c>
      <c r="B748" s="7" t="s">
        <v>393</v>
      </c>
      <c r="C748" s="8">
        <v>399.0</v>
      </c>
      <c r="D748" s="8">
        <v>699.0</v>
      </c>
      <c r="E748" s="19">
        <v>0.43</v>
      </c>
      <c r="F748" s="10">
        <v>3.4</v>
      </c>
      <c r="G748" s="11">
        <v>3454.0</v>
      </c>
      <c r="K748" s="17" t="str">
        <f>IFERROR(__xludf.DUMMYFUNCTION("""COMPUTED_VALUE"""),"KENT 16044 Hand Blender Stainless Steel 400 W | Variable Speed Control | Easy to Clean and Store | Low Noise Operation")</f>
        <v>KENT 16044 Hand Blender Stainless Steel 400 W | Variable Speed Control | Easy to Clean and Store | Low Noise Operation</v>
      </c>
      <c r="L748" s="17" t="str">
        <f>IFERROR(__xludf.DUMMYFUNCTION("""COMPUTED_VALUE"""),"Home&amp;Kitchen|Kitchen&amp;HomeAppliances|SmallKitchenAppliances|HandBlenders")</f>
        <v>Home&amp;Kitchen|Kitchen&amp;HomeAppliances|SmallKitchenAppliances|HandBlenders</v>
      </c>
      <c r="M748" s="23">
        <f>IFERROR(__xludf.DUMMYFUNCTION("""COMPUTED_VALUE"""),1499.0)</f>
        <v>1499</v>
      </c>
      <c r="N748" s="23">
        <f>IFERROR(__xludf.DUMMYFUNCTION("""COMPUTED_VALUE"""),2100.0)</f>
        <v>2100</v>
      </c>
      <c r="O748" s="24">
        <f>IFERROR(__xludf.DUMMYFUNCTION("""COMPUTED_VALUE"""),0.29)</f>
        <v>0.29</v>
      </c>
      <c r="P748" s="17">
        <f>IFERROR(__xludf.DUMMYFUNCTION("""COMPUTED_VALUE"""),4.1)</f>
        <v>4.1</v>
      </c>
      <c r="Q748" s="25">
        <f>IFERROR(__xludf.DUMMYFUNCTION("""COMPUTED_VALUE"""),6355.0)</f>
        <v>6355</v>
      </c>
    </row>
    <row r="749">
      <c r="A749" s="7" t="s">
        <v>796</v>
      </c>
      <c r="B749" s="7" t="s">
        <v>692</v>
      </c>
      <c r="C749" s="8">
        <v>599.0</v>
      </c>
      <c r="D749" s="8">
        <v>799.0</v>
      </c>
      <c r="E749" s="19">
        <v>0.25</v>
      </c>
      <c r="F749" s="10">
        <v>4.3</v>
      </c>
      <c r="G749" s="11">
        <v>15790.0</v>
      </c>
      <c r="K749" s="17" t="str">
        <f>IFERROR(__xludf.DUMMYFUNCTION("""COMPUTED_VALUE"""),"Crompton IHL 152 1500-Watt Immersion Water Heater with Copper Heating Element (Black)")</f>
        <v>Crompton IHL 152 1500-Watt Immersion Water Heater with Copper Heating Element (Black)</v>
      </c>
      <c r="L749" s="17" t="str">
        <f>IFERROR(__xludf.DUMMYFUNCTION("""COMPUTED_VALUE"""),"Home&amp;Kitchen|Heating,Cooling&amp;AirQuality|WaterHeaters&amp;Geysers|ImmersionRods")</f>
        <v>Home&amp;Kitchen|Heating,Cooling&amp;AirQuality|WaterHeaters&amp;Geysers|ImmersionRods</v>
      </c>
      <c r="M749" s="23">
        <f>IFERROR(__xludf.DUMMYFUNCTION("""COMPUTED_VALUE"""),610.0)</f>
        <v>610</v>
      </c>
      <c r="N749" s="23">
        <f>IFERROR(__xludf.DUMMYFUNCTION("""COMPUTED_VALUE"""),825.0)</f>
        <v>825</v>
      </c>
      <c r="O749" s="24">
        <f>IFERROR(__xludf.DUMMYFUNCTION("""COMPUTED_VALUE"""),0.26)</f>
        <v>0.26</v>
      </c>
      <c r="P749" s="17">
        <f>IFERROR(__xludf.DUMMYFUNCTION("""COMPUTED_VALUE"""),4.1)</f>
        <v>4.1</v>
      </c>
      <c r="Q749" s="25">
        <f>IFERROR(__xludf.DUMMYFUNCTION("""COMPUTED_VALUE"""),13165.0)</f>
        <v>13165</v>
      </c>
    </row>
    <row r="750">
      <c r="A750" s="7" t="s">
        <v>797</v>
      </c>
      <c r="B750" s="7" t="s">
        <v>798</v>
      </c>
      <c r="C750" s="8">
        <v>949.0</v>
      </c>
      <c r="D750" s="8">
        <v>2000.0</v>
      </c>
      <c r="E750" s="19">
        <v>0.53</v>
      </c>
      <c r="F750" s="10">
        <v>3.9</v>
      </c>
      <c r="G750" s="11">
        <v>14969.0</v>
      </c>
      <c r="K750" s="17" t="str">
        <f>IFERROR(__xludf.DUMMYFUNCTION("""COMPUTED_VALUE"""),"InstaCuppa Rechargeable Mini Electric Chopper - Stainless Steel Blades, One Touch Operation, for Mincing Garlic, Ginger, Onion, Vegetable, Meat, Nuts, (White, 250 ML, Pack of 1, 45 Watts)")</f>
        <v>InstaCuppa Rechargeable Mini Electric Chopper - Stainless Steel Blades, One Touch Operation, for Mincing Garlic, Ginger, Onion, Vegetable, Meat, Nuts, (White, 250 ML, Pack of 1, 45 Watts)</v>
      </c>
      <c r="L750" s="17" t="str">
        <f>IFERROR(__xludf.DUMMYFUNCTION("""COMPUTED_VALUE"""),"Home&amp;Kitchen|Kitchen&amp;HomeAppliances|SmallKitchenAppliances|MiniFoodProcessors&amp;Choppers")</f>
        <v>Home&amp;Kitchen|Kitchen&amp;HomeAppliances|SmallKitchenAppliances|MiniFoodProcessors&amp;Choppers</v>
      </c>
      <c r="M750" s="23">
        <f>IFERROR(__xludf.DUMMYFUNCTION("""COMPUTED_VALUE"""),999.0)</f>
        <v>999</v>
      </c>
      <c r="N750" s="23">
        <f>IFERROR(__xludf.DUMMYFUNCTION("""COMPUTED_VALUE"""),1499.0)</f>
        <v>1499</v>
      </c>
      <c r="O750" s="24">
        <f>IFERROR(__xludf.DUMMYFUNCTION("""COMPUTED_VALUE"""),0.33)</f>
        <v>0.33</v>
      </c>
      <c r="P750" s="17">
        <f>IFERROR(__xludf.DUMMYFUNCTION("""COMPUTED_VALUE"""),4.1)</f>
        <v>4.1</v>
      </c>
      <c r="Q750" s="25">
        <f>IFERROR(__xludf.DUMMYFUNCTION("""COMPUTED_VALUE"""),1646.0)</f>
        <v>1646</v>
      </c>
    </row>
    <row r="751">
      <c r="A751" s="7" t="s">
        <v>799</v>
      </c>
      <c r="B751" s="7" t="s">
        <v>373</v>
      </c>
      <c r="C751" s="8">
        <v>2499.0</v>
      </c>
      <c r="D751" s="8">
        <v>9999.0</v>
      </c>
      <c r="E751" s="19">
        <v>0.75</v>
      </c>
      <c r="F751" s="10">
        <v>4.1</v>
      </c>
      <c r="G751" s="11">
        <v>42139.0</v>
      </c>
      <c r="K751" s="17" t="str">
        <f>IFERROR(__xludf.DUMMYFUNCTION("""COMPUTED_VALUE"""),"Philips PowerPro FC9352/01 Compact Bagless Vacuum Cleaner (Blue)")</f>
        <v>Philips PowerPro FC9352/01 Compact Bagless Vacuum Cleaner (Blue)</v>
      </c>
      <c r="L751" s="17" t="str">
        <f>IFERROR(__xludf.DUMMYFUNCTION("""COMPUTED_VALUE"""),"Home&amp;Kitchen|Kitchen&amp;HomeAppliances|Vacuum,Cleaning&amp;Ironing|Vacuums&amp;FloorCare|Vacuums|CanisterVacuums")</f>
        <v>Home&amp;Kitchen|Kitchen&amp;HomeAppliances|Vacuum,Cleaning&amp;Ironing|Vacuums&amp;FloorCare|Vacuums|CanisterVacuums</v>
      </c>
      <c r="M751" s="23">
        <f>IFERROR(__xludf.DUMMYFUNCTION("""COMPUTED_VALUE"""),8999.0)</f>
        <v>8999</v>
      </c>
      <c r="N751" s="23">
        <f>IFERROR(__xludf.DUMMYFUNCTION("""COMPUTED_VALUE"""),9995.0)</f>
        <v>9995</v>
      </c>
      <c r="O751" s="24">
        <f>IFERROR(__xludf.DUMMYFUNCTION("""COMPUTED_VALUE"""),0.1)</f>
        <v>0.1</v>
      </c>
      <c r="P751" s="17">
        <f>IFERROR(__xludf.DUMMYFUNCTION("""COMPUTED_VALUE"""),4.4)</f>
        <v>4.4</v>
      </c>
      <c r="Q751" s="25">
        <f>IFERROR(__xludf.DUMMYFUNCTION("""COMPUTED_VALUE"""),17994.0)</f>
        <v>17994</v>
      </c>
    </row>
    <row r="752">
      <c r="A752" s="7" t="s">
        <v>800</v>
      </c>
      <c r="B752" s="7" t="s">
        <v>652</v>
      </c>
      <c r="C752" s="8">
        <v>159.0</v>
      </c>
      <c r="D752" s="8">
        <v>180.0</v>
      </c>
      <c r="E752" s="19">
        <v>0.12</v>
      </c>
      <c r="F752" s="10">
        <v>4.3</v>
      </c>
      <c r="G752" s="10">
        <v>989.0</v>
      </c>
      <c r="K752" s="17" t="str">
        <f>IFERROR(__xludf.DUMMYFUNCTION("""COMPUTED_VALUE"""),"SAIELLIN Electric Lint Remover for Clothes Fabric Shaver Lint Shaver for Woolen Clothes Blanket Jackets Stainless Steel Blades, Clothes and Furniture Lint Roller for Fabrics Portable Lint Shavers (White Orange)")</f>
        <v>SAIELLIN Electric Lint Remover for Clothes Fabric Shaver Lint Shaver for Woolen Clothes Blanket Jackets Stainless Steel Blades, Clothes and Furniture Lint Roller for Fabrics Portable Lint Shavers (White Orange)</v>
      </c>
      <c r="L752" s="17" t="str">
        <f>IFERROR(__xludf.DUMMYFUNCTION("""COMPUTED_VALUE"""),"Home&amp;Kitchen|Kitchen&amp;HomeAppliances|Vacuum,Cleaning&amp;Ironing|Irons,Steamers&amp;Accessories|LintShavers")</f>
        <v>Home&amp;Kitchen|Kitchen&amp;HomeAppliances|Vacuum,Cleaning&amp;Ironing|Irons,Steamers&amp;Accessories|LintShavers</v>
      </c>
      <c r="M752" s="23">
        <f>IFERROR(__xludf.DUMMYFUNCTION("""COMPUTED_VALUE"""),453.0)</f>
        <v>453</v>
      </c>
      <c r="N752" s="23">
        <f>IFERROR(__xludf.DUMMYFUNCTION("""COMPUTED_VALUE"""),999.0)</f>
        <v>999</v>
      </c>
      <c r="O752" s="24">
        <f>IFERROR(__xludf.DUMMYFUNCTION("""COMPUTED_VALUE"""),0.55)</f>
        <v>0.55</v>
      </c>
      <c r="P752" s="17">
        <f>IFERROR(__xludf.DUMMYFUNCTION("""COMPUTED_VALUE"""),4.3)</f>
        <v>4.3</v>
      </c>
      <c r="Q752" s="17">
        <f>IFERROR(__xludf.DUMMYFUNCTION("""COMPUTED_VALUE"""),610.0)</f>
        <v>610</v>
      </c>
    </row>
    <row r="753">
      <c r="A753" s="7" t="s">
        <v>801</v>
      </c>
      <c r="B753" s="7" t="s">
        <v>386</v>
      </c>
      <c r="C753" s="8">
        <v>1329.0</v>
      </c>
      <c r="D753" s="8">
        <v>2900.0</v>
      </c>
      <c r="E753" s="19">
        <v>0.54</v>
      </c>
      <c r="F753" s="10">
        <v>4.5</v>
      </c>
      <c r="G753" s="11">
        <v>19624.0</v>
      </c>
      <c r="K753" s="17" t="str">
        <f>IFERROR(__xludf.DUMMYFUNCTION("""COMPUTED_VALUE"""),"Cookwell Bullet Mixer Grinder (5 Jars, 3 Blades, Silver)")</f>
        <v>Cookwell Bullet Mixer Grinder (5 Jars, 3 Blades, Silver)</v>
      </c>
      <c r="L753" s="17" t="str">
        <f>IFERROR(__xludf.DUMMYFUNCTION("""COMPUTED_VALUE"""),"Home&amp;Kitchen|Kitchen&amp;HomeAppliances|SmallKitchenAppliances|MixerGrinders")</f>
        <v>Home&amp;Kitchen|Kitchen&amp;HomeAppliances|SmallKitchenAppliances|MixerGrinders</v>
      </c>
      <c r="M753" s="23">
        <f>IFERROR(__xludf.DUMMYFUNCTION("""COMPUTED_VALUE"""),2464.0)</f>
        <v>2464</v>
      </c>
      <c r="N753" s="23">
        <f>IFERROR(__xludf.DUMMYFUNCTION("""COMPUTED_VALUE"""),6000.0)</f>
        <v>6000</v>
      </c>
      <c r="O753" s="24">
        <f>IFERROR(__xludf.DUMMYFUNCTION("""COMPUTED_VALUE"""),0.59)</f>
        <v>0.59</v>
      </c>
      <c r="P753" s="17">
        <f>IFERROR(__xludf.DUMMYFUNCTION("""COMPUTED_VALUE"""),4.1)</f>
        <v>4.1</v>
      </c>
      <c r="Q753" s="25">
        <f>IFERROR(__xludf.DUMMYFUNCTION("""COMPUTED_VALUE"""),8866.0)</f>
        <v>8866</v>
      </c>
    </row>
    <row r="754">
      <c r="A754" s="7" t="s">
        <v>802</v>
      </c>
      <c r="B754" s="7" t="s">
        <v>793</v>
      </c>
      <c r="C754" s="8">
        <v>570.0</v>
      </c>
      <c r="D754" s="8">
        <v>999.0</v>
      </c>
      <c r="E754" s="19">
        <v>0.43</v>
      </c>
      <c r="F754" s="10">
        <v>4.2</v>
      </c>
      <c r="G754" s="11">
        <v>3201.0</v>
      </c>
      <c r="K754" s="17" t="str">
        <f>IFERROR(__xludf.DUMMYFUNCTION("""COMPUTED_VALUE"""),"Swiffer Instant Electric Water Heater Faucet Tap Home-Kitchen Instantaneous Water Heater Tank less for Tap, LED Electric Head Water Heaters Tail Gallon Comfort(3000W) ((Pack of 1))")</f>
        <v>Swiffer Instant Electric Water Heater Faucet Tap Home-Kitchen Instantaneous Water Heater Tank less for Tap, LED Electric Head Water Heaters Tail Gallon Comfort(3000W) ((Pack of 1))</v>
      </c>
      <c r="L754" s="17" t="str">
        <f>IFERROR(__xludf.DUMMYFUNCTION("""COMPUTED_VALUE"""),"Home&amp;Kitchen|Heating,Cooling&amp;AirQuality|WaterHeaters&amp;Geysers|InstantWaterHeaters")</f>
        <v>Home&amp;Kitchen|Heating,Cooling&amp;AirQuality|WaterHeaters&amp;Geysers|InstantWaterHeaters</v>
      </c>
      <c r="M754" s="23">
        <f>IFERROR(__xludf.DUMMYFUNCTION("""COMPUTED_VALUE"""),1439.0)</f>
        <v>1439</v>
      </c>
      <c r="N754" s="23">
        <f>IFERROR(__xludf.DUMMYFUNCTION("""COMPUTED_VALUE"""),1999.0)</f>
        <v>1999</v>
      </c>
      <c r="O754" s="24">
        <f>IFERROR(__xludf.DUMMYFUNCTION("""COMPUTED_VALUE"""),0.28)</f>
        <v>0.28</v>
      </c>
      <c r="P754" s="17">
        <f>IFERROR(__xludf.DUMMYFUNCTION("""COMPUTED_VALUE"""),4.8)</f>
        <v>4.8</v>
      </c>
      <c r="Q754" s="25">
        <f>IFERROR(__xludf.DUMMYFUNCTION("""COMPUTED_VALUE"""),53803.0)</f>
        <v>53803</v>
      </c>
    </row>
    <row r="755">
      <c r="A755" s="7" t="s">
        <v>803</v>
      </c>
      <c r="B755" s="7" t="s">
        <v>804</v>
      </c>
      <c r="C755" s="8">
        <v>899.0</v>
      </c>
      <c r="D755" s="8">
        <v>1999.0</v>
      </c>
      <c r="E755" s="19">
        <v>0.55</v>
      </c>
      <c r="F755" s="10">
        <v>4.1</v>
      </c>
      <c r="G755" s="11">
        <v>30469.0</v>
      </c>
      <c r="K755" s="17" t="str">
        <f>IFERROR(__xludf.DUMMYFUNCTION("""COMPUTED_VALUE"""),"InstaCuppa Portable Blender for Smoothie, Milk Shakes, Crushing Ice and Juices, USB Rechargeable Personal Blender Machine for Kitchen with 4000 mAh Rechargeable Battery, 230 Watt Motor, 500 ML")</f>
        <v>InstaCuppa Portable Blender for Smoothie, Milk Shakes, Crushing Ice and Juices, USB Rechargeable Personal Blender Machine for Kitchen with 4000 mAh Rechargeable Battery, 230 Watt Motor, 500 ML</v>
      </c>
      <c r="L755" s="17" t="str">
        <f>IFERROR(__xludf.DUMMYFUNCTION("""COMPUTED_VALUE"""),"Home&amp;Kitchen|Kitchen&amp;HomeAppliances|SmallKitchenAppliances|HandBlenders")</f>
        <v>Home&amp;Kitchen|Kitchen&amp;HomeAppliances|SmallKitchenAppliances|HandBlenders</v>
      </c>
      <c r="M755" s="23">
        <f>IFERROR(__xludf.DUMMYFUNCTION("""COMPUTED_VALUE"""),2799.0)</f>
        <v>2799</v>
      </c>
      <c r="N755" s="23">
        <f>IFERROR(__xludf.DUMMYFUNCTION("""COMPUTED_VALUE"""),3499.0)</f>
        <v>3499</v>
      </c>
      <c r="O755" s="24">
        <f>IFERROR(__xludf.DUMMYFUNCTION("""COMPUTED_VALUE"""),0.2)</f>
        <v>0.2</v>
      </c>
      <c r="P755" s="17">
        <f>IFERROR(__xludf.DUMMYFUNCTION("""COMPUTED_VALUE"""),4.5)</f>
        <v>4.5</v>
      </c>
      <c r="Q755" s="17">
        <f>IFERROR(__xludf.DUMMYFUNCTION("""COMPUTED_VALUE"""),546.0)</f>
        <v>546</v>
      </c>
    </row>
    <row r="756">
      <c r="A756" s="7" t="s">
        <v>805</v>
      </c>
      <c r="B756" s="7" t="s">
        <v>806</v>
      </c>
      <c r="C756" s="8">
        <v>449.0</v>
      </c>
      <c r="D756" s="8">
        <v>999.0</v>
      </c>
      <c r="E756" s="19">
        <v>0.55</v>
      </c>
      <c r="F756" s="10">
        <v>4.4</v>
      </c>
      <c r="G756" s="11">
        <v>9940.0</v>
      </c>
      <c r="K756" s="17" t="str">
        <f>IFERROR(__xludf.DUMMYFUNCTION("""COMPUTED_VALUE"""),"Hindware Atlantic Compacto 3 Litre Instant water heater with Stainless Steel Tank, Robust Construction, Pressure Relief Valve And I-thermostat Feature (White And Grey)")</f>
        <v>Hindware Atlantic Compacto 3 Litre Instant water heater with Stainless Steel Tank, Robust Construction, Pressure Relief Valve And I-thermostat Feature (White And Grey)</v>
      </c>
      <c r="L756" s="17" t="str">
        <f>IFERROR(__xludf.DUMMYFUNCTION("""COMPUTED_VALUE"""),"Home&amp;Kitchen|Heating,Cooling&amp;AirQuality|WaterHeaters&amp;Geysers|InstantWaterHeaters")</f>
        <v>Home&amp;Kitchen|Heating,Cooling&amp;AirQuality|WaterHeaters&amp;Geysers|InstantWaterHeaters</v>
      </c>
      <c r="M756" s="23">
        <f>IFERROR(__xludf.DUMMYFUNCTION("""COMPUTED_VALUE"""),2399.0)</f>
        <v>2399</v>
      </c>
      <c r="N756" s="23">
        <f>IFERROR(__xludf.DUMMYFUNCTION("""COMPUTED_VALUE"""),4590.0)</f>
        <v>4590</v>
      </c>
      <c r="O756" s="24">
        <f>IFERROR(__xludf.DUMMYFUNCTION("""COMPUTED_VALUE"""),0.48)</f>
        <v>0.48</v>
      </c>
      <c r="P756" s="17">
        <f>IFERROR(__xludf.DUMMYFUNCTION("""COMPUTED_VALUE"""),4.1)</f>
        <v>4.1</v>
      </c>
      <c r="Q756" s="17">
        <f>IFERROR(__xludf.DUMMYFUNCTION("""COMPUTED_VALUE"""),444.0)</f>
        <v>444</v>
      </c>
    </row>
    <row r="757">
      <c r="A757" s="7" t="s">
        <v>807</v>
      </c>
      <c r="B757" s="7" t="s">
        <v>808</v>
      </c>
      <c r="C757" s="8">
        <v>549.0</v>
      </c>
      <c r="D757" s="8">
        <v>999.0</v>
      </c>
      <c r="E757" s="19">
        <v>0.45</v>
      </c>
      <c r="F757" s="10">
        <v>4.3</v>
      </c>
      <c r="G757" s="11">
        <v>7758.0</v>
      </c>
      <c r="K757" s="17" t="str">
        <f>IFERROR(__xludf.DUMMYFUNCTION("""COMPUTED_VALUE"""),"Crompton InstaBliss 3-L Instant Water Heater (Geyser) with Advanced 4 Level Safety")</f>
        <v>Crompton InstaBliss 3-L Instant Water Heater (Geyser) with Advanced 4 Level Safety</v>
      </c>
      <c r="L757" s="17" t="str">
        <f>IFERROR(__xludf.DUMMYFUNCTION("""COMPUTED_VALUE"""),"Home&amp;Kitchen|Heating,Cooling&amp;AirQuality|WaterHeaters&amp;Geysers|InstantWaterHeaters")</f>
        <v>Home&amp;Kitchen|Heating,Cooling&amp;AirQuality|WaterHeaters&amp;Geysers|InstantWaterHeaters</v>
      </c>
      <c r="M757" s="23">
        <f>IFERROR(__xludf.DUMMYFUNCTION("""COMPUTED_VALUE"""),2599.0)</f>
        <v>2599</v>
      </c>
      <c r="N757" s="23">
        <f>IFERROR(__xludf.DUMMYFUNCTION("""COMPUTED_VALUE"""),4400.0)</f>
        <v>4400</v>
      </c>
      <c r="O757" s="24">
        <f>IFERROR(__xludf.DUMMYFUNCTION("""COMPUTED_VALUE"""),0.41)</f>
        <v>0.41</v>
      </c>
      <c r="P757" s="17">
        <f>IFERROR(__xludf.DUMMYFUNCTION("""COMPUTED_VALUE"""),4.1)</f>
        <v>4.1</v>
      </c>
      <c r="Q757" s="25">
        <f>IFERROR(__xludf.DUMMYFUNCTION("""COMPUTED_VALUE"""),14947.0)</f>
        <v>14947</v>
      </c>
    </row>
    <row r="758">
      <c r="A758" s="7" t="s">
        <v>809</v>
      </c>
      <c r="B758" s="7" t="s">
        <v>709</v>
      </c>
      <c r="C758" s="8">
        <v>1529.0</v>
      </c>
      <c r="D758" s="8">
        <v>2399.0</v>
      </c>
      <c r="E758" s="19">
        <v>0.36</v>
      </c>
      <c r="F758" s="10">
        <v>4.3</v>
      </c>
      <c r="G758" s="11">
        <v>68409.0</v>
      </c>
      <c r="K758" s="17" t="str">
        <f>IFERROR(__xludf.DUMMYFUNCTION("""COMPUTED_VALUE"""),"Croma 1100 W Dry Iron with Weilburger Dual Soleplate Coating (CRSHAH702SIR11, White)")</f>
        <v>Croma 1100 W Dry Iron with Weilburger Dual Soleplate Coating (CRSHAH702SIR11, White)</v>
      </c>
      <c r="L758" s="17" t="str">
        <f>IFERROR(__xludf.DUMMYFUNCTION("""COMPUTED_VALUE"""),"Home&amp;Kitchen|Kitchen&amp;HomeAppliances|Vacuum,Cleaning&amp;Ironing|Irons,Steamers&amp;Accessories|Irons|DryIrons")</f>
        <v>Home&amp;Kitchen|Kitchen&amp;HomeAppliances|Vacuum,Cleaning&amp;Ironing|Irons,Steamers&amp;Accessories|Irons|DryIrons</v>
      </c>
      <c r="M758" s="23">
        <f>IFERROR(__xludf.DUMMYFUNCTION("""COMPUTED_VALUE"""),479.0)</f>
        <v>479</v>
      </c>
      <c r="N758" s="23">
        <f>IFERROR(__xludf.DUMMYFUNCTION("""COMPUTED_VALUE"""),1000.0)</f>
        <v>1000</v>
      </c>
      <c r="O758" s="24">
        <f>IFERROR(__xludf.DUMMYFUNCTION("""COMPUTED_VALUE"""),0.52)</f>
        <v>0.52</v>
      </c>
      <c r="P758" s="17">
        <f>IFERROR(__xludf.DUMMYFUNCTION("""COMPUTED_VALUE"""),4.2)</f>
        <v>4.2</v>
      </c>
      <c r="Q758" s="25">
        <f>IFERROR(__xludf.DUMMYFUNCTION("""COMPUTED_VALUE"""),1559.0)</f>
        <v>1559</v>
      </c>
    </row>
    <row r="759">
      <c r="A759" s="7" t="s">
        <v>810</v>
      </c>
      <c r="B759" s="7" t="s">
        <v>811</v>
      </c>
      <c r="C759" s="8">
        <v>100.0</v>
      </c>
      <c r="D759" s="8">
        <v>100.0</v>
      </c>
      <c r="E759" s="19">
        <v>0.0</v>
      </c>
      <c r="F759" s="10">
        <v>4.3</v>
      </c>
      <c r="G759" s="11">
        <v>3095.0</v>
      </c>
      <c r="K759" s="17" t="str">
        <f>IFERROR(__xludf.DUMMYFUNCTION("""COMPUTED_VALUE"""),"Lint Roller with 40 Paper Sheets, 22 x 5 cm (Grey)")</f>
        <v>Lint Roller with 40 Paper Sheets, 22 x 5 cm (Grey)</v>
      </c>
      <c r="L759" s="17" t="str">
        <f>IFERROR(__xludf.DUMMYFUNCTION("""COMPUTED_VALUE"""),"Home&amp;Kitchen|Kitchen&amp;HomeAppliances|Vacuum,Cleaning&amp;Ironing|Irons,Steamers&amp;Accessories|LintShavers")</f>
        <v>Home&amp;Kitchen|Kitchen&amp;HomeAppliances|Vacuum,Cleaning&amp;Ironing|Irons,Steamers&amp;Accessories|LintShavers</v>
      </c>
      <c r="M759" s="23">
        <f>IFERROR(__xludf.DUMMYFUNCTION("""COMPUTED_VALUE"""),245.0)</f>
        <v>245</v>
      </c>
      <c r="N759" s="23">
        <f>IFERROR(__xludf.DUMMYFUNCTION("""COMPUTED_VALUE"""),299.0)</f>
        <v>299</v>
      </c>
      <c r="O759" s="24">
        <f>IFERROR(__xludf.DUMMYFUNCTION("""COMPUTED_VALUE"""),0.18)</f>
        <v>0.18</v>
      </c>
      <c r="P759" s="17">
        <f>IFERROR(__xludf.DUMMYFUNCTION("""COMPUTED_VALUE"""),4.1)</f>
        <v>4.1</v>
      </c>
      <c r="Q759" s="25">
        <f>IFERROR(__xludf.DUMMYFUNCTION("""COMPUTED_VALUE"""),1660.0)</f>
        <v>1660</v>
      </c>
    </row>
    <row r="760">
      <c r="A760" s="7" t="s">
        <v>812</v>
      </c>
      <c r="B760" s="7" t="s">
        <v>635</v>
      </c>
      <c r="C760" s="8">
        <v>299.0</v>
      </c>
      <c r="D760" s="8">
        <v>1499.0</v>
      </c>
      <c r="E760" s="19">
        <v>0.8</v>
      </c>
      <c r="F760" s="10">
        <v>4.2</v>
      </c>
      <c r="G760" s="10">
        <v>903.0</v>
      </c>
      <c r="K760" s="17" t="str">
        <f>IFERROR(__xludf.DUMMYFUNCTION("""COMPUTED_VALUE"""),"atomberg Renesa 1200mm BLDC Motor with Remote 3 Blade Energy Saving Ceiling Fan (Matt Black)")</f>
        <v>atomberg Renesa 1200mm BLDC Motor with Remote 3 Blade Energy Saving Ceiling Fan (Matt Black)</v>
      </c>
      <c r="L760" s="17" t="str">
        <f>IFERROR(__xludf.DUMMYFUNCTION("""COMPUTED_VALUE"""),"Home&amp;Kitchen|Heating,Cooling&amp;AirQuality|Fans|CeilingFans")</f>
        <v>Home&amp;Kitchen|Heating,Cooling&amp;AirQuality|Fans|CeilingFans</v>
      </c>
      <c r="M760" s="23">
        <f>IFERROR(__xludf.DUMMYFUNCTION("""COMPUTED_VALUE"""),3569.0)</f>
        <v>3569</v>
      </c>
      <c r="N760" s="23">
        <f>IFERROR(__xludf.DUMMYFUNCTION("""COMPUTED_VALUE"""),5190.0)</f>
        <v>5190</v>
      </c>
      <c r="O760" s="24">
        <f>IFERROR(__xludf.DUMMYFUNCTION("""COMPUTED_VALUE"""),0.31)</f>
        <v>0.31</v>
      </c>
      <c r="P760" s="17">
        <f>IFERROR(__xludf.DUMMYFUNCTION("""COMPUTED_VALUE"""),4.3)</f>
        <v>4.3</v>
      </c>
      <c r="Q760" s="25">
        <f>IFERROR(__xludf.DUMMYFUNCTION("""COMPUTED_VALUE"""),28629.0)</f>
        <v>28629</v>
      </c>
    </row>
    <row r="761">
      <c r="A761" s="7" t="s">
        <v>813</v>
      </c>
      <c r="B761" s="7" t="s">
        <v>660</v>
      </c>
      <c r="C761" s="8">
        <v>1295.0</v>
      </c>
      <c r="D761" s="8">
        <v>1795.0</v>
      </c>
      <c r="E761" s="19">
        <v>0.28</v>
      </c>
      <c r="F761" s="10">
        <v>4.1</v>
      </c>
      <c r="G761" s="11">
        <v>25771.0</v>
      </c>
      <c r="K761" s="17" t="str">
        <f>IFERROR(__xludf.DUMMYFUNCTION("""COMPUTED_VALUE"""),"Usha CookJoy (CJ1600WPC) 1600 Watt Induction cooktop (Black)")</f>
        <v>Usha CookJoy (CJ1600WPC) 1600 Watt Induction cooktop (Black)</v>
      </c>
      <c r="L761" s="17" t="str">
        <f>IFERROR(__xludf.DUMMYFUNCTION("""COMPUTED_VALUE"""),"Home&amp;Kitchen|Kitchen&amp;HomeAppliances|SmallKitchenAppliances|InductionCooktop")</f>
        <v>Home&amp;Kitchen|Kitchen&amp;HomeAppliances|SmallKitchenAppliances|InductionCooktop</v>
      </c>
      <c r="M761" s="23">
        <f>IFERROR(__xludf.DUMMYFUNCTION("""COMPUTED_VALUE"""),2089.0)</f>
        <v>2089</v>
      </c>
      <c r="N761" s="23">
        <f>IFERROR(__xludf.DUMMYFUNCTION("""COMPUTED_VALUE"""),4000.0)</f>
        <v>4000</v>
      </c>
      <c r="O761" s="24">
        <f>IFERROR(__xludf.DUMMYFUNCTION("""COMPUTED_VALUE"""),0.48)</f>
        <v>0.48</v>
      </c>
      <c r="P761" s="17">
        <f>IFERROR(__xludf.DUMMYFUNCTION("""COMPUTED_VALUE"""),4.2)</f>
        <v>4.2</v>
      </c>
      <c r="Q761" s="25">
        <f>IFERROR(__xludf.DUMMYFUNCTION("""COMPUTED_VALUE"""),11199.0)</f>
        <v>11199</v>
      </c>
    </row>
    <row r="762">
      <c r="A762" s="7" t="s">
        <v>814</v>
      </c>
      <c r="B762" s="7" t="s">
        <v>393</v>
      </c>
      <c r="C762" s="8">
        <v>699.0</v>
      </c>
      <c r="D762" s="8">
        <v>999.0</v>
      </c>
      <c r="E762" s="19">
        <v>0.3</v>
      </c>
      <c r="F762" s="10">
        <v>4.1</v>
      </c>
      <c r="G762" s="7" t="s">
        <v>815</v>
      </c>
      <c r="K762" s="17" t="str">
        <f>IFERROR(__xludf.DUMMYFUNCTION("""COMPUTED_VALUE"""),"!!1000 Watt/2000-Watt Room Heater!! Fan Heater!!Pure White!!HN-2500!!Made in India!!")</f>
        <v>!!1000 Watt/2000-Watt Room Heater!! Fan Heater!!Pure White!!HN-2500!!Made in India!!</v>
      </c>
      <c r="L762" s="17" t="str">
        <f>IFERROR(__xludf.DUMMYFUNCTION("""COMPUTED_VALUE"""),"Home&amp;Kitchen|Heating,Cooling&amp;AirQuality|RoomHeaters|FanHeaters")</f>
        <v>Home&amp;Kitchen|Heating,Cooling&amp;AirQuality|RoomHeaters|FanHeaters</v>
      </c>
      <c r="M762" s="23">
        <f>IFERROR(__xludf.DUMMYFUNCTION("""COMPUTED_VALUE"""),784.0)</f>
        <v>784</v>
      </c>
      <c r="N762" s="23">
        <f>IFERROR(__xludf.DUMMYFUNCTION("""COMPUTED_VALUE"""),1599.0)</f>
        <v>1599</v>
      </c>
      <c r="O762" s="24">
        <f>IFERROR(__xludf.DUMMYFUNCTION("""COMPUTED_VALUE"""),0.51)</f>
        <v>0.51</v>
      </c>
      <c r="P762" s="17">
        <f>IFERROR(__xludf.DUMMYFUNCTION("""COMPUTED_VALUE"""),4.5)</f>
        <v>4.5</v>
      </c>
      <c r="Q762" s="17">
        <f>IFERROR(__xludf.DUMMYFUNCTION("""COMPUTED_VALUE"""),11.0)</f>
        <v>11</v>
      </c>
    </row>
    <row r="763">
      <c r="A763" s="7" t="s">
        <v>816</v>
      </c>
      <c r="B763" s="7" t="s">
        <v>817</v>
      </c>
      <c r="C763" s="8">
        <v>252.0</v>
      </c>
      <c r="D763" s="8">
        <v>315.0</v>
      </c>
      <c r="E763" s="19">
        <v>0.2</v>
      </c>
      <c r="F763" s="10">
        <v>4.5</v>
      </c>
      <c r="G763" s="11">
        <v>3785.0</v>
      </c>
      <c r="K763" s="17" t="str">
        <f>IFERROR(__xludf.DUMMYFUNCTION("""COMPUTED_VALUE"""),"Activa Heat-Max 2000 Watts Room Heater (White color ) with ABS body")</f>
        <v>Activa Heat-Max 2000 Watts Room Heater (White color ) with ABS body</v>
      </c>
      <c r="L763" s="17" t="str">
        <f>IFERROR(__xludf.DUMMYFUNCTION("""COMPUTED_VALUE"""),"Home&amp;Kitchen|Heating,Cooling&amp;AirQuality|RoomHeaters|FanHeaters")</f>
        <v>Home&amp;Kitchen|Heating,Cooling&amp;AirQuality|RoomHeaters|FanHeaters</v>
      </c>
      <c r="M763" s="23">
        <f>IFERROR(__xludf.DUMMYFUNCTION("""COMPUTED_VALUE"""),899.0)</f>
        <v>899</v>
      </c>
      <c r="N763" s="23">
        <f>IFERROR(__xludf.DUMMYFUNCTION("""COMPUTED_VALUE"""),1990.0)</f>
        <v>1990</v>
      </c>
      <c r="O763" s="24">
        <f>IFERROR(__xludf.DUMMYFUNCTION("""COMPUTED_VALUE"""),0.55)</f>
        <v>0.55</v>
      </c>
      <c r="P763" s="17">
        <f>IFERROR(__xludf.DUMMYFUNCTION("""COMPUTED_VALUE"""),4.1)</f>
        <v>4.1</v>
      </c>
      <c r="Q763" s="17">
        <f>IFERROR(__xludf.DUMMYFUNCTION("""COMPUTED_VALUE"""),185.0)</f>
        <v>185</v>
      </c>
    </row>
    <row r="764">
      <c r="A764" s="7" t="s">
        <v>818</v>
      </c>
      <c r="B764" s="7" t="s">
        <v>652</v>
      </c>
      <c r="C764" s="8">
        <v>190.0</v>
      </c>
      <c r="D764" s="8">
        <v>220.0</v>
      </c>
      <c r="E764" s="19">
        <v>0.14</v>
      </c>
      <c r="F764" s="10">
        <v>4.4</v>
      </c>
      <c r="G764" s="11">
        <v>2866.0</v>
      </c>
      <c r="K764" s="17" t="str">
        <f>IFERROR(__xludf.DUMMYFUNCTION("""COMPUTED_VALUE"""),"PHILIPS HL1655/00 Hand Blender, White Jar 250W")</f>
        <v>PHILIPS HL1655/00 Hand Blender, White Jar 250W</v>
      </c>
      <c r="L764" s="17" t="str">
        <f>IFERROR(__xludf.DUMMYFUNCTION("""COMPUTED_VALUE"""),"Home&amp;Kitchen|Kitchen&amp;HomeAppliances|SmallKitchenAppliances|HandBlenders")</f>
        <v>Home&amp;Kitchen|Kitchen&amp;HomeAppliances|SmallKitchenAppliances|HandBlenders</v>
      </c>
      <c r="M764" s="23">
        <f>IFERROR(__xludf.DUMMYFUNCTION("""COMPUTED_VALUE"""),1695.0)</f>
        <v>1695</v>
      </c>
      <c r="N764" s="23">
        <f>IFERROR(__xludf.DUMMYFUNCTION("""COMPUTED_VALUE"""),1695.0)</f>
        <v>1695</v>
      </c>
      <c r="O764" s="24">
        <f>IFERROR(__xludf.DUMMYFUNCTION("""COMPUTED_VALUE"""),0.0)</f>
        <v>0</v>
      </c>
      <c r="P764" s="17">
        <f>IFERROR(__xludf.DUMMYFUNCTION("""COMPUTED_VALUE"""),4.2)</f>
        <v>4.2</v>
      </c>
      <c r="Q764" s="25">
        <f>IFERROR(__xludf.DUMMYFUNCTION("""COMPUTED_VALUE"""),14290.0)</f>
        <v>14290</v>
      </c>
    </row>
    <row r="765">
      <c r="A765" s="7" t="s">
        <v>819</v>
      </c>
      <c r="B765" s="7" t="s">
        <v>660</v>
      </c>
      <c r="C765" s="8">
        <v>1299.0</v>
      </c>
      <c r="D765" s="8">
        <v>1599.0</v>
      </c>
      <c r="E765" s="19">
        <v>0.19</v>
      </c>
      <c r="F765" s="10">
        <v>4.3</v>
      </c>
      <c r="G765" s="11">
        <v>27223.0</v>
      </c>
      <c r="K765" s="17" t="str">
        <f>IFERROR(__xludf.DUMMYFUNCTION("""COMPUTED_VALUE"""),"Bajaj DX-2 600W Dry Iron with Advance Soleplate and Anti-Bacterial German Coating Technology, Grey")</f>
        <v>Bajaj DX-2 600W Dry Iron with Advance Soleplate and Anti-Bacterial German Coating Technology, Grey</v>
      </c>
      <c r="L765" s="17" t="str">
        <f>IFERROR(__xludf.DUMMYFUNCTION("""COMPUTED_VALUE"""),"Home&amp;Kitchen|Kitchen&amp;HomeAppliances|Vacuum,Cleaning&amp;Ironing|Irons,Steamers&amp;Accessories|Irons|DryIrons")</f>
        <v>Home&amp;Kitchen|Kitchen&amp;HomeAppliances|Vacuum,Cleaning&amp;Ironing|Irons,Steamers&amp;Accessories|Irons|DryIrons</v>
      </c>
      <c r="M765" s="23">
        <f>IFERROR(__xludf.DUMMYFUNCTION("""COMPUTED_VALUE"""),499.0)</f>
        <v>499</v>
      </c>
      <c r="N765" s="23">
        <f>IFERROR(__xludf.DUMMYFUNCTION("""COMPUTED_VALUE"""),940.0)</f>
        <v>940</v>
      </c>
      <c r="O765" s="24">
        <f>IFERROR(__xludf.DUMMYFUNCTION("""COMPUTED_VALUE"""),0.47)</f>
        <v>0.47</v>
      </c>
      <c r="P765" s="17">
        <f>IFERROR(__xludf.DUMMYFUNCTION("""COMPUTED_VALUE"""),4.1)</f>
        <v>4.1</v>
      </c>
      <c r="Q765" s="25">
        <f>IFERROR(__xludf.DUMMYFUNCTION("""COMPUTED_VALUE"""),3036.0)</f>
        <v>3036</v>
      </c>
    </row>
    <row r="766">
      <c r="A766" s="7" t="s">
        <v>820</v>
      </c>
      <c r="B766" s="7" t="s">
        <v>622</v>
      </c>
      <c r="C766" s="8">
        <v>729.0</v>
      </c>
      <c r="D766" s="8">
        <v>1650.0</v>
      </c>
      <c r="E766" s="19">
        <v>0.56</v>
      </c>
      <c r="F766" s="10">
        <v>4.3</v>
      </c>
      <c r="G766" s="11">
        <v>82356.0</v>
      </c>
      <c r="K766" s="17" t="str">
        <f>IFERROR(__xludf.DUMMYFUNCTION("""COMPUTED_VALUE"""),"V-Guard Zio Instant Water Geyser | 3 Litre | 3000 W Heating | White-Blue | | 2 Year Warranty")</f>
        <v>V-Guard Zio Instant Water Geyser | 3 Litre | 3000 W Heating | White-Blue | | 2 Year Warranty</v>
      </c>
      <c r="L766" s="17" t="str">
        <f>IFERROR(__xludf.DUMMYFUNCTION("""COMPUTED_VALUE"""),"Home&amp;Kitchen|Heating,Cooling&amp;AirQuality|WaterHeaters&amp;Geysers|InstantWaterHeaters")</f>
        <v>Home&amp;Kitchen|Heating,Cooling&amp;AirQuality|WaterHeaters&amp;Geysers|InstantWaterHeaters</v>
      </c>
      <c r="M766" s="23">
        <f>IFERROR(__xludf.DUMMYFUNCTION("""COMPUTED_VALUE"""),2699.0)</f>
        <v>2699</v>
      </c>
      <c r="N766" s="23">
        <f>IFERROR(__xludf.DUMMYFUNCTION("""COMPUTED_VALUE"""),4700.0)</f>
        <v>4700</v>
      </c>
      <c r="O766" s="24">
        <f>IFERROR(__xludf.DUMMYFUNCTION("""COMPUTED_VALUE"""),0.43)</f>
        <v>0.43</v>
      </c>
      <c r="P766" s="17">
        <f>IFERROR(__xludf.DUMMYFUNCTION("""COMPUTED_VALUE"""),4.2)</f>
        <v>4.2</v>
      </c>
      <c r="Q766" s="25">
        <f>IFERROR(__xludf.DUMMYFUNCTION("""COMPUTED_VALUE"""),1296.0)</f>
        <v>1296</v>
      </c>
    </row>
    <row r="767">
      <c r="A767" s="7" t="s">
        <v>821</v>
      </c>
      <c r="B767" s="7" t="s">
        <v>822</v>
      </c>
      <c r="C767" s="8">
        <v>480.0</v>
      </c>
      <c r="D767" s="8">
        <v>600.0</v>
      </c>
      <c r="E767" s="19">
        <v>0.2</v>
      </c>
      <c r="F767" s="10">
        <v>4.3</v>
      </c>
      <c r="G767" s="11">
        <v>5719.0</v>
      </c>
      <c r="K767" s="17" t="str">
        <f>IFERROR(__xludf.DUMMYFUNCTION("""COMPUTED_VALUE"""),"Homeistic Applience™ Instant Electric Water Heater Faucet Tap For Kitchen And Bathroom Sink Digital Water Heating Tap with Shower Head ABS Body- Shock Proof (Pack Of 1. White)")</f>
        <v>Homeistic Applience™ Instant Electric Water Heater Faucet Tap For Kitchen And Bathroom Sink Digital Water Heating Tap with Shower Head ABS Body- Shock Proof (Pack Of 1. White)</v>
      </c>
      <c r="L767" s="17" t="str">
        <f>IFERROR(__xludf.DUMMYFUNCTION("""COMPUTED_VALUE"""),"Home&amp;Kitchen|Heating,Cooling&amp;AirQuality|WaterHeaters&amp;Geysers|InstantWaterHeaters")</f>
        <v>Home&amp;Kitchen|Heating,Cooling&amp;AirQuality|WaterHeaters&amp;Geysers|InstantWaterHeaters</v>
      </c>
      <c r="M767" s="23">
        <f>IFERROR(__xludf.DUMMYFUNCTION("""COMPUTED_VALUE"""),1448.0)</f>
        <v>1448</v>
      </c>
      <c r="N767" s="23">
        <f>IFERROR(__xludf.DUMMYFUNCTION("""COMPUTED_VALUE"""),2999.0)</f>
        <v>2999</v>
      </c>
      <c r="O767" s="24">
        <f>IFERROR(__xludf.DUMMYFUNCTION("""COMPUTED_VALUE"""),0.52)</f>
        <v>0.52</v>
      </c>
      <c r="P767" s="17">
        <f>IFERROR(__xludf.DUMMYFUNCTION("""COMPUTED_VALUE"""),4.5)</f>
        <v>4.5</v>
      </c>
      <c r="Q767" s="17">
        <f>IFERROR(__xludf.DUMMYFUNCTION("""COMPUTED_VALUE"""),19.0)</f>
        <v>19</v>
      </c>
    </row>
    <row r="768">
      <c r="A768" s="7" t="s">
        <v>534</v>
      </c>
      <c r="B768" s="7" t="s">
        <v>373</v>
      </c>
      <c r="C768" s="8">
        <v>1799.0</v>
      </c>
      <c r="D768" s="8">
        <v>6990.0</v>
      </c>
      <c r="E768" s="19">
        <v>0.74</v>
      </c>
      <c r="F768" s="10">
        <v>4.0</v>
      </c>
      <c r="G768" s="11">
        <v>26880.0</v>
      </c>
      <c r="K768" s="17" t="str">
        <f>IFERROR(__xludf.DUMMYFUNCTION("""COMPUTED_VALUE"""),"Havells Instanio 10 Litre Storage Water Heater with Flexi Pipe and Free installation (White Blue)")</f>
        <v>Havells Instanio 10 Litre Storage Water Heater with Flexi Pipe and Free installation (White Blue)</v>
      </c>
      <c r="L768" s="17" t="str">
        <f>IFERROR(__xludf.DUMMYFUNCTION("""COMPUTED_VALUE"""),"Home&amp;Kitchen|Heating,Cooling&amp;AirQuality|WaterHeaters&amp;Geysers|StorageWaterHeaters")</f>
        <v>Home&amp;Kitchen|Heating,Cooling&amp;AirQuality|WaterHeaters&amp;Geysers|StorageWaterHeaters</v>
      </c>
      <c r="M768" s="23">
        <f>IFERROR(__xludf.DUMMYFUNCTION("""COMPUTED_VALUE"""),6990.0)</f>
        <v>6990</v>
      </c>
      <c r="N768" s="23">
        <f>IFERROR(__xludf.DUMMYFUNCTION("""COMPUTED_VALUE"""),14290.0)</f>
        <v>14290</v>
      </c>
      <c r="O768" s="24">
        <f>IFERROR(__xludf.DUMMYFUNCTION("""COMPUTED_VALUE"""),0.51)</f>
        <v>0.51</v>
      </c>
      <c r="P768" s="17">
        <f>IFERROR(__xludf.DUMMYFUNCTION("""COMPUTED_VALUE"""),4.4)</f>
        <v>4.4</v>
      </c>
      <c r="Q768" s="25">
        <f>IFERROR(__xludf.DUMMYFUNCTION("""COMPUTED_VALUE"""),1771.0)</f>
        <v>1771</v>
      </c>
    </row>
    <row r="769">
      <c r="A769" s="7" t="s">
        <v>823</v>
      </c>
      <c r="B769" s="7" t="s">
        <v>631</v>
      </c>
      <c r="C769" s="8">
        <v>999.0</v>
      </c>
      <c r="D769" s="8">
        <v>2499.0</v>
      </c>
      <c r="E769" s="19">
        <v>0.6</v>
      </c>
      <c r="F769" s="10">
        <v>4.3</v>
      </c>
      <c r="G769" s="11">
        <v>1690.0</v>
      </c>
      <c r="K769" s="17" t="str">
        <f>IFERROR(__xludf.DUMMYFUNCTION("""COMPUTED_VALUE"""),"Eureka Forbes Supervac 1600 Watts Powerful Suction,bagless Vacuum Cleaner with cyclonic Technology,7 Accessories,1 Year Warranty,Compact,Lightweight &amp; Easy to use (Red)")</f>
        <v>Eureka Forbes Supervac 1600 Watts Powerful Suction,bagless Vacuum Cleaner with cyclonic Technology,7 Accessories,1 Year Warranty,Compact,Lightweight &amp; Easy to use (Red)</v>
      </c>
      <c r="L769" s="17" t="str">
        <f>IFERROR(__xludf.DUMMYFUNCTION("""COMPUTED_VALUE"""),"Home&amp;Kitchen|Kitchen&amp;HomeAppliances|Vacuum,Cleaning&amp;Ironing|Vacuums&amp;FloorCare|Vacuums|CanisterVacuums")</f>
        <v>Home&amp;Kitchen|Kitchen&amp;HomeAppliances|Vacuum,Cleaning&amp;Ironing|Vacuums&amp;FloorCare|Vacuums|CanisterVacuums</v>
      </c>
      <c r="M769" s="23">
        <f>IFERROR(__xludf.DUMMYFUNCTION("""COMPUTED_VALUE"""),5999.0)</f>
        <v>5999</v>
      </c>
      <c r="N769" s="23">
        <f>IFERROR(__xludf.DUMMYFUNCTION("""COMPUTED_VALUE"""),9999.0)</f>
        <v>9999</v>
      </c>
      <c r="O769" s="24">
        <f>IFERROR(__xludf.DUMMYFUNCTION("""COMPUTED_VALUE"""),0.4)</f>
        <v>0.4</v>
      </c>
      <c r="P769" s="17">
        <f>IFERROR(__xludf.DUMMYFUNCTION("""COMPUTED_VALUE"""),4.2)</f>
        <v>4.2</v>
      </c>
      <c r="Q769" s="25">
        <f>IFERROR(__xludf.DUMMYFUNCTION("""COMPUTED_VALUE"""),1191.0)</f>
        <v>1191</v>
      </c>
    </row>
    <row r="770">
      <c r="A770" s="7" t="s">
        <v>48</v>
      </c>
      <c r="B770" s="7" t="s">
        <v>15</v>
      </c>
      <c r="C770" s="8">
        <v>299.0</v>
      </c>
      <c r="D770" s="8">
        <v>399.0</v>
      </c>
      <c r="E770" s="19">
        <v>0.25</v>
      </c>
      <c r="F770" s="10">
        <v>4.0</v>
      </c>
      <c r="G770" s="11">
        <v>2766.0</v>
      </c>
      <c r="K770" s="17" t="str">
        <f>IFERROR(__xludf.DUMMYFUNCTION("""COMPUTED_VALUE"""),"Mi Air Purifier 3 with True HEPA Filter, removes air pollutants, smoke, odor, bacteria &amp; viruses with 99.97% efficiency, coverage area up to 484 sq. ft., Wi-Fi &amp; Voice control - Alexa/GA (white)")</f>
        <v>Mi Air Purifier 3 with True HEPA Filter, removes air pollutants, smoke, odor, bacteria &amp; viruses with 99.97% efficiency, coverage area up to 484 sq. ft., Wi-Fi &amp; Voice control - Alexa/GA (white)</v>
      </c>
      <c r="L770" s="17" t="str">
        <f>IFERROR(__xludf.DUMMYFUNCTION("""COMPUTED_VALUE"""),"Home&amp;Kitchen|Heating,Cooling&amp;AirQuality|AirPurifiers|HEPAAirPurifiers")</f>
        <v>Home&amp;Kitchen|Heating,Cooling&amp;AirQuality|AirPurifiers|HEPAAirPurifiers</v>
      </c>
      <c r="M770" s="23">
        <f>IFERROR(__xludf.DUMMYFUNCTION("""COMPUTED_VALUE"""),9970.0)</f>
        <v>9970</v>
      </c>
      <c r="N770" s="23">
        <f>IFERROR(__xludf.DUMMYFUNCTION("""COMPUTED_VALUE"""),12999.0)</f>
        <v>12999</v>
      </c>
      <c r="O770" s="24">
        <f>IFERROR(__xludf.DUMMYFUNCTION("""COMPUTED_VALUE"""),0.23)</f>
        <v>0.23</v>
      </c>
      <c r="P770" s="17">
        <f>IFERROR(__xludf.DUMMYFUNCTION("""COMPUTED_VALUE"""),4.3)</f>
        <v>4.3</v>
      </c>
      <c r="Q770" s="25">
        <f>IFERROR(__xludf.DUMMYFUNCTION("""COMPUTED_VALUE"""),4049.0)</f>
        <v>4049</v>
      </c>
    </row>
    <row r="771">
      <c r="A771" s="7" t="s">
        <v>824</v>
      </c>
      <c r="B771" s="7" t="s">
        <v>825</v>
      </c>
      <c r="C771" s="8">
        <v>238.0</v>
      </c>
      <c r="D771" s="8">
        <v>699.0</v>
      </c>
      <c r="E771" s="19">
        <v>0.66</v>
      </c>
      <c r="F771" s="10">
        <v>4.4</v>
      </c>
      <c r="G771" s="11">
        <v>8372.0</v>
      </c>
      <c r="K771" s="17" t="str">
        <f>IFERROR(__xludf.DUMMYFUNCTION("""COMPUTED_VALUE"""),"Tata Swach Bulb 6000-Litre Cartridge, 1 Piece, White, Hollow Fiber Membrane")</f>
        <v>Tata Swach Bulb 6000-Litre Cartridge, 1 Piece, White, Hollow Fiber Membrane</v>
      </c>
      <c r="L771" s="17" t="str">
        <f>IFERROR(__xludf.DUMMYFUNCTION("""COMPUTED_VALUE"""),"Home&amp;Kitchen|Kitchen&amp;HomeAppliances|WaterPurifiers&amp;Accessories|WaterFilters&amp;Purifiers")</f>
        <v>Home&amp;Kitchen|Kitchen&amp;HomeAppliances|WaterPurifiers&amp;Accessories|WaterFilters&amp;Purifiers</v>
      </c>
      <c r="M771" s="23">
        <f>IFERROR(__xludf.DUMMYFUNCTION("""COMPUTED_VALUE"""),698.0)</f>
        <v>698</v>
      </c>
      <c r="N771" s="23">
        <f>IFERROR(__xludf.DUMMYFUNCTION("""COMPUTED_VALUE"""),699.0)</f>
        <v>699</v>
      </c>
      <c r="O771" s="24">
        <f>IFERROR(__xludf.DUMMYFUNCTION("""COMPUTED_VALUE"""),0.0)</f>
        <v>0</v>
      </c>
      <c r="P771" s="17">
        <f>IFERROR(__xludf.DUMMYFUNCTION("""COMPUTED_VALUE"""),4.2)</f>
        <v>4.2</v>
      </c>
      <c r="Q771" s="25">
        <f>IFERROR(__xludf.DUMMYFUNCTION("""COMPUTED_VALUE"""),3160.0)</f>
        <v>3160</v>
      </c>
    </row>
    <row r="772">
      <c r="A772" s="7" t="s">
        <v>826</v>
      </c>
      <c r="B772" s="7" t="s">
        <v>660</v>
      </c>
      <c r="C772" s="8">
        <v>1349.0</v>
      </c>
      <c r="D772" s="8">
        <v>2198.0</v>
      </c>
      <c r="E772" s="19">
        <v>0.39</v>
      </c>
      <c r="F772" s="10">
        <v>4.0</v>
      </c>
      <c r="G772" s="11">
        <v>7113.0</v>
      </c>
      <c r="K772" s="17" t="str">
        <f>IFERROR(__xludf.DUMMYFUNCTION("""COMPUTED_VALUE"""),"Havells Ambrose 1200mm Ceiling Fan (Gold Mist Wood)")</f>
        <v>Havells Ambrose 1200mm Ceiling Fan (Gold Mist Wood)</v>
      </c>
      <c r="L772" s="17" t="str">
        <f>IFERROR(__xludf.DUMMYFUNCTION("""COMPUTED_VALUE"""),"Home&amp;Kitchen|Heating,Cooling&amp;AirQuality|Fans|CeilingFans")</f>
        <v>Home&amp;Kitchen|Heating,Cooling&amp;AirQuality|Fans|CeilingFans</v>
      </c>
      <c r="M772" s="23">
        <f>IFERROR(__xludf.DUMMYFUNCTION("""COMPUTED_VALUE"""),2199.0)</f>
        <v>2199</v>
      </c>
      <c r="N772" s="23">
        <f>IFERROR(__xludf.DUMMYFUNCTION("""COMPUTED_VALUE"""),3190.0)</f>
        <v>3190</v>
      </c>
      <c r="O772" s="24">
        <f>IFERROR(__xludf.DUMMYFUNCTION("""COMPUTED_VALUE"""),0.31)</f>
        <v>0.31</v>
      </c>
      <c r="P772" s="17">
        <f>IFERROR(__xludf.DUMMYFUNCTION("""COMPUTED_VALUE"""),4.3)</f>
        <v>4.3</v>
      </c>
      <c r="Q772" s="25">
        <f>IFERROR(__xludf.DUMMYFUNCTION("""COMPUTED_VALUE"""),9650.0)</f>
        <v>9650</v>
      </c>
    </row>
    <row r="773">
      <c r="A773" s="7" t="s">
        <v>50</v>
      </c>
      <c r="B773" s="7" t="s">
        <v>15</v>
      </c>
      <c r="C773" s="8">
        <v>299.0</v>
      </c>
      <c r="D773" s="8">
        <v>999.0</v>
      </c>
      <c r="E773" s="19">
        <v>0.7</v>
      </c>
      <c r="F773" s="10">
        <v>4.3</v>
      </c>
      <c r="G773" s="11">
        <v>20850.0</v>
      </c>
      <c r="K773" s="17" t="str">
        <f>IFERROR(__xludf.DUMMYFUNCTION("""COMPUTED_VALUE"""),"PrettyKrafts Laundry Bag / Basket for Dirty Clothes, Folding Round Laundry Bag,Set of 2, Black Wave")</f>
        <v>PrettyKrafts Laundry Bag / Basket for Dirty Clothes, Folding Round Laundry Bag,Set of 2, Black Wave</v>
      </c>
      <c r="L773" s="17" t="str">
        <f>IFERROR(__xludf.DUMMYFUNCTION("""COMPUTED_VALUE"""),"Home&amp;Kitchen|HomeStorage&amp;Organization|LaundryOrganization|LaundryBags")</f>
        <v>Home&amp;Kitchen|HomeStorage&amp;Organization|LaundryOrganization|LaundryBags</v>
      </c>
      <c r="M773" s="23">
        <f>IFERROR(__xludf.DUMMYFUNCTION("""COMPUTED_VALUE"""),320.0)</f>
        <v>320</v>
      </c>
      <c r="N773" s="23">
        <f>IFERROR(__xludf.DUMMYFUNCTION("""COMPUTED_VALUE"""),799.0)</f>
        <v>799</v>
      </c>
      <c r="O773" s="24">
        <f>IFERROR(__xludf.DUMMYFUNCTION("""COMPUTED_VALUE"""),0.6)</f>
        <v>0.6</v>
      </c>
      <c r="P773" s="17">
        <f>IFERROR(__xludf.DUMMYFUNCTION("""COMPUTED_VALUE"""),4.2)</f>
        <v>4.2</v>
      </c>
      <c r="Q773" s="25">
        <f>IFERROR(__xludf.DUMMYFUNCTION("""COMPUTED_VALUE"""),3846.0)</f>
        <v>3846</v>
      </c>
    </row>
    <row r="774">
      <c r="A774" s="7" t="s">
        <v>827</v>
      </c>
      <c r="B774" s="7" t="s">
        <v>798</v>
      </c>
      <c r="C774" s="8">
        <v>199.0</v>
      </c>
      <c r="D774" s="8">
        <v>499.0</v>
      </c>
      <c r="E774" s="19">
        <v>0.6</v>
      </c>
      <c r="F774" s="10">
        <v>3.3</v>
      </c>
      <c r="G774" s="11">
        <v>2804.0</v>
      </c>
      <c r="K774" s="17" t="str">
        <f>IFERROR(__xludf.DUMMYFUNCTION("""COMPUTED_VALUE"""),"FABWARE Lint Remover for Clothes - Sticky Lint Roller for Clothes, Furniture, Wool, Coat, Car Seats, Carpet, Fabric, Dust Cleaner, Pet Hair Remover with 1 Handle &amp; 1 Refill Total 60 Sheets &amp; 1 Cover")</f>
        <v>FABWARE Lint Remover for Clothes - Sticky Lint Roller for Clothes, Furniture, Wool, Coat, Car Seats, Carpet, Fabric, Dust Cleaner, Pet Hair Remover with 1 Handle &amp; 1 Refill Total 60 Sheets &amp; 1 Cover</v>
      </c>
      <c r="L774" s="17" t="str">
        <f>IFERROR(__xludf.DUMMYFUNCTION("""COMPUTED_VALUE"""),"Home&amp;Kitchen|Kitchen&amp;HomeAppliances|Vacuum,Cleaning&amp;Ironing|Irons,Steamers&amp;Accessories|LintShavers")</f>
        <v>Home&amp;Kitchen|Kitchen&amp;HomeAppliances|Vacuum,Cleaning&amp;Ironing|Irons,Steamers&amp;Accessories|LintShavers</v>
      </c>
      <c r="M774" s="23">
        <f>IFERROR(__xludf.DUMMYFUNCTION("""COMPUTED_VALUE"""),298.0)</f>
        <v>298</v>
      </c>
      <c r="N774" s="23">
        <f>IFERROR(__xludf.DUMMYFUNCTION("""COMPUTED_VALUE"""),499.0)</f>
        <v>499</v>
      </c>
      <c r="O774" s="24">
        <f>IFERROR(__xludf.DUMMYFUNCTION("""COMPUTED_VALUE"""),0.4)</f>
        <v>0.4</v>
      </c>
      <c r="P774" s="17">
        <f>IFERROR(__xludf.DUMMYFUNCTION("""COMPUTED_VALUE"""),4.4)</f>
        <v>4.4</v>
      </c>
      <c r="Q774" s="17">
        <f>IFERROR(__xludf.DUMMYFUNCTION("""COMPUTED_VALUE"""),290.0)</f>
        <v>290</v>
      </c>
    </row>
    <row r="775">
      <c r="A775" s="7" t="s">
        <v>828</v>
      </c>
      <c r="B775" s="7" t="s">
        <v>393</v>
      </c>
      <c r="C775" s="8">
        <v>1999.0</v>
      </c>
      <c r="D775" s="8">
        <v>9999.0</v>
      </c>
      <c r="E775" s="19">
        <v>0.8</v>
      </c>
      <c r="F775" s="10">
        <v>3.7</v>
      </c>
      <c r="G775" s="11">
        <v>1986.0</v>
      </c>
      <c r="K775" s="17" t="str">
        <f>IFERROR(__xludf.DUMMYFUNCTION("""COMPUTED_VALUE"""),"Bajaj Frore 1200 mm Ceiling Fan (Brown)")</f>
        <v>Bajaj Frore 1200 mm Ceiling Fan (Brown)</v>
      </c>
      <c r="L775" s="17" t="str">
        <f>IFERROR(__xludf.DUMMYFUNCTION("""COMPUTED_VALUE"""),"Home&amp;Kitchen|Heating,Cooling&amp;AirQuality|Fans|CeilingFans")</f>
        <v>Home&amp;Kitchen|Heating,Cooling&amp;AirQuality|Fans|CeilingFans</v>
      </c>
      <c r="M775" s="23">
        <f>IFERROR(__xludf.DUMMYFUNCTION("""COMPUTED_VALUE"""),1399.0)</f>
        <v>1399</v>
      </c>
      <c r="N775" s="23">
        <f>IFERROR(__xludf.DUMMYFUNCTION("""COMPUTED_VALUE"""),2660.0)</f>
        <v>2660</v>
      </c>
      <c r="O775" s="24">
        <f>IFERROR(__xludf.DUMMYFUNCTION("""COMPUTED_VALUE"""),0.47)</f>
        <v>0.47</v>
      </c>
      <c r="P775" s="17">
        <f>IFERROR(__xludf.DUMMYFUNCTION("""COMPUTED_VALUE"""),4.1)</f>
        <v>4.1</v>
      </c>
      <c r="Q775" s="25">
        <f>IFERROR(__xludf.DUMMYFUNCTION("""COMPUTED_VALUE"""),9349.0)</f>
        <v>9349</v>
      </c>
    </row>
    <row r="776">
      <c r="A776" s="7" t="s">
        <v>829</v>
      </c>
      <c r="B776" s="7" t="s">
        <v>450</v>
      </c>
      <c r="C776" s="8">
        <v>99.0</v>
      </c>
      <c r="D776" s="8">
        <v>499.0</v>
      </c>
      <c r="E776" s="19">
        <v>0.8</v>
      </c>
      <c r="F776" s="10">
        <v>4.1</v>
      </c>
      <c r="G776" s="11">
        <v>2451.0</v>
      </c>
      <c r="K776" s="17" t="str">
        <f>IFERROR(__xludf.DUMMYFUNCTION("""COMPUTED_VALUE"""),"Bajaj ATX 4 750-Watt Pop-up Toaster (White)")</f>
        <v>Bajaj ATX 4 750-Watt Pop-up Toaster (White)</v>
      </c>
      <c r="L776" s="17" t="str">
        <f>IFERROR(__xludf.DUMMYFUNCTION("""COMPUTED_VALUE"""),"Home&amp;Kitchen|Kitchen&amp;HomeAppliances|SmallKitchenAppliances|Pop-upToasters")</f>
        <v>Home&amp;Kitchen|Kitchen&amp;HomeAppliances|SmallKitchenAppliances|Pop-upToasters</v>
      </c>
      <c r="M776" s="23">
        <f>IFERROR(__xludf.DUMMYFUNCTION("""COMPUTED_VALUE"""),1499.0)</f>
        <v>1499</v>
      </c>
      <c r="N776" s="23">
        <f>IFERROR(__xludf.DUMMYFUNCTION("""COMPUTED_VALUE"""),1499.0)</f>
        <v>1499</v>
      </c>
      <c r="O776" s="24">
        <f>IFERROR(__xludf.DUMMYFUNCTION("""COMPUTED_VALUE"""),0.0)</f>
        <v>0</v>
      </c>
      <c r="P776" s="17">
        <f>IFERROR(__xludf.DUMMYFUNCTION("""COMPUTED_VALUE"""),4.3)</f>
        <v>4.3</v>
      </c>
      <c r="Q776" s="25">
        <f>IFERROR(__xludf.DUMMYFUNCTION("""COMPUTED_VALUE"""),9331.0)</f>
        <v>9331</v>
      </c>
    </row>
    <row r="777">
      <c r="A777" s="7" t="s">
        <v>830</v>
      </c>
      <c r="B777" s="7" t="s">
        <v>625</v>
      </c>
      <c r="C777" s="8">
        <v>499.0</v>
      </c>
      <c r="D777" s="8">
        <v>1000.0</v>
      </c>
      <c r="E777" s="19">
        <v>0.5</v>
      </c>
      <c r="F777" s="10">
        <v>5.0</v>
      </c>
      <c r="G777" s="10">
        <v>23.0</v>
      </c>
      <c r="K777" s="17" t="str">
        <f>IFERROR(__xludf.DUMMYFUNCTION("""COMPUTED_VALUE"""),"Coway Professional Air Purifier for Home, Longest Filter Life 8500 Hrs, Green True HEPA Filter, Traps 99.99% Virus &amp; PM 0.1 Particles, Warranty 7 Years (AirMega 150 (AP-1019C))")</f>
        <v>Coway Professional Air Purifier for Home, Longest Filter Life 8500 Hrs, Green True HEPA Filter, Traps 99.99% Virus &amp; PM 0.1 Particles, Warranty 7 Years (AirMega 150 (AP-1019C))</v>
      </c>
      <c r="L777" s="17" t="str">
        <f>IFERROR(__xludf.DUMMYFUNCTION("""COMPUTED_VALUE"""),"Home&amp;Kitchen|Heating,Cooling&amp;AirQuality|AirPurifiers|HEPAAirPurifiers")</f>
        <v>Home&amp;Kitchen|Heating,Cooling&amp;AirQuality|AirPurifiers|HEPAAirPurifiers</v>
      </c>
      <c r="M777" s="23">
        <f>IFERROR(__xludf.DUMMYFUNCTION("""COMPUTED_VALUE"""),14400.0)</f>
        <v>14400</v>
      </c>
      <c r="N777" s="23">
        <f>IFERROR(__xludf.DUMMYFUNCTION("""COMPUTED_VALUE"""),59900.0)</f>
        <v>59900</v>
      </c>
      <c r="O777" s="24">
        <f>IFERROR(__xludf.DUMMYFUNCTION("""COMPUTED_VALUE"""),0.76)</f>
        <v>0.76</v>
      </c>
      <c r="P777" s="17">
        <f>IFERROR(__xludf.DUMMYFUNCTION("""COMPUTED_VALUE"""),4.4)</f>
        <v>4.4</v>
      </c>
      <c r="Q777" s="25">
        <f>IFERROR(__xludf.DUMMYFUNCTION("""COMPUTED_VALUE"""),3837.0)</f>
        <v>3837</v>
      </c>
    </row>
    <row r="778">
      <c r="A778" s="7" t="s">
        <v>831</v>
      </c>
      <c r="B778" s="7" t="s">
        <v>832</v>
      </c>
      <c r="C778" s="8">
        <v>1792.0</v>
      </c>
      <c r="D778" s="8">
        <v>3500.0</v>
      </c>
      <c r="E778" s="19">
        <v>0.49</v>
      </c>
      <c r="F778" s="10">
        <v>4.5</v>
      </c>
      <c r="G778" s="11">
        <v>26194.0</v>
      </c>
      <c r="K778" s="17" t="str">
        <f>IFERROR(__xludf.DUMMYFUNCTION("""COMPUTED_VALUE"""),"Heart Home Waterproof Round Non Wovan Laundry Bag/Hamper|Metalic Printed With Handles|Foldable Bin &amp; 45 Liter Capicity|Size 37 x 37 x 49, Pack of 1 (Grey &amp; Black)-HEARTXY11447")</f>
        <v>Heart Home Waterproof Round Non Wovan Laundry Bag/Hamper|Metalic Printed With Handles|Foldable Bin &amp; 45 Liter Capicity|Size 37 x 37 x 49, Pack of 1 (Grey &amp; Black)-HEARTXY11447</v>
      </c>
      <c r="L778" s="17" t="str">
        <f>IFERROR(__xludf.DUMMYFUNCTION("""COMPUTED_VALUE"""),"Home&amp;Kitchen|HomeStorage&amp;Organization|LaundryOrganization|LaundryBaskets")</f>
        <v>Home&amp;Kitchen|HomeStorage&amp;Organization|LaundryOrganization|LaundryBaskets</v>
      </c>
      <c r="M778" s="23">
        <f>IFERROR(__xludf.DUMMYFUNCTION("""COMPUTED_VALUE"""),199.0)</f>
        <v>199</v>
      </c>
      <c r="N778" s="23">
        <f>IFERROR(__xludf.DUMMYFUNCTION("""COMPUTED_VALUE"""),499.0)</f>
        <v>499</v>
      </c>
      <c r="O778" s="24">
        <f>IFERROR(__xludf.DUMMYFUNCTION("""COMPUTED_VALUE"""),0.6)</f>
        <v>0.6</v>
      </c>
      <c r="P778" s="17">
        <f>IFERROR(__xludf.DUMMYFUNCTION("""COMPUTED_VALUE"""),4.1)</f>
        <v>4.1</v>
      </c>
      <c r="Q778" s="25">
        <f>IFERROR(__xludf.DUMMYFUNCTION("""COMPUTED_VALUE"""),1996.0)</f>
        <v>1996</v>
      </c>
    </row>
    <row r="779">
      <c r="A779" s="7" t="s">
        <v>833</v>
      </c>
      <c r="B779" s="7" t="s">
        <v>834</v>
      </c>
      <c r="C779" s="8">
        <v>3299.0</v>
      </c>
      <c r="D779" s="8">
        <v>4100.0</v>
      </c>
      <c r="E779" s="19">
        <v>0.2</v>
      </c>
      <c r="F779" s="10">
        <v>3.9</v>
      </c>
      <c r="G779" s="11">
        <v>15783.0</v>
      </c>
      <c r="K779" s="17" t="str">
        <f>IFERROR(__xludf.DUMMYFUNCTION("""COMPUTED_VALUE"""),"MILTON Smart Egg Boiler 360-Watts (Transparent and Silver Grey), Boil Up to 7 Eggs")</f>
        <v>MILTON Smart Egg Boiler 360-Watts (Transparent and Silver Grey), Boil Up to 7 Eggs</v>
      </c>
      <c r="L779" s="17" t="str">
        <f>IFERROR(__xludf.DUMMYFUNCTION("""COMPUTED_VALUE"""),"Home&amp;Kitchen|Kitchen&amp;HomeAppliances|SmallKitchenAppliances|EggBoilers")</f>
        <v>Home&amp;Kitchen|Kitchen&amp;HomeAppliances|SmallKitchenAppliances|EggBoilers</v>
      </c>
      <c r="M779" s="23">
        <f>IFERROR(__xludf.DUMMYFUNCTION("""COMPUTED_VALUE"""),1099.0)</f>
        <v>1099</v>
      </c>
      <c r="N779" s="23">
        <f>IFERROR(__xludf.DUMMYFUNCTION("""COMPUTED_VALUE"""),1899.0)</f>
        <v>1899</v>
      </c>
      <c r="O779" s="24">
        <f>IFERROR(__xludf.DUMMYFUNCTION("""COMPUTED_VALUE"""),0.42)</f>
        <v>0.42</v>
      </c>
      <c r="P779" s="17">
        <f>IFERROR(__xludf.DUMMYFUNCTION("""COMPUTED_VALUE"""),4.3)</f>
        <v>4.3</v>
      </c>
      <c r="Q779" s="25">
        <f>IFERROR(__xludf.DUMMYFUNCTION("""COMPUTED_VALUE"""),1811.0)</f>
        <v>1811</v>
      </c>
    </row>
    <row r="780">
      <c r="A780" s="7" t="s">
        <v>835</v>
      </c>
      <c r="B780" s="7" t="s">
        <v>817</v>
      </c>
      <c r="C780" s="8">
        <v>125.0</v>
      </c>
      <c r="D780" s="8">
        <v>180.0</v>
      </c>
      <c r="E780" s="19">
        <v>0.31</v>
      </c>
      <c r="F780" s="10">
        <v>4.4</v>
      </c>
      <c r="G780" s="11">
        <v>8053.0</v>
      </c>
      <c r="K780" s="17" t="str">
        <f>IFERROR(__xludf.DUMMYFUNCTION("""COMPUTED_VALUE"""),"V-Guard Divino 5 Star Rated 15 Litre Storage Water Heater (Geyser) with Advanced Safety Features, White")</f>
        <v>V-Guard Divino 5 Star Rated 15 Litre Storage Water Heater (Geyser) with Advanced Safety Features, White</v>
      </c>
      <c r="L780" s="17" t="str">
        <f>IFERROR(__xludf.DUMMYFUNCTION("""COMPUTED_VALUE"""),"Home&amp;Kitchen|Heating,Cooling&amp;AirQuality|WaterHeaters&amp;Geysers|StorageWaterHeaters")</f>
        <v>Home&amp;Kitchen|Heating,Cooling&amp;AirQuality|WaterHeaters&amp;Geysers|StorageWaterHeaters</v>
      </c>
      <c r="M780" s="23">
        <f>IFERROR(__xludf.DUMMYFUNCTION("""COMPUTED_VALUE"""),6499.0)</f>
        <v>6499</v>
      </c>
      <c r="N780" s="23">
        <f>IFERROR(__xludf.DUMMYFUNCTION("""COMPUTED_VALUE"""),8500.0)</f>
        <v>8500</v>
      </c>
      <c r="O780" s="24">
        <f>IFERROR(__xludf.DUMMYFUNCTION("""COMPUTED_VALUE"""),0.24)</f>
        <v>0.24</v>
      </c>
      <c r="P780" s="17">
        <f>IFERROR(__xludf.DUMMYFUNCTION("""COMPUTED_VALUE"""),4.4)</f>
        <v>4.4</v>
      </c>
      <c r="Q780" s="25">
        <f>IFERROR(__xludf.DUMMYFUNCTION("""COMPUTED_VALUE"""),5865.0)</f>
        <v>5865</v>
      </c>
    </row>
    <row r="781">
      <c r="A781" s="7" t="s">
        <v>836</v>
      </c>
      <c r="B781" s="7" t="s">
        <v>625</v>
      </c>
      <c r="C781" s="8">
        <v>399.0</v>
      </c>
      <c r="D781" s="8">
        <v>1190.0</v>
      </c>
      <c r="E781" s="19">
        <v>0.66</v>
      </c>
      <c r="F781" s="10">
        <v>4.1</v>
      </c>
      <c r="G781" s="11">
        <v>2809.0</v>
      </c>
      <c r="K781" s="17" t="str">
        <f>IFERROR(__xludf.DUMMYFUNCTION("""COMPUTED_VALUE"""),"Morphy Richards Icon Superb 750W Mixer Grinder, 4 Jars, Silver and Black")</f>
        <v>Morphy Richards Icon Superb 750W Mixer Grinder, 4 Jars, Silver and Black</v>
      </c>
      <c r="L781" s="17" t="str">
        <f>IFERROR(__xludf.DUMMYFUNCTION("""COMPUTED_VALUE"""),"Home&amp;Kitchen|Kitchen&amp;HomeAppliances|SmallKitchenAppliances|MixerGrinders")</f>
        <v>Home&amp;Kitchen|Kitchen&amp;HomeAppliances|SmallKitchenAppliances|MixerGrinders</v>
      </c>
      <c r="M781" s="23">
        <f>IFERROR(__xludf.DUMMYFUNCTION("""COMPUTED_VALUE"""),3249.0)</f>
        <v>3249</v>
      </c>
      <c r="N781" s="23">
        <f>IFERROR(__xludf.DUMMYFUNCTION("""COMPUTED_VALUE"""),7795.0)</f>
        <v>7795</v>
      </c>
      <c r="O781" s="24">
        <f>IFERROR(__xludf.DUMMYFUNCTION("""COMPUTED_VALUE"""),0.58)</f>
        <v>0.58</v>
      </c>
      <c r="P781" s="17">
        <f>IFERROR(__xludf.DUMMYFUNCTION("""COMPUTED_VALUE"""),4.2)</f>
        <v>4.2</v>
      </c>
      <c r="Q781" s="25">
        <f>IFERROR(__xludf.DUMMYFUNCTION("""COMPUTED_VALUE"""),4664.0)</f>
        <v>4664</v>
      </c>
    </row>
    <row r="782">
      <c r="A782" s="7" t="s">
        <v>837</v>
      </c>
      <c r="B782" s="7" t="s">
        <v>393</v>
      </c>
      <c r="C782" s="8">
        <v>1199.0</v>
      </c>
      <c r="D782" s="8">
        <v>7999.0</v>
      </c>
      <c r="E782" s="19">
        <v>0.85</v>
      </c>
      <c r="F782" s="10">
        <v>3.6</v>
      </c>
      <c r="G782" s="11">
        <v>25910.0</v>
      </c>
      <c r="K782" s="17" t="str">
        <f>IFERROR(__xludf.DUMMYFUNCTION("""COMPUTED_VALUE"""),"Vedini Transparent Empty Refillable Reusable Fine Mist Spray Bottle for Perfume, Travel with DIY Sticker Set ( 100ml, Pack of 4)")</f>
        <v>Vedini Transparent Empty Refillable Reusable Fine Mist Spray Bottle for Perfume, Travel with DIY Sticker Set ( 100ml, Pack of 4)</v>
      </c>
      <c r="L782" s="17" t="str">
        <f>IFERROR(__xludf.DUMMYFUNCTION("""COMPUTED_VALUE"""),"Home&amp;Kitchen|HomeStorage&amp;Organization|LaundryOrganization|IroningAccessories|SprayBottles")</f>
        <v>Home&amp;Kitchen|HomeStorage&amp;Organization|LaundryOrganization|IroningAccessories|SprayBottles</v>
      </c>
      <c r="M782" s="23">
        <f>IFERROR(__xludf.DUMMYFUNCTION("""COMPUTED_VALUE"""),189.0)</f>
        <v>189</v>
      </c>
      <c r="N782" s="23">
        <f>IFERROR(__xludf.DUMMYFUNCTION("""COMPUTED_VALUE"""),299.0)</f>
        <v>299</v>
      </c>
      <c r="O782" s="24">
        <f>IFERROR(__xludf.DUMMYFUNCTION("""COMPUTED_VALUE"""),0.37)</f>
        <v>0.37</v>
      </c>
      <c r="P782" s="17">
        <f>IFERROR(__xludf.DUMMYFUNCTION("""COMPUTED_VALUE"""),4.2)</f>
        <v>4.2</v>
      </c>
      <c r="Q782" s="25">
        <f>IFERROR(__xludf.DUMMYFUNCTION("""COMPUTED_VALUE"""),2737.0)</f>
        <v>2737</v>
      </c>
    </row>
    <row r="783">
      <c r="A783" s="7" t="s">
        <v>838</v>
      </c>
      <c r="B783" s="7" t="s">
        <v>627</v>
      </c>
      <c r="C783" s="8">
        <v>235.0</v>
      </c>
      <c r="D783" s="8">
        <v>1599.0</v>
      </c>
      <c r="E783" s="19">
        <v>0.85</v>
      </c>
      <c r="F783" s="10">
        <v>3.8</v>
      </c>
      <c r="G783" s="11">
        <v>1173.0</v>
      </c>
      <c r="K783" s="17" t="str">
        <f>IFERROR(__xludf.DUMMYFUNCTION("""COMPUTED_VALUE"""),"JM SELLER 180 W 2021 Edition Electric Beater High Speed Hand Mixer Egg Beater for Cake Making and Whipping Cream with 7 Speed Control (White) with Free Spatula and Oil Brush")</f>
        <v>JM SELLER 180 W 2021 Edition Electric Beater High Speed Hand Mixer Egg Beater for Cake Making and Whipping Cream with 7 Speed Control (White) with Free Spatula and Oil Brush</v>
      </c>
      <c r="L783" s="17" t="str">
        <f>IFERROR(__xludf.DUMMYFUNCTION("""COMPUTED_VALUE"""),"Home&amp;Kitchen|Kitchen&amp;HomeAppliances|SmallKitchenAppliances|HandMixers")</f>
        <v>Home&amp;Kitchen|Kitchen&amp;HomeAppliances|SmallKitchenAppliances|HandMixers</v>
      </c>
      <c r="M783" s="23">
        <f>IFERROR(__xludf.DUMMYFUNCTION("""COMPUTED_VALUE"""),474.0)</f>
        <v>474</v>
      </c>
      <c r="N783" s="23">
        <f>IFERROR(__xludf.DUMMYFUNCTION("""COMPUTED_VALUE"""),1299.0)</f>
        <v>1299</v>
      </c>
      <c r="O783" s="24">
        <f>IFERROR(__xludf.DUMMYFUNCTION("""COMPUTED_VALUE"""),0.64)</f>
        <v>0.64</v>
      </c>
      <c r="P783" s="17">
        <f>IFERROR(__xludf.DUMMYFUNCTION("""COMPUTED_VALUE"""),4.1)</f>
        <v>4.1</v>
      </c>
      <c r="Q783" s="17">
        <f>IFERROR(__xludf.DUMMYFUNCTION("""COMPUTED_VALUE"""),550.0)</f>
        <v>550</v>
      </c>
    </row>
    <row r="784">
      <c r="A784" s="7" t="s">
        <v>839</v>
      </c>
      <c r="B784" s="7" t="s">
        <v>631</v>
      </c>
      <c r="C784" s="8">
        <v>549.0</v>
      </c>
      <c r="D784" s="8">
        <v>1999.0</v>
      </c>
      <c r="E784" s="19">
        <v>0.73</v>
      </c>
      <c r="F784" s="10">
        <v>3.6</v>
      </c>
      <c r="G784" s="11">
        <v>6422.0</v>
      </c>
      <c r="K784" s="17" t="str">
        <f>IFERROR(__xludf.DUMMYFUNCTION("""COMPUTED_VALUE"""),"Oratech Coffee Frother electric, milk frother electric, coffee beater, cappuccino maker, Coffee Foamer, Mocktail Mixer, Coffee Foam Maker, coffee whisker electric, Froth Maker, coffee stirrers electric, coffee frothers, Coffee Blender, (6 Month Warranty) "&amp;"(Multicolour)")</f>
        <v>Oratech Coffee Frother electric, milk frother electric, coffee beater, cappuccino maker, Coffee Foamer, Mocktail Mixer, Coffee Foam Maker, coffee whisker electric, Froth Maker, coffee stirrers electric, coffee frothers, Coffee Blender, (6 Month Warranty) (Multicolour)</v>
      </c>
      <c r="L784" s="17" t="str">
        <f>IFERROR(__xludf.DUMMYFUNCTION("""COMPUTED_VALUE"""),"Home&amp;Kitchen|Kitchen&amp;HomeAppliances|SmallKitchenAppliances|HandBlenders")</f>
        <v>Home&amp;Kitchen|Kitchen&amp;HomeAppliances|SmallKitchenAppliances|HandBlenders</v>
      </c>
      <c r="M784" s="23">
        <f>IFERROR(__xludf.DUMMYFUNCTION("""COMPUTED_VALUE"""),279.0)</f>
        <v>279</v>
      </c>
      <c r="N784" s="23">
        <f>IFERROR(__xludf.DUMMYFUNCTION("""COMPUTED_VALUE"""),499.0)</f>
        <v>499</v>
      </c>
      <c r="O784" s="24">
        <f>IFERROR(__xludf.DUMMYFUNCTION("""COMPUTED_VALUE"""),0.44)</f>
        <v>0.44</v>
      </c>
      <c r="P784" s="17">
        <f>IFERROR(__xludf.DUMMYFUNCTION("""COMPUTED_VALUE"""),4.8)</f>
        <v>4.8</v>
      </c>
      <c r="Q784" s="17">
        <f>IFERROR(__xludf.DUMMYFUNCTION("""COMPUTED_VALUE"""),28.0)</f>
        <v>28</v>
      </c>
    </row>
    <row r="785">
      <c r="A785" s="7" t="s">
        <v>840</v>
      </c>
      <c r="B785" s="7" t="s">
        <v>759</v>
      </c>
      <c r="C785" s="8">
        <v>89.0</v>
      </c>
      <c r="D785" s="8">
        <v>99.0</v>
      </c>
      <c r="E785" s="19">
        <v>0.1</v>
      </c>
      <c r="F785" s="10">
        <v>4.2</v>
      </c>
      <c r="G785" s="10">
        <v>241.0</v>
      </c>
      <c r="K785" s="17" t="str">
        <f>IFERROR(__xludf.DUMMYFUNCTION("""COMPUTED_VALUE"""),"Havells Glaze 74W Pearl Ivory Gold Ceiling Fan, Sweep: 1200 Mm")</f>
        <v>Havells Glaze 74W Pearl Ivory Gold Ceiling Fan, Sweep: 1200 Mm</v>
      </c>
      <c r="L785" s="17" t="str">
        <f>IFERROR(__xludf.DUMMYFUNCTION("""COMPUTED_VALUE"""),"Home&amp;Kitchen|Heating,Cooling&amp;AirQuality|Fans|CeilingFans")</f>
        <v>Home&amp;Kitchen|Heating,Cooling&amp;AirQuality|Fans|CeilingFans</v>
      </c>
      <c r="M785" s="23">
        <f>IFERROR(__xludf.DUMMYFUNCTION("""COMPUTED_VALUE"""),1999.0)</f>
        <v>1999</v>
      </c>
      <c r="N785" s="23">
        <f>IFERROR(__xludf.DUMMYFUNCTION("""COMPUTED_VALUE"""),4775.0)</f>
        <v>4775</v>
      </c>
      <c r="O785" s="24">
        <f>IFERROR(__xludf.DUMMYFUNCTION("""COMPUTED_VALUE"""),0.58)</f>
        <v>0.58</v>
      </c>
      <c r="P785" s="17">
        <f>IFERROR(__xludf.DUMMYFUNCTION("""COMPUTED_VALUE"""),4.2)</f>
        <v>4.2</v>
      </c>
      <c r="Q785" s="25">
        <f>IFERROR(__xludf.DUMMYFUNCTION("""COMPUTED_VALUE"""),1353.0)</f>
        <v>1353</v>
      </c>
    </row>
    <row r="786">
      <c r="A786" s="7" t="s">
        <v>49</v>
      </c>
      <c r="B786" s="7" t="s">
        <v>15</v>
      </c>
      <c r="C786" s="8">
        <v>970.0</v>
      </c>
      <c r="D786" s="8">
        <v>1999.0</v>
      </c>
      <c r="E786" s="19">
        <v>0.51</v>
      </c>
      <c r="F786" s="10">
        <v>4.4</v>
      </c>
      <c r="G786" s="10">
        <v>184.0</v>
      </c>
      <c r="K786" s="17" t="str">
        <f>IFERROR(__xludf.DUMMYFUNCTION("""COMPUTED_VALUE"""),"Pick Ur Needs® Lint Remover for Clothes High Range Rechargeable Lint Shaver for All Types of Clothes, Fabrics, Blanket with 1 Extra Blade Multicolor (Rechargeable)")</f>
        <v>Pick Ur Needs® Lint Remover for Clothes High Range Rechargeable Lint Shaver for All Types of Clothes, Fabrics, Blanket with 1 Extra Blade Multicolor (Rechargeable)</v>
      </c>
      <c r="L786" s="17" t="str">
        <f>IFERROR(__xludf.DUMMYFUNCTION("""COMPUTED_VALUE"""),"Home&amp;Kitchen|Kitchen&amp;HomeAppliances|Vacuum,Cleaning&amp;Ironing|Irons,Steamers&amp;Accessories|LintShavers")</f>
        <v>Home&amp;Kitchen|Kitchen&amp;HomeAppliances|Vacuum,Cleaning&amp;Ironing|Irons,Steamers&amp;Accessories|LintShavers</v>
      </c>
      <c r="M786" s="23">
        <f>IFERROR(__xludf.DUMMYFUNCTION("""COMPUTED_VALUE"""),799.0)</f>
        <v>799</v>
      </c>
      <c r="N786" s="23">
        <f>IFERROR(__xludf.DUMMYFUNCTION("""COMPUTED_VALUE"""),1230.0)</f>
        <v>1230</v>
      </c>
      <c r="O786" s="24">
        <f>IFERROR(__xludf.DUMMYFUNCTION("""COMPUTED_VALUE"""),0.35)</f>
        <v>0.35</v>
      </c>
      <c r="P786" s="17">
        <f>IFERROR(__xludf.DUMMYFUNCTION("""COMPUTED_VALUE"""),4.1)</f>
        <v>4.1</v>
      </c>
      <c r="Q786" s="25">
        <f>IFERROR(__xludf.DUMMYFUNCTION("""COMPUTED_VALUE"""),2138.0)</f>
        <v>2138</v>
      </c>
    </row>
    <row r="787">
      <c r="A787" s="7" t="s">
        <v>841</v>
      </c>
      <c r="B787" s="7" t="s">
        <v>393</v>
      </c>
      <c r="C787" s="8">
        <v>1299.0</v>
      </c>
      <c r="D787" s="8">
        <v>2999.0</v>
      </c>
      <c r="E787" s="19">
        <v>0.57</v>
      </c>
      <c r="F787" s="10">
        <v>3.8</v>
      </c>
      <c r="G787" s="11">
        <v>14629.0</v>
      </c>
      <c r="K787" s="17" t="str">
        <f>IFERROR(__xludf.DUMMYFUNCTION("""COMPUTED_VALUE"""),"AGARO Marvel 9 Liters Oven Toaster Griller, Cake Baking OTG (Black)")</f>
        <v>AGARO Marvel 9 Liters Oven Toaster Griller, Cake Baking OTG (Black)</v>
      </c>
      <c r="L787" s="17" t="str">
        <f>IFERROR(__xludf.DUMMYFUNCTION("""COMPUTED_VALUE"""),"Home&amp;Kitchen|Kitchen&amp;HomeAppliances|SmallKitchenAppliances|OvenToasterGrills")</f>
        <v>Home&amp;Kitchen|Kitchen&amp;HomeAppliances|SmallKitchenAppliances|OvenToasterGrills</v>
      </c>
      <c r="M787" s="23">
        <f>IFERROR(__xludf.DUMMYFUNCTION("""COMPUTED_VALUE"""),1699.0)</f>
        <v>1699</v>
      </c>
      <c r="N787" s="23">
        <f>IFERROR(__xludf.DUMMYFUNCTION("""COMPUTED_VALUE"""),1999.0)</f>
        <v>1999</v>
      </c>
      <c r="O787" s="24">
        <f>IFERROR(__xludf.DUMMYFUNCTION("""COMPUTED_VALUE"""),0.15)</f>
        <v>0.15</v>
      </c>
      <c r="P787" s="17">
        <f>IFERROR(__xludf.DUMMYFUNCTION("""COMPUTED_VALUE"""),4.1)</f>
        <v>4.1</v>
      </c>
      <c r="Q787" s="25">
        <f>IFERROR(__xludf.DUMMYFUNCTION("""COMPUTED_VALUE"""),8873.0)</f>
        <v>8873</v>
      </c>
    </row>
    <row r="788">
      <c r="A788" s="7" t="s">
        <v>842</v>
      </c>
      <c r="B788" s="7" t="s">
        <v>696</v>
      </c>
      <c r="C788" s="8">
        <v>230.0</v>
      </c>
      <c r="D788" s="8">
        <v>999.0</v>
      </c>
      <c r="E788" s="19">
        <v>0.77</v>
      </c>
      <c r="F788" s="10">
        <v>4.2</v>
      </c>
      <c r="G788" s="11">
        <v>1528.0</v>
      </c>
      <c r="K788" s="17" t="str">
        <f>IFERROR(__xludf.DUMMYFUNCTION("""COMPUTED_VALUE"""),"Philips GC1920/28 1440-Watt Non-Stick Soleplate Steam Iron")</f>
        <v>Philips GC1920/28 1440-Watt Non-Stick Soleplate Steam Iron</v>
      </c>
      <c r="L788" s="17" t="str">
        <f>IFERROR(__xludf.DUMMYFUNCTION("""COMPUTED_VALUE"""),"Home&amp;Kitchen|Kitchen&amp;HomeAppliances|Vacuum,Cleaning&amp;Ironing|Irons,Steamers&amp;Accessories|Irons|SteamIrons")</f>
        <v>Home&amp;Kitchen|Kitchen&amp;HomeAppliances|Vacuum,Cleaning&amp;Ironing|Irons,Steamers&amp;Accessories|Irons|SteamIrons</v>
      </c>
      <c r="M788" s="23">
        <f>IFERROR(__xludf.DUMMYFUNCTION("""COMPUTED_VALUE"""),1849.0)</f>
        <v>1849</v>
      </c>
      <c r="N788" s="23">
        <f>IFERROR(__xludf.DUMMYFUNCTION("""COMPUTED_VALUE"""),2095.0)</f>
        <v>2095</v>
      </c>
      <c r="O788" s="24">
        <f>IFERROR(__xludf.DUMMYFUNCTION("""COMPUTED_VALUE"""),0.12)</f>
        <v>0.12</v>
      </c>
      <c r="P788" s="17">
        <f>IFERROR(__xludf.DUMMYFUNCTION("""COMPUTED_VALUE"""),4.3)</f>
        <v>4.3</v>
      </c>
      <c r="Q788" s="25">
        <f>IFERROR(__xludf.DUMMYFUNCTION("""COMPUTED_VALUE"""),7681.0)</f>
        <v>7681</v>
      </c>
    </row>
    <row r="789">
      <c r="A789" s="7" t="s">
        <v>843</v>
      </c>
      <c r="B789" s="7" t="s">
        <v>844</v>
      </c>
      <c r="C789" s="8">
        <v>119.0</v>
      </c>
      <c r="D789" s="8">
        <v>499.0</v>
      </c>
      <c r="E789" s="19">
        <v>0.76</v>
      </c>
      <c r="F789" s="10">
        <v>4.3</v>
      </c>
      <c r="G789" s="11">
        <v>15032.0</v>
      </c>
      <c r="K789" s="17" t="str">
        <f>IFERROR(__xludf.DUMMYFUNCTION("""COMPUTED_VALUE"""),"Havells OFR 13 Wave Fin with PTC Fan Heater 2900 Watts (Black)")</f>
        <v>Havells OFR 13 Wave Fin with PTC Fan Heater 2900 Watts (Black)</v>
      </c>
      <c r="L789" s="17" t="str">
        <f>IFERROR(__xludf.DUMMYFUNCTION("""COMPUTED_VALUE"""),"Home&amp;Kitchen|Heating,Cooling&amp;AirQuality|RoomHeaters|FanHeaters")</f>
        <v>Home&amp;Kitchen|Heating,Cooling&amp;AirQuality|RoomHeaters|FanHeaters</v>
      </c>
      <c r="M789" s="23">
        <f>IFERROR(__xludf.DUMMYFUNCTION("""COMPUTED_VALUE"""),12499.0)</f>
        <v>12499</v>
      </c>
      <c r="N789" s="23">
        <f>IFERROR(__xludf.DUMMYFUNCTION("""COMPUTED_VALUE"""),19825.0)</f>
        <v>19825</v>
      </c>
      <c r="O789" s="24">
        <f>IFERROR(__xludf.DUMMYFUNCTION("""COMPUTED_VALUE"""),0.37)</f>
        <v>0.37</v>
      </c>
      <c r="P789" s="17">
        <f>IFERROR(__xludf.DUMMYFUNCTION("""COMPUTED_VALUE"""),4.1)</f>
        <v>4.1</v>
      </c>
      <c r="Q789" s="17">
        <f>IFERROR(__xludf.DUMMYFUNCTION("""COMPUTED_VALUE"""),322.0)</f>
        <v>322</v>
      </c>
    </row>
    <row r="790">
      <c r="A790" s="7" t="s">
        <v>845</v>
      </c>
      <c r="B790" s="7" t="s">
        <v>846</v>
      </c>
      <c r="C790" s="8">
        <v>449.0</v>
      </c>
      <c r="D790" s="8">
        <v>800.0</v>
      </c>
      <c r="E790" s="19">
        <v>0.44</v>
      </c>
      <c r="F790" s="10">
        <v>4.4</v>
      </c>
      <c r="G790" s="11">
        <v>69585.0</v>
      </c>
      <c r="K790" s="17" t="str">
        <f>IFERROR(__xludf.DUMMYFUNCTION("""COMPUTED_VALUE"""),"Bajaj DHX-9 1000W Heavy Weight Dry Iron with Advance Soleplate and Anti-Bacterial German Coating Technology, Ivory")</f>
        <v>Bajaj DHX-9 1000W Heavy Weight Dry Iron with Advance Soleplate and Anti-Bacterial German Coating Technology, Ivory</v>
      </c>
      <c r="L790" s="17" t="str">
        <f>IFERROR(__xludf.DUMMYFUNCTION("""COMPUTED_VALUE"""),"Home&amp;Kitchen|Kitchen&amp;HomeAppliances|Vacuum,Cleaning&amp;Ironing|Irons,Steamers&amp;Accessories|Irons|DryIrons")</f>
        <v>Home&amp;Kitchen|Kitchen&amp;HomeAppliances|Vacuum,Cleaning&amp;Ironing|Irons,Steamers&amp;Accessories|Irons|DryIrons</v>
      </c>
      <c r="M790" s="23">
        <f>IFERROR(__xludf.DUMMYFUNCTION("""COMPUTED_VALUE"""),1099.0)</f>
        <v>1099</v>
      </c>
      <c r="N790" s="23">
        <f>IFERROR(__xludf.DUMMYFUNCTION("""COMPUTED_VALUE"""),1920.0)</f>
        <v>1920</v>
      </c>
      <c r="O790" s="24">
        <f>IFERROR(__xludf.DUMMYFUNCTION("""COMPUTED_VALUE"""),0.43)</f>
        <v>0.43</v>
      </c>
      <c r="P790" s="17">
        <f>IFERROR(__xludf.DUMMYFUNCTION("""COMPUTED_VALUE"""),4.2)</f>
        <v>4.2</v>
      </c>
      <c r="Q790" s="25">
        <f>IFERROR(__xludf.DUMMYFUNCTION("""COMPUTED_VALUE"""),9772.0)</f>
        <v>9772</v>
      </c>
    </row>
    <row r="791">
      <c r="A791" s="7" t="s">
        <v>847</v>
      </c>
      <c r="B791" s="7" t="s">
        <v>848</v>
      </c>
      <c r="C791" s="8">
        <v>1699.0</v>
      </c>
      <c r="D791" s="8">
        <v>3495.0</v>
      </c>
      <c r="E791" s="19">
        <v>0.51</v>
      </c>
      <c r="F791" s="10">
        <v>4.1</v>
      </c>
      <c r="G791" s="11">
        <v>14371.0</v>
      </c>
      <c r="K791" s="17" t="str">
        <f>IFERROR(__xludf.DUMMYFUNCTION("""COMPUTED_VALUE"""),"KENT 16068 Zoom Vacuum Cleaner for Home and Car 130 W | Cordless, Hoseless, Rechargeable HEPA Filters Vacuum Cleaner with Cyclonic Technology | Bagless Design and Multi Nozzle Operation | Blue")</f>
        <v>KENT 16068 Zoom Vacuum Cleaner for Home and Car 130 W | Cordless, Hoseless, Rechargeable HEPA Filters Vacuum Cleaner with Cyclonic Technology | Bagless Design and Multi Nozzle Operation | Blue</v>
      </c>
      <c r="L791" s="17" t="str">
        <f>IFERROR(__xludf.DUMMYFUNCTION("""COMPUTED_VALUE"""),"Home&amp;Kitchen|Kitchen&amp;HomeAppliances|Vacuum,Cleaning&amp;Ironing|Vacuums&amp;FloorCare|Vacuums|HandheldVacuums")</f>
        <v>Home&amp;Kitchen|Kitchen&amp;HomeAppliances|Vacuum,Cleaning&amp;Ironing|Vacuums&amp;FloorCare|Vacuums|HandheldVacuums</v>
      </c>
      <c r="M791" s="23">
        <f>IFERROR(__xludf.DUMMYFUNCTION("""COMPUTED_VALUE"""),6999.0)</f>
        <v>6999</v>
      </c>
      <c r="N791" s="23">
        <f>IFERROR(__xludf.DUMMYFUNCTION("""COMPUTED_VALUE"""),14999.0)</f>
        <v>14999</v>
      </c>
      <c r="O791" s="24">
        <f>IFERROR(__xludf.DUMMYFUNCTION("""COMPUTED_VALUE"""),0.53)</f>
        <v>0.53</v>
      </c>
      <c r="P791" s="17">
        <f>IFERROR(__xludf.DUMMYFUNCTION("""COMPUTED_VALUE"""),4.1)</f>
        <v>4.1</v>
      </c>
      <c r="Q791" s="25">
        <f>IFERROR(__xludf.DUMMYFUNCTION("""COMPUTED_VALUE"""),1728.0)</f>
        <v>1728</v>
      </c>
    </row>
    <row r="792">
      <c r="A792" s="7" t="s">
        <v>849</v>
      </c>
      <c r="B792" s="7" t="s">
        <v>817</v>
      </c>
      <c r="C792" s="8">
        <v>561.0</v>
      </c>
      <c r="D792" s="8">
        <v>720.0</v>
      </c>
      <c r="E792" s="19">
        <v>0.22</v>
      </c>
      <c r="F792" s="10">
        <v>4.4</v>
      </c>
      <c r="G792" s="11">
        <v>3182.0</v>
      </c>
      <c r="K792" s="17" t="str">
        <f>IFERROR(__xludf.DUMMYFUNCTION("""COMPUTED_VALUE"""),"Inalsa Electric Kettle Prism Inox - 1350 W with LED Illumination &amp; Boro-Silicate Body, 1.8 L Capacity along with Cordless Base, 2 Year Warranty (Black)")</f>
        <v>Inalsa Electric Kettle Prism Inox - 1350 W with LED Illumination &amp; Boro-Silicate Body, 1.8 L Capacity along with Cordless Base, 2 Year Warranty (Black)</v>
      </c>
      <c r="L792" s="17" t="str">
        <f>IFERROR(__xludf.DUMMYFUNCTION("""COMPUTED_VALUE"""),"Home&amp;Kitchen|Kitchen&amp;HomeAppliances|SmallKitchenAppliances|Kettles&amp;HotWaterDispensers|Kettle&amp;ToasterSets")</f>
        <v>Home&amp;Kitchen|Kitchen&amp;HomeAppliances|SmallKitchenAppliances|Kettles&amp;HotWaterDispensers|Kettle&amp;ToasterSets</v>
      </c>
      <c r="M792" s="23">
        <f>IFERROR(__xludf.DUMMYFUNCTION("""COMPUTED_VALUE"""),1182.0)</f>
        <v>1182</v>
      </c>
      <c r="N792" s="23">
        <f>IFERROR(__xludf.DUMMYFUNCTION("""COMPUTED_VALUE"""),2995.0)</f>
        <v>2995</v>
      </c>
      <c r="O792" s="24">
        <f>IFERROR(__xludf.DUMMYFUNCTION("""COMPUTED_VALUE"""),0.61)</f>
        <v>0.61</v>
      </c>
      <c r="P792" s="17">
        <f>IFERROR(__xludf.DUMMYFUNCTION("""COMPUTED_VALUE"""),4.2)</f>
        <v>4.2</v>
      </c>
      <c r="Q792" s="25">
        <f>IFERROR(__xludf.DUMMYFUNCTION("""COMPUTED_VALUE"""),5178.0)</f>
        <v>5178</v>
      </c>
    </row>
    <row r="793">
      <c r="A793" s="7" t="s">
        <v>850</v>
      </c>
      <c r="B793" s="7" t="s">
        <v>625</v>
      </c>
      <c r="C793" s="8">
        <v>289.0</v>
      </c>
      <c r="D793" s="8">
        <v>590.0</v>
      </c>
      <c r="E793" s="19">
        <v>0.51</v>
      </c>
      <c r="F793" s="10">
        <v>4.4</v>
      </c>
      <c r="G793" s="11">
        <v>25886.0</v>
      </c>
      <c r="K793" s="17" t="str">
        <f>IFERROR(__xludf.DUMMYFUNCTION("""COMPUTED_VALUE"""),"VRPRIME Lint Roller Lint Remover for Clothes, Pet | 360 Sheets Reusable Sticky Easy-Tear Sheet Brush for Clothes, Furniture, Carpet, Dog Fur, Sweater, Dust &amp; Dirt (4 Rolls - 90 Sheet Each Roll)")</f>
        <v>VRPRIME Lint Roller Lint Remover for Clothes, Pet | 360 Sheets Reusable Sticky Easy-Tear Sheet Brush for Clothes, Furniture, Carpet, Dog Fur, Sweater, Dust &amp; Dirt (4 Rolls - 90 Sheet Each Roll)</v>
      </c>
      <c r="L793" s="17" t="str">
        <f>IFERROR(__xludf.DUMMYFUNCTION("""COMPUTED_VALUE"""),"Home&amp;Kitchen|Kitchen&amp;HomeAppliances|Vacuum,Cleaning&amp;Ironing|Irons,Steamers&amp;Accessories|LintShavers")</f>
        <v>Home&amp;Kitchen|Kitchen&amp;HomeAppliances|Vacuum,Cleaning&amp;Ironing|Irons,Steamers&amp;Accessories|LintShavers</v>
      </c>
      <c r="M793" s="23">
        <f>IFERROR(__xludf.DUMMYFUNCTION("""COMPUTED_VALUE"""),499.0)</f>
        <v>499</v>
      </c>
      <c r="N793" s="23">
        <f>IFERROR(__xludf.DUMMYFUNCTION("""COMPUTED_VALUE"""),999.0)</f>
        <v>999</v>
      </c>
      <c r="O793" s="24">
        <f>IFERROR(__xludf.DUMMYFUNCTION("""COMPUTED_VALUE"""),0.5)</f>
        <v>0.5</v>
      </c>
      <c r="P793" s="17">
        <f>IFERROR(__xludf.DUMMYFUNCTION("""COMPUTED_VALUE"""),4.6)</f>
        <v>4.6</v>
      </c>
      <c r="Q793" s="17">
        <f>IFERROR(__xludf.DUMMYFUNCTION("""COMPUTED_VALUE"""),79.0)</f>
        <v>79</v>
      </c>
    </row>
    <row r="794">
      <c r="A794" s="7" t="s">
        <v>851</v>
      </c>
      <c r="B794" s="7" t="s">
        <v>635</v>
      </c>
      <c r="C794" s="8">
        <v>599.0</v>
      </c>
      <c r="D794" s="8">
        <v>1999.0</v>
      </c>
      <c r="E794" s="19">
        <v>0.7</v>
      </c>
      <c r="F794" s="10">
        <v>4.4</v>
      </c>
      <c r="G794" s="11">
        <v>4736.0</v>
      </c>
      <c r="K794" s="17" t="str">
        <f>IFERROR(__xludf.DUMMYFUNCTION("""COMPUTED_VALUE"""),"Philips AC1215/20 Air purifier, removes 99.97% airborne pollutants, 4-stage filtration with True HEPA filter (white)")</f>
        <v>Philips AC1215/20 Air purifier, removes 99.97% airborne pollutants, 4-stage filtration with True HEPA filter (white)</v>
      </c>
      <c r="L794" s="17" t="str">
        <f>IFERROR(__xludf.DUMMYFUNCTION("""COMPUTED_VALUE"""),"Home&amp;Kitchen|Heating,Cooling&amp;AirQuality|AirPurifiers|HEPAAirPurifiers")</f>
        <v>Home&amp;Kitchen|Heating,Cooling&amp;AirQuality|AirPurifiers|HEPAAirPurifiers</v>
      </c>
      <c r="M794" s="23">
        <f>IFERROR(__xludf.DUMMYFUNCTION("""COMPUTED_VALUE"""),8799.0)</f>
        <v>8799</v>
      </c>
      <c r="N794" s="23">
        <f>IFERROR(__xludf.DUMMYFUNCTION("""COMPUTED_VALUE"""),11995.0)</f>
        <v>11995</v>
      </c>
      <c r="O794" s="24">
        <f>IFERROR(__xludf.DUMMYFUNCTION("""COMPUTED_VALUE"""),0.27)</f>
        <v>0.27</v>
      </c>
      <c r="P794" s="17">
        <f>IFERROR(__xludf.DUMMYFUNCTION("""COMPUTED_VALUE"""),4.1)</f>
        <v>4.1</v>
      </c>
      <c r="Q794" s="25">
        <f>IFERROR(__xludf.DUMMYFUNCTION("""COMPUTED_VALUE"""),4157.0)</f>
        <v>4157</v>
      </c>
    </row>
    <row r="795">
      <c r="A795" s="7" t="s">
        <v>852</v>
      </c>
      <c r="B795" s="7" t="s">
        <v>662</v>
      </c>
      <c r="C795" s="8">
        <v>5599.0</v>
      </c>
      <c r="D795" s="8">
        <v>7350.0</v>
      </c>
      <c r="E795" s="19">
        <v>0.24</v>
      </c>
      <c r="F795" s="10">
        <v>4.4</v>
      </c>
      <c r="G795" s="11">
        <v>73005.0</v>
      </c>
      <c r="K795" s="17" t="str">
        <f>IFERROR(__xludf.DUMMYFUNCTION("""COMPUTED_VALUE"""),"Usha Goliath GO1200WG Heavy Weight 1200-Watt Dry Iron, 1.8 Kg(Red)")</f>
        <v>Usha Goliath GO1200WG Heavy Weight 1200-Watt Dry Iron, 1.8 Kg(Red)</v>
      </c>
      <c r="L795" s="17" t="str">
        <f>IFERROR(__xludf.DUMMYFUNCTION("""COMPUTED_VALUE"""),"Home&amp;Kitchen|Kitchen&amp;HomeAppliances|Vacuum,Cleaning&amp;Ironing|Irons,Steamers&amp;Accessories|Irons|DryIrons")</f>
        <v>Home&amp;Kitchen|Kitchen&amp;HomeAppliances|Vacuum,Cleaning&amp;Ironing|Irons,Steamers&amp;Accessories|Irons|DryIrons</v>
      </c>
      <c r="M795" s="23">
        <f>IFERROR(__xludf.DUMMYFUNCTION("""COMPUTED_VALUE"""),1199.0)</f>
        <v>1199</v>
      </c>
      <c r="N795" s="23">
        <f>IFERROR(__xludf.DUMMYFUNCTION("""COMPUTED_VALUE"""),1690.0)</f>
        <v>1690</v>
      </c>
      <c r="O795" s="24">
        <f>IFERROR(__xludf.DUMMYFUNCTION("""COMPUTED_VALUE"""),0.29)</f>
        <v>0.29</v>
      </c>
      <c r="P795" s="17">
        <f>IFERROR(__xludf.DUMMYFUNCTION("""COMPUTED_VALUE"""),4.2)</f>
        <v>4.2</v>
      </c>
      <c r="Q795" s="25">
        <f>IFERROR(__xludf.DUMMYFUNCTION("""COMPUTED_VALUE"""),4580.0)</f>
        <v>4580</v>
      </c>
    </row>
    <row r="796">
      <c r="A796" s="7" t="s">
        <v>853</v>
      </c>
      <c r="B796" s="7" t="s">
        <v>854</v>
      </c>
      <c r="C796" s="8">
        <v>1990.0</v>
      </c>
      <c r="D796" s="8">
        <v>2595.0</v>
      </c>
      <c r="E796" s="19">
        <v>0.23</v>
      </c>
      <c r="F796" s="10">
        <v>4.3</v>
      </c>
      <c r="G796" s="11">
        <v>20398.0</v>
      </c>
      <c r="K796" s="17" t="str">
        <f>IFERROR(__xludf.DUMMYFUNCTION("""COMPUTED_VALUE"""),"Wipro Vesta Electric Egg Boiler, 360 Watts, 3 Boiling Modes, Stainless Steel Body and Heating Plate, Boils up to 7 Eggs at a time, Automatic Shut Down, White, Standard (VB021070)")</f>
        <v>Wipro Vesta Electric Egg Boiler, 360 Watts, 3 Boiling Modes, Stainless Steel Body and Heating Plate, Boils up to 7 Eggs at a time, Automatic Shut Down, White, Standard (VB021070)</v>
      </c>
      <c r="L796" s="17" t="str">
        <f>IFERROR(__xludf.DUMMYFUNCTION("""COMPUTED_VALUE"""),"Home&amp;Kitchen|Kitchen&amp;HomeAppliances|SmallKitchenAppliances|EggBoilers")</f>
        <v>Home&amp;Kitchen|Kitchen&amp;HomeAppliances|SmallKitchenAppliances|EggBoilers</v>
      </c>
      <c r="M796" s="23">
        <f>IFERROR(__xludf.DUMMYFUNCTION("""COMPUTED_VALUE"""),1052.0)</f>
        <v>1052</v>
      </c>
      <c r="N796" s="23">
        <f>IFERROR(__xludf.DUMMYFUNCTION("""COMPUTED_VALUE"""),1790.0)</f>
        <v>1790</v>
      </c>
      <c r="O796" s="24">
        <f>IFERROR(__xludf.DUMMYFUNCTION("""COMPUTED_VALUE"""),0.41)</f>
        <v>0.41</v>
      </c>
      <c r="P796" s="17">
        <f>IFERROR(__xludf.DUMMYFUNCTION("""COMPUTED_VALUE"""),4.3)</f>
        <v>4.3</v>
      </c>
      <c r="Q796" s="25">
        <f>IFERROR(__xludf.DUMMYFUNCTION("""COMPUTED_VALUE"""),1404.0)</f>
        <v>1404</v>
      </c>
    </row>
    <row r="797">
      <c r="A797" s="7" t="s">
        <v>855</v>
      </c>
      <c r="B797" s="7" t="s">
        <v>793</v>
      </c>
      <c r="C797" s="8">
        <v>499.0</v>
      </c>
      <c r="D797" s="8">
        <v>799.0</v>
      </c>
      <c r="E797" s="19">
        <v>0.38</v>
      </c>
      <c r="F797" s="10">
        <v>4.3</v>
      </c>
      <c r="G797" s="11">
        <v>2125.0</v>
      </c>
      <c r="K797" s="17" t="str">
        <f>IFERROR(__xludf.DUMMYFUNCTION("""COMPUTED_VALUE"""),"Philips Viva Collection HR1832/00 1.5-Litre400-Watt Juicer (Ink Black)")</f>
        <v>Philips Viva Collection HR1832/00 1.5-Litre400-Watt Juicer (Ink Black)</v>
      </c>
      <c r="L797" s="17" t="str">
        <f>IFERROR(__xludf.DUMMYFUNCTION("""COMPUTED_VALUE"""),"Home&amp;Kitchen|Kitchen&amp;HomeAppliances|SmallKitchenAppliances|Juicers")</f>
        <v>Home&amp;Kitchen|Kitchen&amp;HomeAppliances|SmallKitchenAppliances|Juicers</v>
      </c>
      <c r="M797" s="23">
        <f>IFERROR(__xludf.DUMMYFUNCTION("""COMPUTED_VALUE"""),6499.0)</f>
        <v>6499</v>
      </c>
      <c r="N797" s="23">
        <f>IFERROR(__xludf.DUMMYFUNCTION("""COMPUTED_VALUE"""),8995.0)</f>
        <v>8995</v>
      </c>
      <c r="O797" s="24">
        <f>IFERROR(__xludf.DUMMYFUNCTION("""COMPUTED_VALUE"""),0.28)</f>
        <v>0.28</v>
      </c>
      <c r="P797" s="17">
        <f>IFERROR(__xludf.DUMMYFUNCTION("""COMPUTED_VALUE"""),4.3)</f>
        <v>4.3</v>
      </c>
      <c r="Q797" s="25">
        <f>IFERROR(__xludf.DUMMYFUNCTION("""COMPUTED_VALUE"""),2810.0)</f>
        <v>2810</v>
      </c>
    </row>
    <row r="798">
      <c r="A798" s="7" t="s">
        <v>856</v>
      </c>
      <c r="B798" s="7" t="s">
        <v>806</v>
      </c>
      <c r="C798" s="8">
        <v>449.0</v>
      </c>
      <c r="D798" s="8">
        <v>999.0</v>
      </c>
      <c r="E798" s="19">
        <v>0.55</v>
      </c>
      <c r="F798" s="10">
        <v>4.3</v>
      </c>
      <c r="G798" s="11">
        <v>11330.0</v>
      </c>
      <c r="K798" s="17" t="str">
        <f>IFERROR(__xludf.DUMMYFUNCTION("""COMPUTED_VALUE"""),"Kitchenwell Multipurpose Portable Electronic Digital Weighing Scale Weight Machine | Weight Machine | 10 Kg")</f>
        <v>Kitchenwell Multipurpose Portable Electronic Digital Weighing Scale Weight Machine | Weight Machine | 10 Kg</v>
      </c>
      <c r="L798" s="17" t="str">
        <f>IFERROR(__xludf.DUMMYFUNCTION("""COMPUTED_VALUE"""),"Home&amp;Kitchen|Kitchen&amp;HomeAppliances|SmallKitchenAppliances|DigitalKitchenScales|DigitalScales")</f>
        <v>Home&amp;Kitchen|Kitchen&amp;HomeAppliances|SmallKitchenAppliances|DigitalKitchenScales|DigitalScales</v>
      </c>
      <c r="M798" s="23">
        <f>IFERROR(__xludf.DUMMYFUNCTION("""COMPUTED_VALUE"""),239.0)</f>
        <v>239</v>
      </c>
      <c r="N798" s="23">
        <f>IFERROR(__xludf.DUMMYFUNCTION("""COMPUTED_VALUE"""),239.0)</f>
        <v>239</v>
      </c>
      <c r="O798" s="24">
        <f>IFERROR(__xludf.DUMMYFUNCTION("""COMPUTED_VALUE"""),0.0)</f>
        <v>0</v>
      </c>
      <c r="P798" s="17">
        <f>IFERROR(__xludf.DUMMYFUNCTION("""COMPUTED_VALUE"""),4.3)</f>
        <v>4.3</v>
      </c>
      <c r="Q798" s="17">
        <f>IFERROR(__xludf.DUMMYFUNCTION("""COMPUTED_VALUE"""),7.0)</f>
        <v>7</v>
      </c>
    </row>
    <row r="799">
      <c r="A799" s="7" t="s">
        <v>857</v>
      </c>
      <c r="B799" s="7" t="s">
        <v>858</v>
      </c>
      <c r="C799" s="8">
        <v>999.0</v>
      </c>
      <c r="D799" s="8">
        <v>1999.0</v>
      </c>
      <c r="E799" s="19">
        <v>0.5</v>
      </c>
      <c r="F799" s="10">
        <v>4.2</v>
      </c>
      <c r="G799" s="11">
        <v>27441.0</v>
      </c>
      <c r="K799" s="17" t="str">
        <f>IFERROR(__xludf.DUMMYFUNCTION("""COMPUTED_VALUE"""),"FIGMENT Handheld Milk Frother Rechargeable, 3-Speed Electric Frother for Coffee with 2 Whisks and Coffee Decoration Tool, Coffee Frother Mixer, CRESCENT ENTERPRISES VRW0.50BK (A1)")</f>
        <v>FIGMENT Handheld Milk Frother Rechargeable, 3-Speed Electric Frother for Coffee with 2 Whisks and Coffee Decoration Tool, Coffee Frother Mixer, CRESCENT ENTERPRISES VRW0.50BK (A1)</v>
      </c>
      <c r="L799" s="17" t="str">
        <f>IFERROR(__xludf.DUMMYFUNCTION("""COMPUTED_VALUE"""),"Home&amp;Kitchen|Kitchen&amp;HomeAppliances|SmallKitchenAppliances|HandBlenders")</f>
        <v>Home&amp;Kitchen|Kitchen&amp;HomeAppliances|SmallKitchenAppliances|HandBlenders</v>
      </c>
      <c r="M799" s="23">
        <f>IFERROR(__xludf.DUMMYFUNCTION("""COMPUTED_VALUE"""),699.0)</f>
        <v>699</v>
      </c>
      <c r="N799" s="23">
        <f>IFERROR(__xludf.DUMMYFUNCTION("""COMPUTED_VALUE"""),1599.0)</f>
        <v>1599</v>
      </c>
      <c r="O799" s="24">
        <f>IFERROR(__xludf.DUMMYFUNCTION("""COMPUTED_VALUE"""),0.56)</f>
        <v>0.56</v>
      </c>
      <c r="P799" s="17">
        <f>IFERROR(__xludf.DUMMYFUNCTION("""COMPUTED_VALUE"""),4.7)</f>
        <v>4.7</v>
      </c>
      <c r="Q799" s="25">
        <f>IFERROR(__xludf.DUMMYFUNCTION("""COMPUTED_VALUE"""),1729.0)</f>
        <v>1729</v>
      </c>
    </row>
    <row r="800">
      <c r="A800" s="7" t="s">
        <v>859</v>
      </c>
      <c r="B800" s="7" t="s">
        <v>576</v>
      </c>
      <c r="C800" s="8">
        <v>69.0</v>
      </c>
      <c r="D800" s="8">
        <v>299.0</v>
      </c>
      <c r="E800" s="19">
        <v>0.77</v>
      </c>
      <c r="F800" s="10">
        <v>4.3</v>
      </c>
      <c r="G800" s="10">
        <v>255.0</v>
      </c>
      <c r="K800" s="17" t="str">
        <f>IFERROR(__xludf.DUMMYFUNCTION("""COMPUTED_VALUE"""),"Balzano High Speed Nutri Blender/Mixer/Smoothie Maker - 500 Watt - Silver, 2 Jar")</f>
        <v>Balzano High Speed Nutri Blender/Mixer/Smoothie Maker - 500 Watt - Silver, 2 Jar</v>
      </c>
      <c r="L800" s="17" t="str">
        <f>IFERROR(__xludf.DUMMYFUNCTION("""COMPUTED_VALUE"""),"Home&amp;Kitchen|Kitchen&amp;HomeAppliances|SmallKitchenAppliances")</f>
        <v>Home&amp;Kitchen|Kitchen&amp;HomeAppliances|SmallKitchenAppliances</v>
      </c>
      <c r="M800" s="23">
        <f>IFERROR(__xludf.DUMMYFUNCTION("""COMPUTED_VALUE"""),2599.0)</f>
        <v>2599</v>
      </c>
      <c r="N800" s="23">
        <f>IFERROR(__xludf.DUMMYFUNCTION("""COMPUTED_VALUE"""),4290.0)</f>
        <v>4290</v>
      </c>
      <c r="O800" s="24">
        <f>IFERROR(__xludf.DUMMYFUNCTION("""COMPUTED_VALUE"""),0.39)</f>
        <v>0.39</v>
      </c>
      <c r="P800" s="17">
        <f>IFERROR(__xludf.DUMMYFUNCTION("""COMPUTED_VALUE"""),4.4)</f>
        <v>4.4</v>
      </c>
      <c r="Q800" s="25">
        <f>IFERROR(__xludf.DUMMYFUNCTION("""COMPUTED_VALUE"""),2116.0)</f>
        <v>2116</v>
      </c>
    </row>
    <row r="801">
      <c r="A801" s="7" t="s">
        <v>860</v>
      </c>
      <c r="B801" s="7" t="s">
        <v>625</v>
      </c>
      <c r="C801" s="8">
        <v>899.0</v>
      </c>
      <c r="D801" s="8">
        <v>1499.0</v>
      </c>
      <c r="E801" s="19">
        <v>0.4</v>
      </c>
      <c r="F801" s="10">
        <v>4.2</v>
      </c>
      <c r="G801" s="11">
        <v>23174.0</v>
      </c>
      <c r="K801" s="17" t="str">
        <f>IFERROR(__xludf.DUMMYFUNCTION("""COMPUTED_VALUE"""),"Zuvexa USB Rechargeable Electric Foam Maker - Handheld Milk Wand Mixer Frother for Hot Milk, Hand Blender Coffee, Egg Beater (Black)")</f>
        <v>Zuvexa USB Rechargeable Electric Foam Maker - Handheld Milk Wand Mixer Frother for Hot Milk, Hand Blender Coffee, Egg Beater (Black)</v>
      </c>
      <c r="L801" s="17" t="str">
        <f>IFERROR(__xludf.DUMMYFUNCTION("""COMPUTED_VALUE"""),"Home&amp;Kitchen|Kitchen&amp;HomeAppliances|SmallKitchenAppliances|HandBlenders")</f>
        <v>Home&amp;Kitchen|Kitchen&amp;HomeAppliances|SmallKitchenAppliances|HandBlenders</v>
      </c>
      <c r="M801" s="23">
        <f>IFERROR(__xludf.DUMMYFUNCTION("""COMPUTED_VALUE"""),499.0)</f>
        <v>499</v>
      </c>
      <c r="N801" s="23">
        <f>IFERROR(__xludf.DUMMYFUNCTION("""COMPUTED_VALUE"""),1299.0)</f>
        <v>1299</v>
      </c>
      <c r="O801" s="24">
        <f>IFERROR(__xludf.DUMMYFUNCTION("""COMPUTED_VALUE"""),0.62)</f>
        <v>0.62</v>
      </c>
      <c r="P801" s="17">
        <f>IFERROR(__xludf.DUMMYFUNCTION("""COMPUTED_VALUE"""),4.7)</f>
        <v>4.7</v>
      </c>
      <c r="Q801" s="17">
        <f>IFERROR(__xludf.DUMMYFUNCTION("""COMPUTED_VALUE"""),54.0)</f>
        <v>54</v>
      </c>
    </row>
    <row r="802">
      <c r="A802" s="7" t="s">
        <v>861</v>
      </c>
      <c r="B802" s="7" t="s">
        <v>650</v>
      </c>
      <c r="C802" s="8">
        <v>478.0</v>
      </c>
      <c r="D802" s="8">
        <v>699.0</v>
      </c>
      <c r="E802" s="19">
        <v>0.32</v>
      </c>
      <c r="F802" s="10">
        <v>3.8</v>
      </c>
      <c r="G802" s="11">
        <v>20218.0</v>
      </c>
      <c r="K802" s="17" t="str">
        <f>IFERROR(__xludf.DUMMYFUNCTION("""COMPUTED_VALUE"""),"Usha IH2415 1500-Watt Immersion Heater (Silver)")</f>
        <v>Usha IH2415 1500-Watt Immersion Heater (Silver)</v>
      </c>
      <c r="L802" s="17" t="str">
        <f>IFERROR(__xludf.DUMMYFUNCTION("""COMPUTED_VALUE"""),"Home&amp;Kitchen|Heating,Cooling&amp;AirQuality|WaterHeaters&amp;Geysers|ImmersionRods")</f>
        <v>Home&amp;Kitchen|Heating,Cooling&amp;AirQuality|WaterHeaters&amp;Geysers|ImmersionRods</v>
      </c>
      <c r="M802" s="23">
        <f>IFERROR(__xludf.DUMMYFUNCTION("""COMPUTED_VALUE"""),510.0)</f>
        <v>510</v>
      </c>
      <c r="N802" s="23">
        <f>IFERROR(__xludf.DUMMYFUNCTION("""COMPUTED_VALUE"""),640.0)</f>
        <v>640</v>
      </c>
      <c r="O802" s="24">
        <f>IFERROR(__xludf.DUMMYFUNCTION("""COMPUTED_VALUE"""),0.2)</f>
        <v>0.2</v>
      </c>
      <c r="P802" s="17">
        <f>IFERROR(__xludf.DUMMYFUNCTION("""COMPUTED_VALUE"""),4.1)</f>
        <v>4.1</v>
      </c>
      <c r="Q802" s="25">
        <f>IFERROR(__xludf.DUMMYFUNCTION("""COMPUTED_VALUE"""),7229.0)</f>
        <v>7229</v>
      </c>
    </row>
    <row r="803">
      <c r="A803" s="7" t="s">
        <v>862</v>
      </c>
      <c r="B803" s="7" t="s">
        <v>863</v>
      </c>
      <c r="C803" s="8">
        <v>1399.0</v>
      </c>
      <c r="D803" s="8">
        <v>2490.0</v>
      </c>
      <c r="E803" s="19">
        <v>0.44</v>
      </c>
      <c r="F803" s="10">
        <v>4.3</v>
      </c>
      <c r="G803" s="11">
        <v>11074.0</v>
      </c>
      <c r="K803" s="17" t="str">
        <f>IFERROR(__xludf.DUMMYFUNCTION("""COMPUTED_VALUE"""),"Havells Instanio 1-Litre 3KW Instant Water Heater (Geyser), White Blue")</f>
        <v>Havells Instanio 1-Litre 3KW Instant Water Heater (Geyser), White Blue</v>
      </c>
      <c r="L803" s="17" t="str">
        <f>IFERROR(__xludf.DUMMYFUNCTION("""COMPUTED_VALUE"""),"Home&amp;Kitchen|Heating,Cooling&amp;AirQuality|WaterHeaters&amp;Geysers|InstantWaterHeaters")</f>
        <v>Home&amp;Kitchen|Heating,Cooling&amp;AirQuality|WaterHeaters&amp;Geysers|InstantWaterHeaters</v>
      </c>
      <c r="M803" s="23">
        <f>IFERROR(__xludf.DUMMYFUNCTION("""COMPUTED_VALUE"""),2599.0)</f>
        <v>2599</v>
      </c>
      <c r="N803" s="23">
        <f>IFERROR(__xludf.DUMMYFUNCTION("""COMPUTED_VALUE"""),4560.0)</f>
        <v>4560</v>
      </c>
      <c r="O803" s="24">
        <f>IFERROR(__xludf.DUMMYFUNCTION("""COMPUTED_VALUE"""),0.43)</f>
        <v>0.43</v>
      </c>
      <c r="P803" s="17">
        <f>IFERROR(__xludf.DUMMYFUNCTION("""COMPUTED_VALUE"""),4.4)</f>
        <v>4.4</v>
      </c>
      <c r="Q803" s="17">
        <f>IFERROR(__xludf.DUMMYFUNCTION("""COMPUTED_VALUE"""),646.0)</f>
        <v>646</v>
      </c>
    </row>
    <row r="804">
      <c r="A804" s="7" t="s">
        <v>51</v>
      </c>
      <c r="B804" s="7" t="s">
        <v>15</v>
      </c>
      <c r="C804" s="8">
        <v>199.0</v>
      </c>
      <c r="D804" s="8">
        <v>750.0</v>
      </c>
      <c r="E804" s="19">
        <v>0.73</v>
      </c>
      <c r="F804" s="10">
        <v>4.5</v>
      </c>
      <c r="G804" s="11">
        <v>74976.0</v>
      </c>
      <c r="K804" s="17" t="str">
        <f>IFERROR(__xludf.DUMMYFUNCTION("""COMPUTED_VALUE"""),"Lifelong 2-in1 Egg Boiler and Poacher 500-Watt (Transparent and Silver Grey), Boil 8 eggs, Poach 4 eggs, Easy to clean| 3 Boiling Modes, Stainless Steel Body and Heating Plate, Automatic Turn-Off")</f>
        <v>Lifelong 2-in1 Egg Boiler and Poacher 500-Watt (Transparent and Silver Grey), Boil 8 eggs, Poach 4 eggs, Easy to clean| 3 Boiling Modes, Stainless Steel Body and Heating Plate, Automatic Turn-Off</v>
      </c>
      <c r="L804" s="17" t="str">
        <f>IFERROR(__xludf.DUMMYFUNCTION("""COMPUTED_VALUE"""),"Home&amp;Kitchen|Kitchen&amp;HomeAppliances|SmallKitchenAppliances|EggBoilers")</f>
        <v>Home&amp;Kitchen|Kitchen&amp;HomeAppliances|SmallKitchenAppliances|EggBoilers</v>
      </c>
      <c r="M804" s="23">
        <f>IFERROR(__xludf.DUMMYFUNCTION("""COMPUTED_VALUE"""),1199.0)</f>
        <v>1199</v>
      </c>
      <c r="N804" s="23">
        <f>IFERROR(__xludf.DUMMYFUNCTION("""COMPUTED_VALUE"""),3500.0)</f>
        <v>3500</v>
      </c>
      <c r="O804" s="24">
        <f>IFERROR(__xludf.DUMMYFUNCTION("""COMPUTED_VALUE"""),0.66)</f>
        <v>0.66</v>
      </c>
      <c r="P804" s="17">
        <f>IFERROR(__xludf.DUMMYFUNCTION("""COMPUTED_VALUE"""),4.3)</f>
        <v>4.3</v>
      </c>
      <c r="Q804" s="25">
        <f>IFERROR(__xludf.DUMMYFUNCTION("""COMPUTED_VALUE"""),1802.0)</f>
        <v>1802</v>
      </c>
    </row>
    <row r="805">
      <c r="A805" s="7" t="s">
        <v>864</v>
      </c>
      <c r="B805" s="7" t="s">
        <v>865</v>
      </c>
      <c r="C805" s="8">
        <v>149.0</v>
      </c>
      <c r="D805" s="8">
        <v>499.0</v>
      </c>
      <c r="E805" s="19">
        <v>0.7</v>
      </c>
      <c r="F805" s="10">
        <v>4.1</v>
      </c>
      <c r="G805" s="11">
        <v>25607.0</v>
      </c>
      <c r="K805" s="17" t="str">
        <f>IFERROR(__xludf.DUMMYFUNCTION("""COMPUTED_VALUE"""),"AmazonBasics Induction Cooktop 1600 Watt (Black)")</f>
        <v>AmazonBasics Induction Cooktop 1600 Watt (Black)</v>
      </c>
      <c r="L805" s="17" t="str">
        <f>IFERROR(__xludf.DUMMYFUNCTION("""COMPUTED_VALUE"""),"Home&amp;Kitchen|Kitchen&amp;HomeAppliances|SmallKitchenAppliances|InductionCooktop")</f>
        <v>Home&amp;Kitchen|Kitchen&amp;HomeAppliances|SmallKitchenAppliances|InductionCooktop</v>
      </c>
      <c r="M805" s="23">
        <f>IFERROR(__xludf.DUMMYFUNCTION("""COMPUTED_VALUE"""),1999.0)</f>
        <v>1999</v>
      </c>
      <c r="N805" s="23">
        <f>IFERROR(__xludf.DUMMYFUNCTION("""COMPUTED_VALUE"""),3300.0)</f>
        <v>3300</v>
      </c>
      <c r="O805" s="24">
        <f>IFERROR(__xludf.DUMMYFUNCTION("""COMPUTED_VALUE"""),0.39)</f>
        <v>0.39</v>
      </c>
      <c r="P805" s="17">
        <f>IFERROR(__xludf.DUMMYFUNCTION("""COMPUTED_VALUE"""),4.2)</f>
        <v>4.2</v>
      </c>
      <c r="Q805" s="17">
        <f>IFERROR(__xludf.DUMMYFUNCTION("""COMPUTED_VALUE"""),780.0)</f>
        <v>780</v>
      </c>
    </row>
    <row r="806">
      <c r="A806" s="7" t="s">
        <v>866</v>
      </c>
      <c r="B806" s="7" t="s">
        <v>719</v>
      </c>
      <c r="C806" s="8">
        <v>1799.0</v>
      </c>
      <c r="D806" s="8">
        <v>4990.0</v>
      </c>
      <c r="E806" s="19">
        <v>0.64</v>
      </c>
      <c r="F806" s="10">
        <v>4.2</v>
      </c>
      <c r="G806" s="11">
        <v>41226.0</v>
      </c>
      <c r="K806" s="17" t="str">
        <f>IFERROR(__xludf.DUMMYFUNCTION("""COMPUTED_VALUE"""),"Philips Air Purifier Ac2887/20,Vitashield Intelligent Purification,Long Hepa Filter Life Upto 17000 Hours,Removes 99.9% Airborne Viruses &amp; Bacteria,99.97% Airborne Pollutants,Ideal For Master Bedroom")</f>
        <v>Philips Air Purifier Ac2887/20,Vitashield Intelligent Purification,Long Hepa Filter Life Upto 17000 Hours,Removes 99.9% Airborne Viruses &amp; Bacteria,99.97% Airborne Pollutants,Ideal For Master Bedroom</v>
      </c>
      <c r="L806" s="17" t="str">
        <f>IFERROR(__xludf.DUMMYFUNCTION("""COMPUTED_VALUE"""),"Home&amp;Kitchen|Heating,Cooling&amp;AirQuality|AirPurifiers|HEPAAirPurifiers")</f>
        <v>Home&amp;Kitchen|Heating,Cooling&amp;AirQuality|AirPurifiers|HEPAAirPurifiers</v>
      </c>
      <c r="M806" s="23">
        <f>IFERROR(__xludf.DUMMYFUNCTION("""COMPUTED_VALUE"""),14499.0)</f>
        <v>14499</v>
      </c>
      <c r="N806" s="23">
        <f>IFERROR(__xludf.DUMMYFUNCTION("""COMPUTED_VALUE"""),23559.0)</f>
        <v>23559</v>
      </c>
      <c r="O806" s="24">
        <f>IFERROR(__xludf.DUMMYFUNCTION("""COMPUTED_VALUE"""),0.38)</f>
        <v>0.38</v>
      </c>
      <c r="P806" s="17">
        <f>IFERROR(__xludf.DUMMYFUNCTION("""COMPUTED_VALUE"""),4.3)</f>
        <v>4.3</v>
      </c>
      <c r="Q806" s="25">
        <f>IFERROR(__xludf.DUMMYFUNCTION("""COMPUTED_VALUE"""),2026.0)</f>
        <v>2026</v>
      </c>
    </row>
    <row r="807">
      <c r="A807" s="7" t="s">
        <v>867</v>
      </c>
      <c r="B807" s="7" t="s">
        <v>868</v>
      </c>
      <c r="C807" s="8">
        <v>425.0</v>
      </c>
      <c r="D807" s="8">
        <v>999.0</v>
      </c>
      <c r="E807" s="19">
        <v>0.57</v>
      </c>
      <c r="F807" s="10">
        <v>4.0</v>
      </c>
      <c r="G807" s="11">
        <v>2581.0</v>
      </c>
      <c r="K807" s="17" t="str">
        <f>IFERROR(__xludf.DUMMYFUNCTION("""COMPUTED_VALUE"""),"Esquire Laundry Basket Brown, 50 Ltr Capacity(Plastic)")</f>
        <v>Esquire Laundry Basket Brown, 50 Ltr Capacity(Plastic)</v>
      </c>
      <c r="L807" s="17" t="str">
        <f>IFERROR(__xludf.DUMMYFUNCTION("""COMPUTED_VALUE"""),"Home&amp;Kitchen|HomeStorage&amp;Organization|LaundryOrganization|LaundryBaskets")</f>
        <v>Home&amp;Kitchen|HomeStorage&amp;Organization|LaundryOrganization|LaundryBaskets</v>
      </c>
      <c r="M807" s="23">
        <f>IFERROR(__xludf.DUMMYFUNCTION("""COMPUTED_VALUE"""),950.0)</f>
        <v>950</v>
      </c>
      <c r="N807" s="23">
        <f>IFERROR(__xludf.DUMMYFUNCTION("""COMPUTED_VALUE"""),1599.0)</f>
        <v>1599</v>
      </c>
      <c r="O807" s="24">
        <f>IFERROR(__xludf.DUMMYFUNCTION("""COMPUTED_VALUE"""),0.41)</f>
        <v>0.41</v>
      </c>
      <c r="P807" s="17">
        <f>IFERROR(__xludf.DUMMYFUNCTION("""COMPUTED_VALUE"""),4.3)</f>
        <v>4.3</v>
      </c>
      <c r="Q807" s="25">
        <f>IFERROR(__xludf.DUMMYFUNCTION("""COMPUTED_VALUE"""),5911.0)</f>
        <v>5911</v>
      </c>
    </row>
    <row r="808">
      <c r="A808" s="7" t="s">
        <v>869</v>
      </c>
      <c r="B808" s="7" t="s">
        <v>804</v>
      </c>
      <c r="C808" s="8">
        <v>999.0</v>
      </c>
      <c r="D808" s="8">
        <v>2490.0</v>
      </c>
      <c r="E808" s="19">
        <v>0.6</v>
      </c>
      <c r="F808" s="10">
        <v>4.1</v>
      </c>
      <c r="G808" s="11">
        <v>18331.0</v>
      </c>
      <c r="K808" s="17" t="str">
        <f>IFERROR(__xludf.DUMMYFUNCTION("""COMPUTED_VALUE"""),"PHILIPS Air Fryer HD9200/90, uses up to 90% less fat, 1400W, 4.1 Liter, with Rapid Air Technology (Black), Large")</f>
        <v>PHILIPS Air Fryer HD9200/90, uses up to 90% less fat, 1400W, 4.1 Liter, with Rapid Air Technology (Black), Large</v>
      </c>
      <c r="L808" s="17" t="str">
        <f>IFERROR(__xludf.DUMMYFUNCTION("""COMPUTED_VALUE"""),"Home&amp;Kitchen|Kitchen&amp;HomeAppliances|SmallKitchenAppliances|DeepFatFryers|AirFryers")</f>
        <v>Home&amp;Kitchen|Kitchen&amp;HomeAppliances|SmallKitchenAppliances|DeepFatFryers|AirFryers</v>
      </c>
      <c r="M808" s="23">
        <f>IFERROR(__xludf.DUMMYFUNCTION("""COMPUTED_VALUE"""),7199.0)</f>
        <v>7199</v>
      </c>
      <c r="N808" s="23">
        <f>IFERROR(__xludf.DUMMYFUNCTION("""COMPUTED_VALUE"""),9995.0)</f>
        <v>9995</v>
      </c>
      <c r="O808" s="24">
        <f>IFERROR(__xludf.DUMMYFUNCTION("""COMPUTED_VALUE"""),0.28)</f>
        <v>0.28</v>
      </c>
      <c r="P808" s="17">
        <f>IFERROR(__xludf.DUMMYFUNCTION("""COMPUTED_VALUE"""),4.4)</f>
        <v>4.4</v>
      </c>
      <c r="Q808" s="25">
        <f>IFERROR(__xludf.DUMMYFUNCTION("""COMPUTED_VALUE"""),1964.0)</f>
        <v>1964</v>
      </c>
    </row>
    <row r="809">
      <c r="A809" s="7" t="s">
        <v>870</v>
      </c>
      <c r="B809" s="7" t="s">
        <v>627</v>
      </c>
      <c r="C809" s="8">
        <v>378.0</v>
      </c>
      <c r="D809" s="8">
        <v>999.0</v>
      </c>
      <c r="E809" s="19">
        <v>0.62</v>
      </c>
      <c r="F809" s="10">
        <v>4.1</v>
      </c>
      <c r="G809" s="11">
        <v>1779.0</v>
      </c>
      <c r="K809" s="17" t="str">
        <f>IFERROR(__xludf.DUMMYFUNCTION("""COMPUTED_VALUE"""),"Havells Bero Quartz Heater Black 800w 2 Heat Settings 2 Year Product Warranty")</f>
        <v>Havells Bero Quartz Heater Black 800w 2 Heat Settings 2 Year Product Warranty</v>
      </c>
      <c r="L809" s="17" t="str">
        <f>IFERROR(__xludf.DUMMYFUNCTION("""COMPUTED_VALUE"""),"Home&amp;Kitchen|Heating,Cooling&amp;AirQuality|RoomHeaters|ElectricHeaters")</f>
        <v>Home&amp;Kitchen|Heating,Cooling&amp;AirQuality|RoomHeaters|ElectricHeaters</v>
      </c>
      <c r="M809" s="23">
        <f>IFERROR(__xludf.DUMMYFUNCTION("""COMPUTED_VALUE"""),2439.0)</f>
        <v>2439</v>
      </c>
      <c r="N809" s="23">
        <f>IFERROR(__xludf.DUMMYFUNCTION("""COMPUTED_VALUE"""),2545.0)</f>
        <v>2545</v>
      </c>
      <c r="O809" s="24">
        <f>IFERROR(__xludf.DUMMYFUNCTION("""COMPUTED_VALUE"""),0.04)</f>
        <v>0.04</v>
      </c>
      <c r="P809" s="17">
        <f>IFERROR(__xludf.DUMMYFUNCTION("""COMPUTED_VALUE"""),4.1)</f>
        <v>4.1</v>
      </c>
      <c r="Q809" s="17">
        <f>IFERROR(__xludf.DUMMYFUNCTION("""COMPUTED_VALUE"""),25.0)</f>
        <v>25</v>
      </c>
    </row>
    <row r="810">
      <c r="A810" s="7" t="s">
        <v>871</v>
      </c>
      <c r="B810" s="7" t="s">
        <v>872</v>
      </c>
      <c r="C810" s="8">
        <v>99.0</v>
      </c>
      <c r="D810" s="8">
        <v>99.0</v>
      </c>
      <c r="E810" s="19">
        <v>0.0</v>
      </c>
      <c r="F810" s="10">
        <v>4.3</v>
      </c>
      <c r="G810" s="10">
        <v>388.0</v>
      </c>
      <c r="K810" s="17" t="str">
        <f>IFERROR(__xludf.DUMMYFUNCTION("""COMPUTED_VALUE"""),"Brayden Chopro, Electric Vegetable Chopper for Kitchen with 500 ML Capacity, 400 Watts Copper Motor and 4 Bi-Level SS Blades (Black)")</f>
        <v>Brayden Chopro, Electric Vegetable Chopper for Kitchen with 500 ML Capacity, 400 Watts Copper Motor and 4 Bi-Level SS Blades (Black)</v>
      </c>
      <c r="L810" s="17" t="str">
        <f>IFERROR(__xludf.DUMMYFUNCTION("""COMPUTED_VALUE"""),"Home&amp;Kitchen|Kitchen&amp;HomeAppliances|SmallKitchenAppliances|MiniFoodProcessors&amp;Choppers")</f>
        <v>Home&amp;Kitchen|Kitchen&amp;HomeAppliances|SmallKitchenAppliances|MiniFoodProcessors&amp;Choppers</v>
      </c>
      <c r="M810" s="23">
        <f>IFERROR(__xludf.DUMMYFUNCTION("""COMPUTED_VALUE"""),1599.0)</f>
        <v>1599</v>
      </c>
      <c r="N810" s="23">
        <f>IFERROR(__xludf.DUMMYFUNCTION("""COMPUTED_VALUE"""),1999.0)</f>
        <v>1999</v>
      </c>
      <c r="O810" s="24">
        <f>IFERROR(__xludf.DUMMYFUNCTION("""COMPUTED_VALUE"""),0.2)</f>
        <v>0.2</v>
      </c>
      <c r="P810" s="17">
        <f>IFERROR(__xludf.DUMMYFUNCTION("""COMPUTED_VALUE"""),4.4)</f>
        <v>4.4</v>
      </c>
      <c r="Q810" s="25">
        <f>IFERROR(__xludf.DUMMYFUNCTION("""COMPUTED_VALUE"""),1558.0)</f>
        <v>1558</v>
      </c>
    </row>
    <row r="811">
      <c r="A811" s="7" t="s">
        <v>873</v>
      </c>
      <c r="B811" s="7" t="s">
        <v>709</v>
      </c>
      <c r="C811" s="8">
        <v>1499.0</v>
      </c>
      <c r="D811" s="8">
        <v>2999.0</v>
      </c>
      <c r="E811" s="19">
        <v>0.5</v>
      </c>
      <c r="F811" s="10">
        <v>4.5</v>
      </c>
      <c r="G811" s="11">
        <v>8656.0</v>
      </c>
      <c r="K811" s="17" t="str">
        <f>IFERROR(__xludf.DUMMYFUNCTION("""COMPUTED_VALUE"""),"Usha Janome Dream Stitch Automatic Zig-Zag Electric Sewing Machine with 14 Stitch Function (White and Blue) with Free Sewing KIT Worth RS 500")</f>
        <v>Usha Janome Dream Stitch Automatic Zig-Zag Electric Sewing Machine with 14 Stitch Function (White and Blue) with Free Sewing KIT Worth RS 500</v>
      </c>
      <c r="L811" s="17" t="str">
        <f>IFERROR(__xludf.DUMMYFUNCTION("""COMPUTED_VALUE"""),"Home&amp;Kitchen|Kitchen&amp;HomeAppliances|SewingMachines&amp;Accessories|Sewing&amp;EmbroideryMachines")</f>
        <v>Home&amp;Kitchen|Kitchen&amp;HomeAppliances|SewingMachines&amp;Accessories|Sewing&amp;EmbroideryMachines</v>
      </c>
      <c r="M811" s="23">
        <f>IFERROR(__xludf.DUMMYFUNCTION("""COMPUTED_VALUE"""),9799.0)</f>
        <v>9799</v>
      </c>
      <c r="N811" s="23">
        <f>IFERROR(__xludf.DUMMYFUNCTION("""COMPUTED_VALUE"""),12150.0)</f>
        <v>12150</v>
      </c>
      <c r="O811" s="24">
        <f>IFERROR(__xludf.DUMMYFUNCTION("""COMPUTED_VALUE"""),0.19)</f>
        <v>0.19</v>
      </c>
      <c r="P811" s="17">
        <f>IFERROR(__xludf.DUMMYFUNCTION("""COMPUTED_VALUE"""),4.3)</f>
        <v>4.3</v>
      </c>
      <c r="Q811" s="25">
        <f>IFERROR(__xludf.DUMMYFUNCTION("""COMPUTED_VALUE"""),13251.0)</f>
        <v>13251</v>
      </c>
    </row>
    <row r="812">
      <c r="A812" s="7" t="s">
        <v>874</v>
      </c>
      <c r="B812" s="7" t="s">
        <v>875</v>
      </c>
      <c r="C812" s="8">
        <v>1815.0</v>
      </c>
      <c r="D812" s="8">
        <v>3100.0</v>
      </c>
      <c r="E812" s="19">
        <v>0.41</v>
      </c>
      <c r="F812" s="10">
        <v>4.5</v>
      </c>
      <c r="G812" s="11">
        <v>92925.0</v>
      </c>
      <c r="K812" s="17" t="str">
        <f>IFERROR(__xludf.DUMMYFUNCTION("""COMPUTED_VALUE"""),"Sujata Powermatic Plus 900 Watts Juicer Mixer Grinder")</f>
        <v>Sujata Powermatic Plus 900 Watts Juicer Mixer Grinder</v>
      </c>
      <c r="L812" s="17" t="str">
        <f>IFERROR(__xludf.DUMMYFUNCTION("""COMPUTED_VALUE"""),"Home&amp;Kitchen|Kitchen&amp;HomeAppliances|SmallKitchenAppliances|JuicerMixerGrinders")</f>
        <v>Home&amp;Kitchen|Kitchen&amp;HomeAppliances|SmallKitchenAppliances|JuicerMixerGrinders</v>
      </c>
      <c r="M812" s="23">
        <f>IFERROR(__xludf.DUMMYFUNCTION("""COMPUTED_VALUE"""),5890.0)</f>
        <v>5890</v>
      </c>
      <c r="N812" s="23">
        <f>IFERROR(__xludf.DUMMYFUNCTION("""COMPUTED_VALUE"""),7506.0)</f>
        <v>7506</v>
      </c>
      <c r="O812" s="24">
        <f>IFERROR(__xludf.DUMMYFUNCTION("""COMPUTED_VALUE"""),0.22)</f>
        <v>0.22</v>
      </c>
      <c r="P812" s="17">
        <f>IFERROR(__xludf.DUMMYFUNCTION("""COMPUTED_VALUE"""),4.5)</f>
        <v>4.5</v>
      </c>
      <c r="Q812" s="25">
        <f>IFERROR(__xludf.DUMMYFUNCTION("""COMPUTED_VALUE"""),7241.0)</f>
        <v>7241</v>
      </c>
    </row>
    <row r="813">
      <c r="A813" s="7" t="s">
        <v>876</v>
      </c>
      <c r="B813" s="7" t="s">
        <v>817</v>
      </c>
      <c r="C813" s="8">
        <v>67.0</v>
      </c>
      <c r="D813" s="8">
        <v>75.0</v>
      </c>
      <c r="E813" s="19">
        <v>0.11</v>
      </c>
      <c r="F813" s="10">
        <v>4.1</v>
      </c>
      <c r="G813" s="11">
        <v>1269.0</v>
      </c>
      <c r="K813" s="17" t="str">
        <f>IFERROR(__xludf.DUMMYFUNCTION("""COMPUTED_VALUE"""),"Tesora - Inspired by you Large Premium Electric Kettle 1.8L, Stainless Steel Inner Body - Auto Power Cut, Boil Dry Protection &amp; Cool Touch Double Wall, Portable | 1500 Watts |1 Year Warranty | (White)")</f>
        <v>Tesora - Inspired by you Large Premium Electric Kettle 1.8L, Stainless Steel Inner Body - Auto Power Cut, Boil Dry Protection &amp; Cool Touch Double Wall, Portable | 1500 Watts |1 Year Warranty | (White)</v>
      </c>
      <c r="L813" s="17" t="str">
        <f>IFERROR(__xludf.DUMMYFUNCTION("""COMPUTED_VALUE"""),"Home&amp;Kitchen|Kitchen&amp;HomeAppliances|SmallKitchenAppliances|Kettles&amp;HotWaterDispensers|Kettle&amp;ToasterSets")</f>
        <v>Home&amp;Kitchen|Kitchen&amp;HomeAppliances|SmallKitchenAppliances|Kettles&amp;HotWaterDispensers|Kettle&amp;ToasterSets</v>
      </c>
      <c r="M813" s="23">
        <f>IFERROR(__xludf.DUMMYFUNCTION("""COMPUTED_VALUE"""),1349.0)</f>
        <v>1349</v>
      </c>
      <c r="N813" s="23">
        <f>IFERROR(__xludf.DUMMYFUNCTION("""COMPUTED_VALUE"""),1850.0)</f>
        <v>1850</v>
      </c>
      <c r="O813" s="24">
        <f>IFERROR(__xludf.DUMMYFUNCTION("""COMPUTED_VALUE"""),0.27)</f>
        <v>0.27</v>
      </c>
      <c r="P813" s="17">
        <f>IFERROR(__xludf.DUMMYFUNCTION("""COMPUTED_VALUE"""),4.4)</f>
        <v>4.4</v>
      </c>
      <c r="Q813" s="17">
        <f>IFERROR(__xludf.DUMMYFUNCTION("""COMPUTED_VALUE"""),638.0)</f>
        <v>638</v>
      </c>
    </row>
    <row r="814">
      <c r="A814" s="7" t="s">
        <v>877</v>
      </c>
      <c r="B814" s="7" t="s">
        <v>631</v>
      </c>
      <c r="C814" s="8">
        <v>1889.0</v>
      </c>
      <c r="D814" s="8">
        <v>2699.0</v>
      </c>
      <c r="E814" s="19">
        <v>0.3</v>
      </c>
      <c r="F814" s="10">
        <v>4.3</v>
      </c>
      <c r="G814" s="11">
        <v>17394.0</v>
      </c>
      <c r="K814" s="17" t="str">
        <f>IFERROR(__xludf.DUMMYFUNCTION("""COMPUTED_VALUE"""),"AGARO Ace 1600 Watts, 21.5 kPa Suction Power, 21 litres Wet &amp; Dry Stainless Steel Vacuum Cleaner with Blower Function and Washable Dust Bag")</f>
        <v>AGARO Ace 1600 Watts, 21.5 kPa Suction Power, 21 litres Wet &amp; Dry Stainless Steel Vacuum Cleaner with Blower Function and Washable Dust Bag</v>
      </c>
      <c r="L814" s="17" t="str">
        <f>IFERROR(__xludf.DUMMYFUNCTION("""COMPUTED_VALUE"""),"Home&amp;Kitchen|Kitchen&amp;HomeAppliances|Vacuum,Cleaning&amp;Ironing|Vacuums&amp;FloorCare|Vacuums|Wet-DryVacuums")</f>
        <v>Home&amp;Kitchen|Kitchen&amp;HomeAppliances|Vacuum,Cleaning&amp;Ironing|Vacuums&amp;FloorCare|Vacuums|Wet-DryVacuums</v>
      </c>
      <c r="M814" s="23">
        <f>IFERROR(__xludf.DUMMYFUNCTION("""COMPUTED_VALUE"""),6236.0)</f>
        <v>6236</v>
      </c>
      <c r="N814" s="23">
        <f>IFERROR(__xludf.DUMMYFUNCTION("""COMPUTED_VALUE"""),9999.0)</f>
        <v>9999</v>
      </c>
      <c r="O814" s="24">
        <f>IFERROR(__xludf.DUMMYFUNCTION("""COMPUTED_VALUE"""),0.38)</f>
        <v>0.38</v>
      </c>
      <c r="P814" s="17">
        <f>IFERROR(__xludf.DUMMYFUNCTION("""COMPUTED_VALUE"""),4.1)</f>
        <v>4.1</v>
      </c>
      <c r="Q814" s="25">
        <f>IFERROR(__xludf.DUMMYFUNCTION("""COMPUTED_VALUE"""),3552.0)</f>
        <v>3552</v>
      </c>
    </row>
    <row r="815">
      <c r="A815" s="7" t="s">
        <v>878</v>
      </c>
      <c r="B815" s="7" t="s">
        <v>393</v>
      </c>
      <c r="C815" s="8">
        <v>499.0</v>
      </c>
      <c r="D815" s="8">
        <v>1499.0</v>
      </c>
      <c r="E815" s="19">
        <v>0.67</v>
      </c>
      <c r="F815" s="10">
        <v>3.6</v>
      </c>
      <c r="G815" s="11">
        <v>9169.0</v>
      </c>
      <c r="K815" s="17" t="str">
        <f>IFERROR(__xludf.DUMMYFUNCTION("""COMPUTED_VALUE"""),"INALSA Hand Blender 1000 Watt with Chopper, Whisker, 600 ml Multipurpose Jar|Variable Speed And Turbo Speed Function |100% Copper Motor |Low Noise |ANTI-SPLASH TECHNOLOGY|2 Year Warranty")</f>
        <v>INALSA Hand Blender 1000 Watt with Chopper, Whisker, 600 ml Multipurpose Jar|Variable Speed And Turbo Speed Function |100% Copper Motor |Low Noise |ANTI-SPLASH TECHNOLOGY|2 Year Warranty</v>
      </c>
      <c r="L815" s="17" t="str">
        <f>IFERROR(__xludf.DUMMYFUNCTION("""COMPUTED_VALUE"""),"Home&amp;Kitchen|Kitchen&amp;HomeAppliances|SmallKitchenAppliances|HandBlenders")</f>
        <v>Home&amp;Kitchen|Kitchen&amp;HomeAppliances|SmallKitchenAppliances|HandBlenders</v>
      </c>
      <c r="M815" s="23">
        <f>IFERROR(__xludf.DUMMYFUNCTION("""COMPUTED_VALUE"""),2742.0)</f>
        <v>2742</v>
      </c>
      <c r="N815" s="23">
        <f>IFERROR(__xludf.DUMMYFUNCTION("""COMPUTED_VALUE"""),3995.0)</f>
        <v>3995</v>
      </c>
      <c r="O815" s="24">
        <f>IFERROR(__xludf.DUMMYFUNCTION("""COMPUTED_VALUE"""),0.31)</f>
        <v>0.31</v>
      </c>
      <c r="P815" s="17">
        <f>IFERROR(__xludf.DUMMYFUNCTION("""COMPUTED_VALUE"""),4.4)</f>
        <v>4.4</v>
      </c>
      <c r="Q815" s="25">
        <f>IFERROR(__xludf.DUMMYFUNCTION("""COMPUTED_VALUE"""),11148.0)</f>
        <v>11148</v>
      </c>
    </row>
    <row r="816">
      <c r="A816" s="7" t="s">
        <v>879</v>
      </c>
      <c r="B816" s="7" t="s">
        <v>696</v>
      </c>
      <c r="C816" s="8">
        <v>499.0</v>
      </c>
      <c r="D816" s="8">
        <v>999.0</v>
      </c>
      <c r="E816" s="19">
        <v>0.5</v>
      </c>
      <c r="F816" s="10">
        <v>4.4</v>
      </c>
      <c r="G816" s="11">
        <v>1030.0</v>
      </c>
      <c r="K816" s="17" t="str">
        <f>IFERROR(__xludf.DUMMYFUNCTION("""COMPUTED_VALUE"""),"Philips EasySpeed Plus Steam Iron GC2145/20-2200W, Quick Heat Up with up to 30 g/min steam, 110 g steam Boost, Scratch Resistant Ceramic Soleplate, Vertical steam &amp; Drip-Stop")</f>
        <v>Philips EasySpeed Plus Steam Iron GC2145/20-2200W, Quick Heat Up with up to 30 g/min steam, 110 g steam Boost, Scratch Resistant Ceramic Soleplate, Vertical steam &amp; Drip-Stop</v>
      </c>
      <c r="L816" s="17" t="str">
        <f>IFERROR(__xludf.DUMMYFUNCTION("""COMPUTED_VALUE"""),"Home&amp;Kitchen|Kitchen&amp;HomeAppliances|Vacuum,Cleaning&amp;Ironing|Irons,Steamers&amp;Accessories|Irons|SteamIrons")</f>
        <v>Home&amp;Kitchen|Kitchen&amp;HomeAppliances|Vacuum,Cleaning&amp;Ironing|Irons,Steamers&amp;Accessories|Irons|SteamIrons</v>
      </c>
      <c r="M816" s="23">
        <f>IFERROR(__xludf.DUMMYFUNCTION("""COMPUTED_VALUE"""),2903.0)</f>
        <v>2903</v>
      </c>
      <c r="N816" s="23">
        <f>IFERROR(__xludf.DUMMYFUNCTION("""COMPUTED_VALUE"""),3295.0)</f>
        <v>3295</v>
      </c>
      <c r="O816" s="24">
        <f>IFERROR(__xludf.DUMMYFUNCTION("""COMPUTED_VALUE"""),0.12)</f>
        <v>0.12</v>
      </c>
      <c r="P816" s="17">
        <f>IFERROR(__xludf.DUMMYFUNCTION("""COMPUTED_VALUE"""),4.3)</f>
        <v>4.3</v>
      </c>
      <c r="Q816" s="25">
        <f>IFERROR(__xludf.DUMMYFUNCTION("""COMPUTED_VALUE"""),2299.0)</f>
        <v>2299</v>
      </c>
    </row>
    <row r="817">
      <c r="A817" s="7" t="s">
        <v>880</v>
      </c>
      <c r="B817" s="7" t="s">
        <v>662</v>
      </c>
      <c r="C817" s="8">
        <v>5799.0</v>
      </c>
      <c r="D817" s="8">
        <v>7999.0</v>
      </c>
      <c r="E817" s="19">
        <v>0.28</v>
      </c>
      <c r="F817" s="10">
        <v>4.5</v>
      </c>
      <c r="G817" s="11">
        <v>50273.0</v>
      </c>
      <c r="K817" s="17" t="str">
        <f>IFERROR(__xludf.DUMMYFUNCTION("""COMPUTED_VALUE"""),"INALSA Electric Chopper Bullet- 400 Watts with 100% Pure Copper Motor| Chop, Mince, Puree, Dice | Twin Blade Technology| 900 ml Capacity| One Touch Operation, 1.30mtr Long Power Cord (Black/Silver)")</f>
        <v>INALSA Electric Chopper Bullet- 400 Watts with 100% Pure Copper Motor| Chop, Mince, Puree, Dice | Twin Blade Technology| 900 ml Capacity| One Touch Operation, 1.30mtr Long Power Cord (Black/Silver)</v>
      </c>
      <c r="L817" s="17" t="str">
        <f>IFERROR(__xludf.DUMMYFUNCTION("""COMPUTED_VALUE"""),"Home&amp;Kitchen|Kitchen&amp;HomeAppliances|SmallKitchenAppliances|MiniFoodProcessors&amp;Choppers")</f>
        <v>Home&amp;Kitchen|Kitchen&amp;HomeAppliances|SmallKitchenAppliances|MiniFoodProcessors&amp;Choppers</v>
      </c>
      <c r="M817" s="23">
        <f>IFERROR(__xludf.DUMMYFUNCTION("""COMPUTED_VALUE"""),1656.0)</f>
        <v>1656</v>
      </c>
      <c r="N817" s="23">
        <f>IFERROR(__xludf.DUMMYFUNCTION("""COMPUTED_VALUE"""),2695.0)</f>
        <v>2695</v>
      </c>
      <c r="O817" s="24">
        <f>IFERROR(__xludf.DUMMYFUNCTION("""COMPUTED_VALUE"""),0.39)</f>
        <v>0.39</v>
      </c>
      <c r="P817" s="17">
        <f>IFERROR(__xludf.DUMMYFUNCTION("""COMPUTED_VALUE"""),4.4)</f>
        <v>4.4</v>
      </c>
      <c r="Q817" s="25">
        <f>IFERROR(__xludf.DUMMYFUNCTION("""COMPUTED_VALUE"""),6027.0)</f>
        <v>6027</v>
      </c>
    </row>
    <row r="818">
      <c r="A818" s="7" t="s">
        <v>881</v>
      </c>
      <c r="B818" s="7" t="s">
        <v>882</v>
      </c>
      <c r="C818" s="8">
        <v>499.0</v>
      </c>
      <c r="D818" s="8">
        <v>799.0</v>
      </c>
      <c r="E818" s="19">
        <v>0.38</v>
      </c>
      <c r="F818" s="10">
        <v>3.9</v>
      </c>
      <c r="G818" s="11">
        <v>6742.0</v>
      </c>
      <c r="K818" s="17" t="str">
        <f>IFERROR(__xludf.DUMMYFUNCTION("""COMPUTED_VALUE"""),"Borosil Electric Egg Boiler, 8 Egg Capacity, For Hard, Soft, Medium Boiled Eggs, Steamed Vegetables, Transparent Lid, Stainless Steel Exterior (500 Watts)")</f>
        <v>Borosil Electric Egg Boiler, 8 Egg Capacity, For Hard, Soft, Medium Boiled Eggs, Steamed Vegetables, Transparent Lid, Stainless Steel Exterior (500 Watts)</v>
      </c>
      <c r="L818" s="17" t="str">
        <f>IFERROR(__xludf.DUMMYFUNCTION("""COMPUTED_VALUE"""),"Home&amp;Kitchen|Kitchen&amp;HomeAppliances|SmallKitchenAppliances|EggBoilers")</f>
        <v>Home&amp;Kitchen|Kitchen&amp;HomeAppliances|SmallKitchenAppliances|EggBoilers</v>
      </c>
      <c r="M818" s="23">
        <f>IFERROR(__xludf.DUMMYFUNCTION("""COMPUTED_VALUE"""),1399.0)</f>
        <v>1399</v>
      </c>
      <c r="N818" s="23">
        <f>IFERROR(__xludf.DUMMYFUNCTION("""COMPUTED_VALUE"""),2290.0)</f>
        <v>2290</v>
      </c>
      <c r="O818" s="24">
        <f>IFERROR(__xludf.DUMMYFUNCTION("""COMPUTED_VALUE"""),0.39)</f>
        <v>0.39</v>
      </c>
      <c r="P818" s="17">
        <f>IFERROR(__xludf.DUMMYFUNCTION("""COMPUTED_VALUE"""),4.4)</f>
        <v>4.4</v>
      </c>
      <c r="Q818" s="17">
        <f>IFERROR(__xludf.DUMMYFUNCTION("""COMPUTED_VALUE"""),461.0)</f>
        <v>461</v>
      </c>
    </row>
    <row r="819">
      <c r="A819" s="7" t="s">
        <v>883</v>
      </c>
      <c r="B819" s="7" t="s">
        <v>627</v>
      </c>
      <c r="C819" s="8">
        <v>249.0</v>
      </c>
      <c r="D819" s="8">
        <v>600.0</v>
      </c>
      <c r="E819" s="19">
        <v>0.59</v>
      </c>
      <c r="F819" s="10">
        <v>4.0</v>
      </c>
      <c r="G819" s="11">
        <v>1208.0</v>
      </c>
      <c r="K819" s="17" t="str">
        <f>IFERROR(__xludf.DUMMYFUNCTION("""COMPUTED_VALUE"""),"Wipro Vesta Grill 1000 Watt Sandwich Maker |Dual function-SW Maker&amp;Griller|Non stick Coat -BPA&amp;PTFE Free |Auto Temp Cut-off| Height Control -180ᶿ&amp;105ᶿ |2 year warranty|SS Finish|Standard size")</f>
        <v>Wipro Vesta Grill 1000 Watt Sandwich Maker |Dual function-SW Maker&amp;Griller|Non stick Coat -BPA&amp;PTFE Free |Auto Temp Cut-off| Height Control -180ᶿ&amp;105ᶿ |2 year warranty|SS Finish|Standard size</v>
      </c>
      <c r="L819" s="17" t="str">
        <f>IFERROR(__xludf.DUMMYFUNCTION("""COMPUTED_VALUE"""),"Home&amp;Kitchen|Kitchen&amp;HomeAppliances|SmallKitchenAppliances|SandwichMakers")</f>
        <v>Home&amp;Kitchen|Kitchen&amp;HomeAppliances|SmallKitchenAppliances|SandwichMakers</v>
      </c>
      <c r="M819" s="23">
        <f>IFERROR(__xludf.DUMMYFUNCTION("""COMPUTED_VALUE"""),2079.0)</f>
        <v>2079</v>
      </c>
      <c r="N819" s="23">
        <f>IFERROR(__xludf.DUMMYFUNCTION("""COMPUTED_VALUE"""),3099.0)</f>
        <v>3099</v>
      </c>
      <c r="O819" s="24">
        <f>IFERROR(__xludf.DUMMYFUNCTION("""COMPUTED_VALUE"""),0.33)</f>
        <v>0.33</v>
      </c>
      <c r="P819" s="17">
        <f>IFERROR(__xludf.DUMMYFUNCTION("""COMPUTED_VALUE"""),4.1)</f>
        <v>4.1</v>
      </c>
      <c r="Q819" s="17">
        <f>IFERROR(__xludf.DUMMYFUNCTION("""COMPUTED_VALUE"""),282.0)</f>
        <v>282</v>
      </c>
    </row>
    <row r="820">
      <c r="A820" s="7" t="s">
        <v>52</v>
      </c>
      <c r="B820" s="7" t="s">
        <v>15</v>
      </c>
      <c r="C820" s="8">
        <v>179.0</v>
      </c>
      <c r="D820" s="8">
        <v>499.0</v>
      </c>
      <c r="E820" s="19">
        <v>0.64</v>
      </c>
      <c r="F820" s="10">
        <v>4.0</v>
      </c>
      <c r="G820" s="11">
        <v>1933.0</v>
      </c>
      <c r="K820" s="17" t="str">
        <f>IFERROR(__xludf.DUMMYFUNCTION("""COMPUTED_VALUE"""),"Rico IRPRO 1500 Watt Japanese Technology Electric Water Heater Immersion Rod Shockproof Protection &amp; Stainless Steel Heating Element for Instant Heating| ISI Certified 1 Year Replacement Warranty")</f>
        <v>Rico IRPRO 1500 Watt Japanese Technology Electric Water Heater Immersion Rod Shockproof Protection &amp; Stainless Steel Heating Element for Instant Heating| ISI Certified 1 Year Replacement Warranty</v>
      </c>
      <c r="L820" s="17" t="str">
        <f>IFERROR(__xludf.DUMMYFUNCTION("""COMPUTED_VALUE"""),"Home&amp;Kitchen|Heating,Cooling&amp;AirQuality|WaterHeaters&amp;Geysers|ImmersionRods")</f>
        <v>Home&amp;Kitchen|Heating,Cooling&amp;AirQuality|WaterHeaters&amp;Geysers|ImmersionRods</v>
      </c>
      <c r="M820" s="23">
        <f>IFERROR(__xludf.DUMMYFUNCTION("""COMPUTED_VALUE"""),999.0)</f>
        <v>999</v>
      </c>
      <c r="N820" s="23">
        <f>IFERROR(__xludf.DUMMYFUNCTION("""COMPUTED_VALUE"""),1075.0)</f>
        <v>1075</v>
      </c>
      <c r="O820" s="24">
        <f>IFERROR(__xludf.DUMMYFUNCTION("""COMPUTED_VALUE"""),0.07)</f>
        <v>0.07</v>
      </c>
      <c r="P820" s="17">
        <f>IFERROR(__xludf.DUMMYFUNCTION("""COMPUTED_VALUE"""),4.1)</f>
        <v>4.1</v>
      </c>
      <c r="Q820" s="25">
        <f>IFERROR(__xludf.DUMMYFUNCTION("""COMPUTED_VALUE"""),9275.0)</f>
        <v>9275</v>
      </c>
    </row>
    <row r="821">
      <c r="A821" s="7" t="s">
        <v>884</v>
      </c>
      <c r="B821" s="7" t="s">
        <v>662</v>
      </c>
      <c r="C821" s="8">
        <v>4449.0</v>
      </c>
      <c r="D821" s="8">
        <v>5734.0</v>
      </c>
      <c r="E821" s="19">
        <v>0.22</v>
      </c>
      <c r="F821" s="10">
        <v>4.4</v>
      </c>
      <c r="G821" s="11">
        <v>25006.0</v>
      </c>
      <c r="K821" s="17" t="str">
        <f>IFERROR(__xludf.DUMMYFUNCTION("""COMPUTED_VALUE"""),"iBELL Castor CTEK15L Premium 1.5 Litre Stainless Steel Electric Kettle,1500W Auto Cut-Off Feature,Silver")</f>
        <v>iBELL Castor CTEK15L Premium 1.5 Litre Stainless Steel Electric Kettle,1500W Auto Cut-Off Feature,Silver</v>
      </c>
      <c r="L821" s="17" t="str">
        <f>IFERROR(__xludf.DUMMYFUNCTION("""COMPUTED_VALUE"""),"Home&amp;Kitchen|Kitchen&amp;HomeAppliances|SmallKitchenAppliances|Kettles&amp;HotWaterDispensers|Kettle&amp;ToasterSets")</f>
        <v>Home&amp;Kitchen|Kitchen&amp;HomeAppliances|SmallKitchenAppliances|Kettles&amp;HotWaterDispensers|Kettle&amp;ToasterSets</v>
      </c>
      <c r="M821" s="23">
        <f>IFERROR(__xludf.DUMMYFUNCTION("""COMPUTED_VALUE"""),664.0)</f>
        <v>664</v>
      </c>
      <c r="N821" s="23">
        <f>IFERROR(__xludf.DUMMYFUNCTION("""COMPUTED_VALUE"""),1490.0)</f>
        <v>1490</v>
      </c>
      <c r="O821" s="24">
        <f>IFERROR(__xludf.DUMMYFUNCTION("""COMPUTED_VALUE"""),0.55)</f>
        <v>0.55</v>
      </c>
      <c r="P821" s="17">
        <f>IFERROR(__xludf.DUMMYFUNCTION("""COMPUTED_VALUE"""),4.1)</f>
        <v>4.1</v>
      </c>
      <c r="Q821" s="17">
        <f>IFERROR(__xludf.DUMMYFUNCTION("""COMPUTED_VALUE"""),925.0)</f>
        <v>925</v>
      </c>
    </row>
    <row r="822">
      <c r="A822" s="7" t="s">
        <v>885</v>
      </c>
      <c r="B822" s="7" t="s">
        <v>781</v>
      </c>
      <c r="C822" s="8">
        <v>299.0</v>
      </c>
      <c r="D822" s="8">
        <v>550.0</v>
      </c>
      <c r="E822" s="19">
        <v>0.46</v>
      </c>
      <c r="F822" s="10">
        <v>4.6</v>
      </c>
      <c r="G822" s="11">
        <v>33434.0</v>
      </c>
      <c r="K822" s="17" t="str">
        <f>IFERROR(__xludf.DUMMYFUNCTION("""COMPUTED_VALUE"""),"BAJAJ PYGMY MINI 110 MM 10 W HIGH SPEED OPERATION, USB CHARGING, MULTI-CLIP FUNCTION PERSONAL FAN")</f>
        <v>BAJAJ PYGMY MINI 110 MM 10 W HIGH SPEED OPERATION, USB CHARGING, MULTI-CLIP FUNCTION PERSONAL FAN</v>
      </c>
      <c r="L822" s="17" t="str">
        <f>IFERROR(__xludf.DUMMYFUNCTION("""COMPUTED_VALUE"""),"Home&amp;Kitchen|Heating,Cooling&amp;AirQuality|Fans|TableFans")</f>
        <v>Home&amp;Kitchen|Heating,Cooling&amp;AirQuality|Fans|TableFans</v>
      </c>
      <c r="M822" s="23">
        <f>IFERROR(__xludf.DUMMYFUNCTION("""COMPUTED_VALUE"""),948.0)</f>
        <v>948</v>
      </c>
      <c r="N822" s="23">
        <f>IFERROR(__xludf.DUMMYFUNCTION("""COMPUTED_VALUE"""),1620.0)</f>
        <v>1620</v>
      </c>
      <c r="O822" s="24">
        <f>IFERROR(__xludf.DUMMYFUNCTION("""COMPUTED_VALUE"""),0.41)</f>
        <v>0.41</v>
      </c>
      <c r="P822" s="17">
        <f>IFERROR(__xludf.DUMMYFUNCTION("""COMPUTED_VALUE"""),4.1)</f>
        <v>4.1</v>
      </c>
      <c r="Q822" s="25">
        <f>IFERROR(__xludf.DUMMYFUNCTION("""COMPUTED_VALUE"""),4370.0)</f>
        <v>4370</v>
      </c>
    </row>
    <row r="823">
      <c r="A823" s="7" t="s">
        <v>886</v>
      </c>
      <c r="B823" s="7" t="s">
        <v>625</v>
      </c>
      <c r="C823" s="8">
        <v>629.0</v>
      </c>
      <c r="D823" s="8">
        <v>1390.0</v>
      </c>
      <c r="E823" s="19">
        <v>0.55</v>
      </c>
      <c r="F823" s="10">
        <v>4.4</v>
      </c>
      <c r="G823" s="11">
        <v>6301.0</v>
      </c>
      <c r="K823" s="17" t="str">
        <f>IFERROR(__xludf.DUMMYFUNCTION("""COMPUTED_VALUE"""),"Crompton InstaGlide 1000-Watts Dry Iron with American Heritage Coating, Pack of 1 Iron")</f>
        <v>Crompton InstaGlide 1000-Watts Dry Iron with American Heritage Coating, Pack of 1 Iron</v>
      </c>
      <c r="L823" s="17" t="str">
        <f>IFERROR(__xludf.DUMMYFUNCTION("""COMPUTED_VALUE"""),"Home&amp;Kitchen|Kitchen&amp;HomeAppliances|Vacuum,Cleaning&amp;Ironing|Irons,Steamers&amp;Accessories|Irons|DryIrons")</f>
        <v>Home&amp;Kitchen|Kitchen&amp;HomeAppliances|Vacuum,Cleaning&amp;Ironing|Irons,Steamers&amp;Accessories|Irons|DryIrons</v>
      </c>
      <c r="M823" s="23">
        <f>IFERROR(__xludf.DUMMYFUNCTION("""COMPUTED_VALUE"""),850.0)</f>
        <v>850</v>
      </c>
      <c r="N823" s="23">
        <f>IFERROR(__xludf.DUMMYFUNCTION("""COMPUTED_VALUE"""),1000.0)</f>
        <v>1000</v>
      </c>
      <c r="O823" s="24">
        <f>IFERROR(__xludf.DUMMYFUNCTION("""COMPUTED_VALUE"""),0.15)</f>
        <v>0.15</v>
      </c>
      <c r="P823" s="17">
        <f>IFERROR(__xludf.DUMMYFUNCTION("""COMPUTED_VALUE"""),4.1)</f>
        <v>4.1</v>
      </c>
      <c r="Q823" s="25">
        <f>IFERROR(__xludf.DUMMYFUNCTION("""COMPUTED_VALUE"""),7619.0)</f>
        <v>7619</v>
      </c>
    </row>
    <row r="824">
      <c r="A824" s="7" t="s">
        <v>887</v>
      </c>
      <c r="B824" s="7" t="s">
        <v>647</v>
      </c>
      <c r="C824" s="8">
        <v>2595.0</v>
      </c>
      <c r="D824" s="8">
        <v>3295.0</v>
      </c>
      <c r="E824" s="19">
        <v>0.21</v>
      </c>
      <c r="F824" s="10">
        <v>4.4</v>
      </c>
      <c r="G824" s="11">
        <v>22618.0</v>
      </c>
      <c r="K824" s="17" t="str">
        <f>IFERROR(__xludf.DUMMYFUNCTION("""COMPUTED_VALUE"""),"Morphy Richards Aristo 2000 Watts PTC Room Heater (White)")</f>
        <v>Morphy Richards Aristo 2000 Watts PTC Room Heater (White)</v>
      </c>
      <c r="L824" s="17" t="str">
        <f>IFERROR(__xludf.DUMMYFUNCTION("""COMPUTED_VALUE"""),"Home&amp;Kitchen|Heating,Cooling&amp;AirQuality|RoomHeaters|ElectricHeaters")</f>
        <v>Home&amp;Kitchen|Heating,Cooling&amp;AirQuality|RoomHeaters|ElectricHeaters</v>
      </c>
      <c r="M824" s="23">
        <f>IFERROR(__xludf.DUMMYFUNCTION("""COMPUTED_VALUE"""),3711.0)</f>
        <v>3711</v>
      </c>
      <c r="N824" s="23">
        <f>IFERROR(__xludf.DUMMYFUNCTION("""COMPUTED_VALUE"""),4495.0)</f>
        <v>4495</v>
      </c>
      <c r="O824" s="24">
        <f>IFERROR(__xludf.DUMMYFUNCTION("""COMPUTED_VALUE"""),0.17)</f>
        <v>0.17</v>
      </c>
      <c r="P824" s="17">
        <f>IFERROR(__xludf.DUMMYFUNCTION("""COMPUTED_VALUE"""),4.3)</f>
        <v>4.3</v>
      </c>
      <c r="Q824" s="17">
        <f>IFERROR(__xludf.DUMMYFUNCTION("""COMPUTED_VALUE"""),356.0)</f>
        <v>356</v>
      </c>
    </row>
    <row r="825">
      <c r="A825" s="7" t="s">
        <v>53</v>
      </c>
      <c r="B825" s="7" t="s">
        <v>15</v>
      </c>
      <c r="C825" s="8">
        <v>389.0</v>
      </c>
      <c r="D825" s="8">
        <v>1099.0</v>
      </c>
      <c r="E825" s="19">
        <v>0.65</v>
      </c>
      <c r="F825" s="10">
        <v>4.3</v>
      </c>
      <c r="G825" s="10">
        <v>974.0</v>
      </c>
      <c r="K825" s="17" t="str">
        <f>IFERROR(__xludf.DUMMYFUNCTION("""COMPUTED_VALUE"""),"Gadgetronics Digital Kitchen Weighing Scale &amp; Food Weight Machine for Health, Fitness, Home Baking &amp; Cooking (10 KGs,1 Year Warranty &amp; Batteries Included)")</f>
        <v>Gadgetronics Digital Kitchen Weighing Scale &amp; Food Weight Machine for Health, Fitness, Home Baking &amp; Cooking (10 KGs,1 Year Warranty &amp; Batteries Included)</v>
      </c>
      <c r="L825" s="17" t="str">
        <f>IFERROR(__xludf.DUMMYFUNCTION("""COMPUTED_VALUE"""),"Home&amp;Kitchen|Kitchen&amp;HomeAppliances|SmallKitchenAppliances|DigitalKitchenScales")</f>
        <v>Home&amp;Kitchen|Kitchen&amp;HomeAppliances|SmallKitchenAppliances|DigitalKitchenScales</v>
      </c>
      <c r="M825" s="23">
        <f>IFERROR(__xludf.DUMMYFUNCTION("""COMPUTED_VALUE"""),799.0)</f>
        <v>799</v>
      </c>
      <c r="N825" s="23">
        <f>IFERROR(__xludf.DUMMYFUNCTION("""COMPUTED_VALUE"""),2999.0)</f>
        <v>2999</v>
      </c>
      <c r="O825" s="24">
        <f>IFERROR(__xludf.DUMMYFUNCTION("""COMPUTED_VALUE"""),0.73)</f>
        <v>0.73</v>
      </c>
      <c r="P825" s="17">
        <f>IFERROR(__xludf.DUMMYFUNCTION("""COMPUTED_VALUE"""),4.5)</f>
        <v>4.5</v>
      </c>
      <c r="Q825" s="17">
        <f>IFERROR(__xludf.DUMMYFUNCTION("""COMPUTED_VALUE"""),63.0)</f>
        <v>63</v>
      </c>
    </row>
    <row r="826">
      <c r="A826" s="7" t="s">
        <v>888</v>
      </c>
      <c r="B826" s="7" t="s">
        <v>709</v>
      </c>
      <c r="C826" s="8">
        <v>1799.0</v>
      </c>
      <c r="D826" s="8">
        <v>2911.0</v>
      </c>
      <c r="E826" s="19">
        <v>0.38</v>
      </c>
      <c r="F826" s="10">
        <v>4.3</v>
      </c>
      <c r="G826" s="11">
        <v>20342.0</v>
      </c>
      <c r="K826" s="17" t="str">
        <f>IFERROR(__xludf.DUMMYFUNCTION("""COMPUTED_VALUE"""),"HUL Pureit Germkill kit for Advanced 23 L water purifier - 3000 L Capacity, Sand, Multicolour")</f>
        <v>HUL Pureit Germkill kit for Advanced 23 L water purifier - 3000 L Capacity, Sand, Multicolour</v>
      </c>
      <c r="L826" s="17" t="str">
        <f>IFERROR(__xludf.DUMMYFUNCTION("""COMPUTED_VALUE"""),"Home&amp;Kitchen|Kitchen&amp;HomeAppliances|WaterPurifiers&amp;Accessories|WaterPurifierAccessories")</f>
        <v>Home&amp;Kitchen|Kitchen&amp;HomeAppliances|WaterPurifiers&amp;Accessories|WaterPurifierAccessories</v>
      </c>
      <c r="M826" s="23">
        <f>IFERROR(__xludf.DUMMYFUNCTION("""COMPUTED_VALUE"""),980.0)</f>
        <v>980</v>
      </c>
      <c r="N826" s="23">
        <f>IFERROR(__xludf.DUMMYFUNCTION("""COMPUTED_VALUE"""),980.0)</f>
        <v>980</v>
      </c>
      <c r="O826" s="24">
        <f>IFERROR(__xludf.DUMMYFUNCTION("""COMPUTED_VALUE"""),0.0)</f>
        <v>0</v>
      </c>
      <c r="P826" s="17">
        <f>IFERROR(__xludf.DUMMYFUNCTION("""COMPUTED_VALUE"""),4.2)</f>
        <v>4.2</v>
      </c>
      <c r="Q826" s="25">
        <f>IFERROR(__xludf.DUMMYFUNCTION("""COMPUTED_VALUE"""),4740.0)</f>
        <v>4740</v>
      </c>
    </row>
    <row r="827">
      <c r="A827" s="7" t="s">
        <v>889</v>
      </c>
      <c r="B827" s="7" t="s">
        <v>749</v>
      </c>
      <c r="C827" s="8">
        <v>90.0</v>
      </c>
      <c r="D827" s="8">
        <v>175.0</v>
      </c>
      <c r="E827" s="19">
        <v>0.49</v>
      </c>
      <c r="F827" s="10">
        <v>4.4</v>
      </c>
      <c r="G827" s="11">
        <v>7429.0</v>
      </c>
      <c r="K827" s="17" t="str">
        <f>IFERROR(__xludf.DUMMYFUNCTION("""COMPUTED_VALUE"""),"Philips EasySpeed Plus Steam Iron GC2147/30-2400W, Quick Heat up with up to 30 g/min steam, 150g steam Boost, Scratch Resistant Ceramic Soleplate, Vertical steam, Drip-Stop")</f>
        <v>Philips EasySpeed Plus Steam Iron GC2147/30-2400W, Quick Heat up with up to 30 g/min steam, 150g steam Boost, Scratch Resistant Ceramic Soleplate, Vertical steam, Drip-Stop</v>
      </c>
      <c r="L827" s="17" t="str">
        <f>IFERROR(__xludf.DUMMYFUNCTION("""COMPUTED_VALUE"""),"Home&amp;Kitchen|Kitchen&amp;HomeAppliances|Vacuum,Cleaning&amp;Ironing|Irons,Steamers&amp;Accessories|Irons|SteamIrons")</f>
        <v>Home&amp;Kitchen|Kitchen&amp;HomeAppliances|Vacuum,Cleaning&amp;Ironing|Irons,Steamers&amp;Accessories|Irons|SteamIrons</v>
      </c>
      <c r="M827" s="23">
        <f>IFERROR(__xludf.DUMMYFUNCTION("""COMPUTED_VALUE"""),3349.0)</f>
        <v>3349</v>
      </c>
      <c r="N827" s="23">
        <f>IFERROR(__xludf.DUMMYFUNCTION("""COMPUTED_VALUE"""),3995.0)</f>
        <v>3995</v>
      </c>
      <c r="O827" s="24">
        <f>IFERROR(__xludf.DUMMYFUNCTION("""COMPUTED_VALUE"""),0.16)</f>
        <v>0.16</v>
      </c>
      <c r="P827" s="17">
        <f>IFERROR(__xludf.DUMMYFUNCTION("""COMPUTED_VALUE"""),4.3)</f>
        <v>4.3</v>
      </c>
      <c r="Q827" s="25">
        <f>IFERROR(__xludf.DUMMYFUNCTION("""COMPUTED_VALUE"""),1954.0)</f>
        <v>1954</v>
      </c>
    </row>
    <row r="828">
      <c r="A828" s="7" t="s">
        <v>890</v>
      </c>
      <c r="B828" s="7" t="s">
        <v>631</v>
      </c>
      <c r="C828" s="8">
        <v>599.0</v>
      </c>
      <c r="D828" s="8">
        <v>599.0</v>
      </c>
      <c r="E828" s="19">
        <v>0.0</v>
      </c>
      <c r="F828" s="10">
        <v>4.0</v>
      </c>
      <c r="G828" s="11">
        <v>26423.0</v>
      </c>
      <c r="K828" s="17" t="str">
        <f>IFERROR(__xludf.DUMMYFUNCTION("""COMPUTED_VALUE"""),"Multifunctional 2 in 1 Electric Egg Boiling Steamer Egg Frying Pan Egg Boiler Electric Automatic Off with Egg Boiler Machine Non-Stick Electric Egg Frying Pan-Tiger Woods (Multy)")</f>
        <v>Multifunctional 2 in 1 Electric Egg Boiling Steamer Egg Frying Pan Egg Boiler Electric Automatic Off with Egg Boiler Machine Non-Stick Electric Egg Frying Pan-Tiger Woods (Multy)</v>
      </c>
      <c r="L828" s="17" t="str">
        <f>IFERROR(__xludf.DUMMYFUNCTION("""COMPUTED_VALUE"""),"Home&amp;Kitchen|Kitchen&amp;HomeAppliances|SmallKitchenAppliances|EggBoilers")</f>
        <v>Home&amp;Kitchen|Kitchen&amp;HomeAppliances|SmallKitchenAppliances|EggBoilers</v>
      </c>
      <c r="M828" s="23">
        <f>IFERROR(__xludf.DUMMYFUNCTION("""COMPUTED_VALUE"""),699.0)</f>
        <v>699</v>
      </c>
      <c r="N828" s="23">
        <f>IFERROR(__xludf.DUMMYFUNCTION("""COMPUTED_VALUE"""),1599.0)</f>
        <v>1599</v>
      </c>
      <c r="O828" s="24">
        <f>IFERROR(__xludf.DUMMYFUNCTION("""COMPUTED_VALUE"""),0.56)</f>
        <v>0.56</v>
      </c>
      <c r="P828" s="17">
        <f>IFERROR(__xludf.DUMMYFUNCTION("""COMPUTED_VALUE"""),4.7)</f>
        <v>4.7</v>
      </c>
      <c r="Q828" s="25">
        <f>IFERROR(__xludf.DUMMYFUNCTION("""COMPUTED_VALUE"""),2300.0)</f>
        <v>2300</v>
      </c>
    </row>
    <row r="829">
      <c r="A829" s="7" t="s">
        <v>891</v>
      </c>
      <c r="B829" s="7" t="s">
        <v>373</v>
      </c>
      <c r="C829" s="8">
        <v>1999.0</v>
      </c>
      <c r="D829" s="8">
        <v>7999.0</v>
      </c>
      <c r="E829" s="19">
        <v>0.75</v>
      </c>
      <c r="F829" s="10">
        <v>4.2</v>
      </c>
      <c r="G829" s="11">
        <v>31305.0</v>
      </c>
      <c r="K829" s="17" t="str">
        <f>IFERROR(__xludf.DUMMYFUNCTION("""COMPUTED_VALUE"""),"Maharaja Whiteline Nano Carbon Neo, 500 Watts Room Heater (Black, White), Standard (5200100986)")</f>
        <v>Maharaja Whiteline Nano Carbon Neo, 500 Watts Room Heater (Black, White), Standard (5200100986)</v>
      </c>
      <c r="L829" s="17" t="str">
        <f>IFERROR(__xludf.DUMMYFUNCTION("""COMPUTED_VALUE"""),"Home&amp;Kitchen|Heating,Cooling&amp;AirQuality|RoomHeaters|ElectricHeaters")</f>
        <v>Home&amp;Kitchen|Heating,Cooling&amp;AirQuality|RoomHeaters|ElectricHeaters</v>
      </c>
      <c r="M829" s="23">
        <f>IFERROR(__xludf.DUMMYFUNCTION("""COMPUTED_VALUE"""),1235.0)</f>
        <v>1235</v>
      </c>
      <c r="N829" s="23">
        <f>IFERROR(__xludf.DUMMYFUNCTION("""COMPUTED_VALUE"""),1499.0)</f>
        <v>1499</v>
      </c>
      <c r="O829" s="24">
        <f>IFERROR(__xludf.DUMMYFUNCTION("""COMPUTED_VALUE"""),0.18)</f>
        <v>0.18</v>
      </c>
      <c r="P829" s="17">
        <f>IFERROR(__xludf.DUMMYFUNCTION("""COMPUTED_VALUE"""),4.1)</f>
        <v>4.1</v>
      </c>
      <c r="Q829" s="17">
        <f>IFERROR(__xludf.DUMMYFUNCTION("""COMPUTED_VALUE"""),203.0)</f>
        <v>203</v>
      </c>
    </row>
    <row r="830">
      <c r="A830" s="7" t="s">
        <v>892</v>
      </c>
      <c r="B830" s="7" t="s">
        <v>893</v>
      </c>
      <c r="C830" s="8">
        <v>2099.0</v>
      </c>
      <c r="D830" s="8">
        <v>3250.0</v>
      </c>
      <c r="E830" s="19">
        <v>0.35</v>
      </c>
      <c r="F830" s="10">
        <v>3.8</v>
      </c>
      <c r="G830" s="11">
        <v>11213.0</v>
      </c>
      <c r="K830" s="17" t="str">
        <f>IFERROR(__xludf.DUMMYFUNCTION("""COMPUTED_VALUE"""),"Crompton Amica 15-L 5 Star Rated Storage Water Heater (Geyser) with Free Installation (White)")</f>
        <v>Crompton Amica 15-L 5 Star Rated Storage Water Heater (Geyser) with Free Installation (White)</v>
      </c>
      <c r="L830" s="17" t="str">
        <f>IFERROR(__xludf.DUMMYFUNCTION("""COMPUTED_VALUE"""),"Home&amp;Kitchen|Heating,Cooling&amp;AirQuality|WaterHeaters&amp;Geysers|StorageWaterHeaters")</f>
        <v>Home&amp;Kitchen|Heating,Cooling&amp;AirQuality|WaterHeaters&amp;Geysers|StorageWaterHeaters</v>
      </c>
      <c r="M830" s="23">
        <f>IFERROR(__xludf.DUMMYFUNCTION("""COMPUTED_VALUE"""),6800.0)</f>
        <v>6800</v>
      </c>
      <c r="N830" s="23">
        <f>IFERROR(__xludf.DUMMYFUNCTION("""COMPUTED_VALUE"""),11500.0)</f>
        <v>11500</v>
      </c>
      <c r="O830" s="24">
        <f>IFERROR(__xludf.DUMMYFUNCTION("""COMPUTED_VALUE"""),0.41)</f>
        <v>0.41</v>
      </c>
      <c r="P830" s="17">
        <f>IFERROR(__xludf.DUMMYFUNCTION("""COMPUTED_VALUE"""),4.1)</f>
        <v>4.1</v>
      </c>
      <c r="Q830" s="25">
        <f>IFERROR(__xludf.DUMMYFUNCTION("""COMPUTED_VALUE"""),10308.0)</f>
        <v>10308</v>
      </c>
    </row>
    <row r="831">
      <c r="A831" s="7" t="s">
        <v>894</v>
      </c>
      <c r="B831" s="7" t="s">
        <v>895</v>
      </c>
      <c r="C831" s="8">
        <v>179.0</v>
      </c>
      <c r="D831" s="8">
        <v>499.0</v>
      </c>
      <c r="E831" s="19">
        <v>0.64</v>
      </c>
      <c r="F831" s="10">
        <v>4.1</v>
      </c>
      <c r="G831" s="11">
        <v>10174.0</v>
      </c>
      <c r="K831" s="17" t="str">
        <f>IFERROR(__xludf.DUMMYFUNCTION("""COMPUTED_VALUE"""),"Eureka Forbes car Vac 100 Watts Powerful Suction Vacuum Cleaner with Washable HEPA Filter, 3 Accessories,Compact,Light Weight &amp; Easy to use (Black and Red)")</f>
        <v>Eureka Forbes car Vac 100 Watts Powerful Suction Vacuum Cleaner with Washable HEPA Filter, 3 Accessories,Compact,Light Weight &amp; Easy to use (Black and Red)</v>
      </c>
      <c r="L831" s="17" t="str">
        <f>IFERROR(__xludf.DUMMYFUNCTION("""COMPUTED_VALUE"""),"Home&amp;Kitchen|Kitchen&amp;HomeAppliances|Vacuum,Cleaning&amp;Ironing|Vacuums&amp;FloorCare|Vacuums|HandheldVacuums")</f>
        <v>Home&amp;Kitchen|Kitchen&amp;HomeAppliances|Vacuum,Cleaning&amp;Ironing|Vacuums&amp;FloorCare|Vacuums|HandheldVacuums</v>
      </c>
      <c r="M831" s="23">
        <f>IFERROR(__xludf.DUMMYFUNCTION("""COMPUTED_VALUE"""),2099.0)</f>
        <v>2099</v>
      </c>
      <c r="N831" s="23">
        <f>IFERROR(__xludf.DUMMYFUNCTION("""COMPUTED_VALUE"""),2499.0)</f>
        <v>2499</v>
      </c>
      <c r="O831" s="24">
        <f>IFERROR(__xludf.DUMMYFUNCTION("""COMPUTED_VALUE"""),0.16)</f>
        <v>0.16</v>
      </c>
      <c r="P831" s="17" t="str">
        <f>IFERROR(__xludf.DUMMYFUNCTION("""COMPUTED_VALUE"""),"|")</f>
        <v>|</v>
      </c>
      <c r="Q831" s="17">
        <f>IFERROR(__xludf.DUMMYFUNCTION("""COMPUTED_VALUE"""),992.0)</f>
        <v>992</v>
      </c>
    </row>
    <row r="832">
      <c r="A832" s="7" t="s">
        <v>896</v>
      </c>
      <c r="B832" s="7" t="s">
        <v>660</v>
      </c>
      <c r="C832" s="8">
        <v>1345.0</v>
      </c>
      <c r="D832" s="8">
        <v>2295.0</v>
      </c>
      <c r="E832" s="19">
        <v>0.41</v>
      </c>
      <c r="F832" s="10">
        <v>4.2</v>
      </c>
      <c r="G832" s="11">
        <v>17413.0</v>
      </c>
      <c r="K832" s="17" t="str">
        <f>IFERROR(__xludf.DUMMYFUNCTION("""COMPUTED_VALUE"""),"KENT 16025 Sandwich Grill 700W | Non-Toxic Ceramic Coating | Automatic Temperature Cut-off with LED Indicator | Adjustable Height Control, Metallic Silver, Standard")</f>
        <v>KENT 16025 Sandwich Grill 700W | Non-Toxic Ceramic Coating | Automatic Temperature Cut-off with LED Indicator | Adjustable Height Control, Metallic Silver, Standard</v>
      </c>
      <c r="L832" s="17" t="str">
        <f>IFERROR(__xludf.DUMMYFUNCTION("""COMPUTED_VALUE"""),"Home&amp;Kitchen|Kitchen&amp;HomeAppliances|SmallKitchenAppliances|SandwichMakers")</f>
        <v>Home&amp;Kitchen|Kitchen&amp;HomeAppliances|SmallKitchenAppliances|SandwichMakers</v>
      </c>
      <c r="M832" s="23">
        <f>IFERROR(__xludf.DUMMYFUNCTION("""COMPUTED_VALUE"""),1699.0)</f>
        <v>1699</v>
      </c>
      <c r="N832" s="23">
        <f>IFERROR(__xludf.DUMMYFUNCTION("""COMPUTED_VALUE"""),1975.0)</f>
        <v>1975</v>
      </c>
      <c r="O832" s="24">
        <f>IFERROR(__xludf.DUMMYFUNCTION("""COMPUTED_VALUE"""),0.14)</f>
        <v>0.14</v>
      </c>
      <c r="P832" s="17">
        <f>IFERROR(__xludf.DUMMYFUNCTION("""COMPUTED_VALUE"""),4.1)</f>
        <v>4.1</v>
      </c>
      <c r="Q832" s="25">
        <f>IFERROR(__xludf.DUMMYFUNCTION("""COMPUTED_VALUE"""),4716.0)</f>
        <v>4716</v>
      </c>
    </row>
    <row r="833">
      <c r="A833" s="7" t="s">
        <v>897</v>
      </c>
      <c r="B833" s="7" t="s">
        <v>680</v>
      </c>
      <c r="C833" s="8">
        <v>349.0</v>
      </c>
      <c r="D833" s="8">
        <v>995.0</v>
      </c>
      <c r="E833" s="19">
        <v>0.65</v>
      </c>
      <c r="F833" s="10">
        <v>4.2</v>
      </c>
      <c r="G833" s="11">
        <v>6676.0</v>
      </c>
      <c r="K833" s="17" t="str">
        <f>IFERROR(__xludf.DUMMYFUNCTION("""COMPUTED_VALUE"""),"Havells Zella Flap Auto Immersion Rod 1500 Watts")</f>
        <v>Havells Zella Flap Auto Immersion Rod 1500 Watts</v>
      </c>
      <c r="L833" s="17" t="str">
        <f>IFERROR(__xludf.DUMMYFUNCTION("""COMPUTED_VALUE"""),"Home&amp;Kitchen|Heating,Cooling&amp;AirQuality|WaterHeaters&amp;Geysers|ImmersionRods")</f>
        <v>Home&amp;Kitchen|Heating,Cooling&amp;AirQuality|WaterHeaters&amp;Geysers|ImmersionRods</v>
      </c>
      <c r="M833" s="23">
        <f>IFERROR(__xludf.DUMMYFUNCTION("""COMPUTED_VALUE"""),1499.0)</f>
        <v>1499</v>
      </c>
      <c r="N833" s="23">
        <f>IFERROR(__xludf.DUMMYFUNCTION("""COMPUTED_VALUE"""),3500.0)</f>
        <v>3500</v>
      </c>
      <c r="O833" s="24">
        <f>IFERROR(__xludf.DUMMYFUNCTION("""COMPUTED_VALUE"""),0.57)</f>
        <v>0.57</v>
      </c>
      <c r="P833" s="17">
        <f>IFERROR(__xludf.DUMMYFUNCTION("""COMPUTED_VALUE"""),4.1)</f>
        <v>4.1</v>
      </c>
      <c r="Q833" s="17">
        <f>IFERROR(__xludf.DUMMYFUNCTION("""COMPUTED_VALUE"""),303.0)</f>
        <v>303</v>
      </c>
    </row>
    <row r="834">
      <c r="A834" s="7" t="s">
        <v>898</v>
      </c>
      <c r="B834" s="7" t="s">
        <v>825</v>
      </c>
      <c r="C834" s="8">
        <v>287.0</v>
      </c>
      <c r="D834" s="8">
        <v>499.0</v>
      </c>
      <c r="E834" s="19">
        <v>0.42</v>
      </c>
      <c r="F834" s="10">
        <v>4.4</v>
      </c>
      <c r="G834" s="11">
        <v>8076.0</v>
      </c>
      <c r="K834" s="17" t="str">
        <f>IFERROR(__xludf.DUMMYFUNCTION("""COMPUTED_VALUE"""),"iBELL SM1301 3-in-1 Sandwich Maker with Detachable Plates for Toast / Waffle / Grill , 750 Watt (Black)")</f>
        <v>iBELL SM1301 3-in-1 Sandwich Maker with Detachable Plates for Toast / Waffle / Grill , 750 Watt (Black)</v>
      </c>
      <c r="L834" s="17" t="str">
        <f>IFERROR(__xludf.DUMMYFUNCTION("""COMPUTED_VALUE"""),"Home&amp;Kitchen|Kitchen&amp;HomeAppliances|SmallKitchenAppliances|SandwichMakers")</f>
        <v>Home&amp;Kitchen|Kitchen&amp;HomeAppliances|SmallKitchenAppliances|SandwichMakers</v>
      </c>
      <c r="M834" s="23">
        <f>IFERROR(__xludf.DUMMYFUNCTION("""COMPUTED_VALUE"""),2092.0)</f>
        <v>2092</v>
      </c>
      <c r="N834" s="23">
        <f>IFERROR(__xludf.DUMMYFUNCTION("""COMPUTED_VALUE"""),4600.0)</f>
        <v>4600</v>
      </c>
      <c r="O834" s="24">
        <f>IFERROR(__xludf.DUMMYFUNCTION("""COMPUTED_VALUE"""),0.55)</f>
        <v>0.55</v>
      </c>
      <c r="P834" s="17">
        <f>IFERROR(__xludf.DUMMYFUNCTION("""COMPUTED_VALUE"""),4.3)</f>
        <v>4.3</v>
      </c>
      <c r="Q834" s="17">
        <f>IFERROR(__xludf.DUMMYFUNCTION("""COMPUTED_VALUE"""),562.0)</f>
        <v>562</v>
      </c>
    </row>
    <row r="835">
      <c r="A835" s="7" t="s">
        <v>54</v>
      </c>
      <c r="B835" s="7" t="s">
        <v>15</v>
      </c>
      <c r="C835" s="8">
        <v>599.0</v>
      </c>
      <c r="D835" s="8">
        <v>599.0</v>
      </c>
      <c r="E835" s="19">
        <v>0.0</v>
      </c>
      <c r="F835" s="10">
        <v>4.3</v>
      </c>
      <c r="G835" s="10">
        <v>355.0</v>
      </c>
      <c r="K835" s="17" t="str">
        <f>IFERROR(__xludf.DUMMYFUNCTION("""COMPUTED_VALUE"""),"Sujata Powermatic Plus, Juicer Mixer Grinder with Chutney Jar, 900 Watts, 3 Jars (White)")</f>
        <v>Sujata Powermatic Plus, Juicer Mixer Grinder with Chutney Jar, 900 Watts, 3 Jars (White)</v>
      </c>
      <c r="L835" s="17" t="str">
        <f>IFERROR(__xludf.DUMMYFUNCTION("""COMPUTED_VALUE"""),"Home&amp;Kitchen|Kitchen&amp;HomeAppliances|SmallKitchenAppliances|JuicerMixerGrinders")</f>
        <v>Home&amp;Kitchen|Kitchen&amp;HomeAppliances|SmallKitchenAppliances|JuicerMixerGrinders</v>
      </c>
      <c r="M835" s="23">
        <f>IFERROR(__xludf.DUMMYFUNCTION("""COMPUTED_VALUE"""),6525.0)</f>
        <v>6525</v>
      </c>
      <c r="N835" s="23">
        <f>IFERROR(__xludf.DUMMYFUNCTION("""COMPUTED_VALUE"""),8820.0)</f>
        <v>8820</v>
      </c>
      <c r="O835" s="24">
        <f>IFERROR(__xludf.DUMMYFUNCTION("""COMPUTED_VALUE"""),0.26)</f>
        <v>0.26</v>
      </c>
      <c r="P835" s="17">
        <f>IFERROR(__xludf.DUMMYFUNCTION("""COMPUTED_VALUE"""),4.5)</f>
        <v>4.5</v>
      </c>
      <c r="Q835" s="25">
        <f>IFERROR(__xludf.DUMMYFUNCTION("""COMPUTED_VALUE"""),5137.0)</f>
        <v>5137</v>
      </c>
    </row>
    <row r="836">
      <c r="A836" s="7" t="s">
        <v>899</v>
      </c>
      <c r="B836" s="7" t="s">
        <v>622</v>
      </c>
      <c r="C836" s="8">
        <v>349.0</v>
      </c>
      <c r="D836" s="8">
        <v>450.0</v>
      </c>
      <c r="E836" s="19">
        <v>0.22</v>
      </c>
      <c r="F836" s="10">
        <v>4.1</v>
      </c>
      <c r="G836" s="11">
        <v>18656.0</v>
      </c>
      <c r="K836" s="17" t="str">
        <f>IFERROR(__xludf.DUMMYFUNCTION("""COMPUTED_VALUE"""),"Aquadpure Copper + Mineral RO+UV+UF 10 to 12 Liter RO + UV + TDS ADJUSTER Water Purifier with Copper Charge Technology black &amp; copper Best For Home and Office (Made In India)")</f>
        <v>Aquadpure Copper + Mineral RO+UV+UF 10 to 12 Liter RO + UV + TDS ADJUSTER Water Purifier with Copper Charge Technology black &amp; copper Best For Home and Office (Made In India)</v>
      </c>
      <c r="L836" s="17" t="str">
        <f>IFERROR(__xludf.DUMMYFUNCTION("""COMPUTED_VALUE"""),"Home&amp;Kitchen|Kitchen&amp;HomeAppliances|WaterPurifiers&amp;Accessories|WaterFilters&amp;Purifiers")</f>
        <v>Home&amp;Kitchen|Kitchen&amp;HomeAppliances|WaterPurifiers&amp;Accessories|WaterFilters&amp;Purifiers</v>
      </c>
      <c r="M836" s="23">
        <f>IFERROR(__xludf.DUMMYFUNCTION("""COMPUTED_VALUE"""),4999.0)</f>
        <v>4999</v>
      </c>
      <c r="N836" s="23">
        <f>IFERROR(__xludf.DUMMYFUNCTION("""COMPUTED_VALUE"""),24999.0)</f>
        <v>24999</v>
      </c>
      <c r="O836" s="24">
        <f>IFERROR(__xludf.DUMMYFUNCTION("""COMPUTED_VALUE"""),0.8)</f>
        <v>0.8</v>
      </c>
      <c r="P836" s="17">
        <f>IFERROR(__xludf.DUMMYFUNCTION("""COMPUTED_VALUE"""),4.6)</f>
        <v>4.6</v>
      </c>
      <c r="Q836" s="17">
        <f>IFERROR(__xludf.DUMMYFUNCTION("""COMPUTED_VALUE"""),124.0)</f>
        <v>124</v>
      </c>
    </row>
    <row r="837">
      <c r="A837" s="7" t="s">
        <v>900</v>
      </c>
      <c r="B837" s="7" t="s">
        <v>652</v>
      </c>
      <c r="C837" s="8">
        <v>879.0</v>
      </c>
      <c r="D837" s="8">
        <v>1109.0</v>
      </c>
      <c r="E837" s="19">
        <v>0.21</v>
      </c>
      <c r="F837" s="10">
        <v>4.4</v>
      </c>
      <c r="G837" s="11">
        <v>31599.0</v>
      </c>
      <c r="K837" s="17" t="str">
        <f>IFERROR(__xludf.DUMMYFUNCTION("""COMPUTED_VALUE"""),"Amazon Basics 650 Watt Drip Coffee Maker with Borosilicate Carafe")</f>
        <v>Amazon Basics 650 Watt Drip Coffee Maker with Borosilicate Carafe</v>
      </c>
      <c r="L837" s="17" t="str">
        <f>IFERROR(__xludf.DUMMYFUNCTION("""COMPUTED_VALUE"""),"Home&amp;Kitchen|Kitchen&amp;HomeAppliances|Coffee,Tea&amp;Espresso|DripCoffeeMachines")</f>
        <v>Home&amp;Kitchen|Kitchen&amp;HomeAppliances|Coffee,Tea&amp;Espresso|DripCoffeeMachines</v>
      </c>
      <c r="M837" s="23">
        <f>IFERROR(__xludf.DUMMYFUNCTION("""COMPUTED_VALUE"""),1189.0)</f>
        <v>1189</v>
      </c>
      <c r="N837" s="23">
        <f>IFERROR(__xludf.DUMMYFUNCTION("""COMPUTED_VALUE"""),2400.0)</f>
        <v>2400</v>
      </c>
      <c r="O837" s="24">
        <f>IFERROR(__xludf.DUMMYFUNCTION("""COMPUTED_VALUE"""),0.5)</f>
        <v>0.5</v>
      </c>
      <c r="P837" s="17">
        <f>IFERROR(__xludf.DUMMYFUNCTION("""COMPUTED_VALUE"""),4.1)</f>
        <v>4.1</v>
      </c>
      <c r="Q837" s="17">
        <f>IFERROR(__xludf.DUMMYFUNCTION("""COMPUTED_VALUE"""),618.0)</f>
        <v>618</v>
      </c>
    </row>
    <row r="838">
      <c r="A838" s="7" t="s">
        <v>55</v>
      </c>
      <c r="B838" s="7" t="s">
        <v>15</v>
      </c>
      <c r="C838" s="8">
        <v>199.0</v>
      </c>
      <c r="D838" s="8">
        <v>999.0</v>
      </c>
      <c r="E838" s="19">
        <v>0.8</v>
      </c>
      <c r="F838" s="10">
        <v>3.9</v>
      </c>
      <c r="G838" s="11">
        <v>1075.0</v>
      </c>
      <c r="K838" s="17" t="str">
        <f>IFERROR(__xludf.DUMMYFUNCTION("""COMPUTED_VALUE"""),"Crompton Insta Delight Fan Circulator Room Heater with 3 Heat Settings (Slate Grey &amp; Black, 2000 Watt)")</f>
        <v>Crompton Insta Delight Fan Circulator Room Heater with 3 Heat Settings (Slate Grey &amp; Black, 2000 Watt)</v>
      </c>
      <c r="L838" s="17" t="str">
        <f>IFERROR(__xludf.DUMMYFUNCTION("""COMPUTED_VALUE"""),"Home&amp;Kitchen|Heating,Cooling&amp;AirQuality|RoomHeaters|FanHeaters")</f>
        <v>Home&amp;Kitchen|Heating,Cooling&amp;AirQuality|RoomHeaters|FanHeaters</v>
      </c>
      <c r="M838" s="23">
        <f>IFERROR(__xludf.DUMMYFUNCTION("""COMPUTED_VALUE"""),2590.0)</f>
        <v>2590</v>
      </c>
      <c r="N838" s="23">
        <f>IFERROR(__xludf.DUMMYFUNCTION("""COMPUTED_VALUE"""),4200.0)</f>
        <v>4200</v>
      </c>
      <c r="O838" s="24">
        <f>IFERROR(__xludf.DUMMYFUNCTION("""COMPUTED_VALUE"""),0.38)</f>
        <v>0.38</v>
      </c>
      <c r="P838" s="17">
        <f>IFERROR(__xludf.DUMMYFUNCTION("""COMPUTED_VALUE"""),4.1)</f>
        <v>4.1</v>
      </c>
      <c r="Q838" s="17">
        <f>IFERROR(__xludf.DUMMYFUNCTION("""COMPUTED_VALUE"""),63.0)</f>
        <v>63</v>
      </c>
    </row>
    <row r="839">
      <c r="A839" s="7" t="s">
        <v>901</v>
      </c>
      <c r="B839" s="7" t="s">
        <v>735</v>
      </c>
      <c r="C839" s="8">
        <v>250.0</v>
      </c>
      <c r="D839" s="8">
        <v>250.0</v>
      </c>
      <c r="E839" s="19">
        <v>0.0</v>
      </c>
      <c r="F839" s="10">
        <v>3.9</v>
      </c>
      <c r="G839" s="11">
        <v>13971.0</v>
      </c>
      <c r="K839" s="17" t="str">
        <f>IFERROR(__xludf.DUMMYFUNCTION("""COMPUTED_VALUE"""),"Melbon VM-905 2000-Watt Room Heater (ISI Certified, White Color) Ideal Electric Fan Heater for Small to Medium Room/Area (Plastic Body)")</f>
        <v>Melbon VM-905 2000-Watt Room Heater (ISI Certified, White Color) Ideal Electric Fan Heater for Small to Medium Room/Area (Plastic Body)</v>
      </c>
      <c r="L839" s="17" t="str">
        <f>IFERROR(__xludf.DUMMYFUNCTION("""COMPUTED_VALUE"""),"Home&amp;Kitchen|Heating,Cooling&amp;AirQuality|RoomHeaters|FanHeaters")</f>
        <v>Home&amp;Kitchen|Heating,Cooling&amp;AirQuality|RoomHeaters|FanHeaters</v>
      </c>
      <c r="M839" s="23">
        <f>IFERROR(__xludf.DUMMYFUNCTION("""COMPUTED_VALUE"""),998.0)</f>
        <v>998</v>
      </c>
      <c r="N839" s="23">
        <f>IFERROR(__xludf.DUMMYFUNCTION("""COMPUTED_VALUE"""),2999.0)</f>
        <v>2999</v>
      </c>
      <c r="O839" s="24">
        <f>IFERROR(__xludf.DUMMYFUNCTION("""COMPUTED_VALUE"""),0.67)</f>
        <v>0.67</v>
      </c>
      <c r="P839" s="17">
        <f>IFERROR(__xludf.DUMMYFUNCTION("""COMPUTED_VALUE"""),4.6)</f>
        <v>4.6</v>
      </c>
      <c r="Q839" s="17">
        <f>IFERROR(__xludf.DUMMYFUNCTION("""COMPUTED_VALUE"""),9.0)</f>
        <v>9</v>
      </c>
    </row>
    <row r="840">
      <c r="A840" s="7" t="s">
        <v>902</v>
      </c>
      <c r="B840" s="7" t="s">
        <v>393</v>
      </c>
      <c r="C840" s="8">
        <v>199.0</v>
      </c>
      <c r="D840" s="8">
        <v>499.0</v>
      </c>
      <c r="E840" s="19">
        <v>0.6</v>
      </c>
      <c r="F840" s="10">
        <v>3.6</v>
      </c>
      <c r="G840" s="11">
        <v>2492.0</v>
      </c>
      <c r="K840" s="17" t="str">
        <f>IFERROR(__xludf.DUMMYFUNCTION("""COMPUTED_VALUE"""),"Cello Eliza Plastic Laundry Bag/Basket, 50 litres, Light Grey")</f>
        <v>Cello Eliza Plastic Laundry Bag/Basket, 50 litres, Light Grey</v>
      </c>
      <c r="L840" s="17" t="str">
        <f>IFERROR(__xludf.DUMMYFUNCTION("""COMPUTED_VALUE"""),"Home&amp;Kitchen|HomeStorage&amp;Organization|LaundryOrganization|LaundryBaskets")</f>
        <v>Home&amp;Kitchen|HomeStorage&amp;Organization|LaundryOrganization|LaundryBaskets</v>
      </c>
      <c r="M840" s="23">
        <f>IFERROR(__xludf.DUMMYFUNCTION("""COMPUTED_VALUE"""),998.06)</f>
        <v>998.06</v>
      </c>
      <c r="N840" s="23">
        <f>IFERROR(__xludf.DUMMYFUNCTION("""COMPUTED_VALUE"""),1282.0)</f>
        <v>1282</v>
      </c>
      <c r="O840" s="24">
        <f>IFERROR(__xludf.DUMMYFUNCTION("""COMPUTED_VALUE"""),0.22)</f>
        <v>0.22</v>
      </c>
      <c r="P840" s="17">
        <f>IFERROR(__xludf.DUMMYFUNCTION("""COMPUTED_VALUE"""),4.2)</f>
        <v>4.2</v>
      </c>
      <c r="Q840" s="25">
        <f>IFERROR(__xludf.DUMMYFUNCTION("""COMPUTED_VALUE"""),7274.0)</f>
        <v>7274</v>
      </c>
    </row>
    <row r="841">
      <c r="A841" s="7" t="s">
        <v>57</v>
      </c>
      <c r="B841" s="7" t="s">
        <v>15</v>
      </c>
      <c r="C841" s="8">
        <v>899.0</v>
      </c>
      <c r="D841" s="8">
        <v>1900.0</v>
      </c>
      <c r="E841" s="19">
        <v>0.53</v>
      </c>
      <c r="F841" s="10">
        <v>4.4</v>
      </c>
      <c r="G841" s="11">
        <v>13552.0</v>
      </c>
      <c r="K841" s="17" t="str">
        <f>IFERROR(__xludf.DUMMYFUNCTION("""COMPUTED_VALUE"""),"Shakti Technology S5 High Pressure Car Washer Machine 1900 Watts and Pressure 125 Bar with 10 Meter Hose Pipe")</f>
        <v>Shakti Technology S5 High Pressure Car Washer Machine 1900 Watts and Pressure 125 Bar with 10 Meter Hose Pipe</v>
      </c>
      <c r="L841" s="17" t="str">
        <f>IFERROR(__xludf.DUMMYFUNCTION("""COMPUTED_VALUE"""),"Home&amp;Kitchen|Kitchen&amp;HomeAppliances|Vacuum,Cleaning&amp;Ironing|PressureWashers,Steam&amp;WindowCleaners")</f>
        <v>Home&amp;Kitchen|Kitchen&amp;HomeAppliances|Vacuum,Cleaning&amp;Ironing|PressureWashers,Steam&amp;WindowCleaners</v>
      </c>
      <c r="M841" s="23">
        <f>IFERROR(__xludf.DUMMYFUNCTION("""COMPUTED_VALUE"""),5999.0)</f>
        <v>5999</v>
      </c>
      <c r="N841" s="23">
        <f>IFERROR(__xludf.DUMMYFUNCTION("""COMPUTED_VALUE"""),9999.0)</f>
        <v>9999</v>
      </c>
      <c r="O841" s="24">
        <f>IFERROR(__xludf.DUMMYFUNCTION("""COMPUTED_VALUE"""),0.4)</f>
        <v>0.4</v>
      </c>
      <c r="P841" s="17">
        <f>IFERROR(__xludf.DUMMYFUNCTION("""COMPUTED_VALUE"""),4.2)</f>
        <v>4.2</v>
      </c>
      <c r="Q841" s="17">
        <f>IFERROR(__xludf.DUMMYFUNCTION("""COMPUTED_VALUE"""),170.0)</f>
        <v>170</v>
      </c>
    </row>
    <row r="842">
      <c r="A842" s="7" t="s">
        <v>58</v>
      </c>
      <c r="B842" s="7" t="s">
        <v>15</v>
      </c>
      <c r="C842" s="8">
        <v>199.0</v>
      </c>
      <c r="D842" s="8">
        <v>999.0</v>
      </c>
      <c r="E842" s="19">
        <v>0.8</v>
      </c>
      <c r="F842" s="10">
        <v>4.0</v>
      </c>
      <c r="G842" s="10">
        <v>575.0</v>
      </c>
      <c r="K842" s="17" t="str">
        <f>IFERROR(__xludf.DUMMYFUNCTION("""COMPUTED_VALUE"""),"AMERICAN MICRONIC- Imported Wet &amp; Dry Vacuum Cleaner, 21 Litre Stainless Steel with Blower &amp; HEPA filter, 1600 Watts 100% Copper Motor 28 KPa suction with washable reusable dust bag (Red/Black/Steel)-AMI-VCD21-1600WDx")</f>
        <v>AMERICAN MICRONIC- Imported Wet &amp; Dry Vacuum Cleaner, 21 Litre Stainless Steel with Blower &amp; HEPA filter, 1600 Watts 100% Copper Motor 28 KPa suction with washable reusable dust bag (Red/Black/Steel)-AMI-VCD21-1600WDx</v>
      </c>
      <c r="L842" s="17" t="str">
        <f>IFERROR(__xludf.DUMMYFUNCTION("""COMPUTED_VALUE"""),"Home&amp;Kitchen|Kitchen&amp;HomeAppliances|Vacuum,Cleaning&amp;Ironing|Vacuums&amp;FloorCare|Vacuums|Wet-DryVacuums")</f>
        <v>Home&amp;Kitchen|Kitchen&amp;HomeAppliances|Vacuum,Cleaning&amp;Ironing|Vacuums&amp;FloorCare|Vacuums|Wet-DryVacuums</v>
      </c>
      <c r="M842" s="23">
        <f>IFERROR(__xludf.DUMMYFUNCTION("""COMPUTED_VALUE"""),8886.0)</f>
        <v>8886</v>
      </c>
      <c r="N842" s="23">
        <f>IFERROR(__xludf.DUMMYFUNCTION("""COMPUTED_VALUE"""),11850.0)</f>
        <v>11850</v>
      </c>
      <c r="O842" s="24">
        <f>IFERROR(__xludf.DUMMYFUNCTION("""COMPUTED_VALUE"""),0.25)</f>
        <v>0.25</v>
      </c>
      <c r="P842" s="17">
        <f>IFERROR(__xludf.DUMMYFUNCTION("""COMPUTED_VALUE"""),4.2)</f>
        <v>4.2</v>
      </c>
      <c r="Q842" s="25">
        <f>IFERROR(__xludf.DUMMYFUNCTION("""COMPUTED_VALUE"""),3065.0)</f>
        <v>3065</v>
      </c>
    </row>
    <row r="843">
      <c r="A843" s="7" t="s">
        <v>903</v>
      </c>
      <c r="B843" s="7" t="s">
        <v>895</v>
      </c>
      <c r="C843" s="8">
        <v>149.0</v>
      </c>
      <c r="D843" s="8">
        <v>999.0</v>
      </c>
      <c r="E843" s="19">
        <v>0.85</v>
      </c>
      <c r="F843" s="10">
        <v>3.5</v>
      </c>
      <c r="G843" s="11">
        <v>2523.0</v>
      </c>
      <c r="K843" s="17" t="str">
        <f>IFERROR(__xludf.DUMMYFUNCTION("""COMPUTED_VALUE"""),"Demokrazy New Nova Lint Cum Fuzz Remover for All Woolens Sweaters, Blankets, Jackets Remover Pill Remover from Carpets, Curtains (Pack of 1)")</f>
        <v>Demokrazy New Nova Lint Cum Fuzz Remover for All Woolens Sweaters, Blankets, Jackets Remover Pill Remover from Carpets, Curtains (Pack of 1)</v>
      </c>
      <c r="L843" s="17" t="str">
        <f>IFERROR(__xludf.DUMMYFUNCTION("""COMPUTED_VALUE"""),"Home&amp;Kitchen|Kitchen&amp;HomeAppliances|Vacuum,Cleaning&amp;Ironing|Irons,Steamers&amp;Accessories|LintShavers")</f>
        <v>Home&amp;Kitchen|Kitchen&amp;HomeAppliances|Vacuum,Cleaning&amp;Ironing|Irons,Steamers&amp;Accessories|LintShavers</v>
      </c>
      <c r="M843" s="23">
        <f>IFERROR(__xludf.DUMMYFUNCTION("""COMPUTED_VALUE"""),475.0)</f>
        <v>475</v>
      </c>
      <c r="N843" s="23">
        <f>IFERROR(__xludf.DUMMYFUNCTION("""COMPUTED_VALUE"""),999.0)</f>
        <v>999</v>
      </c>
      <c r="O843" s="24">
        <f>IFERROR(__xludf.DUMMYFUNCTION("""COMPUTED_VALUE"""),0.52)</f>
        <v>0.52</v>
      </c>
      <c r="P843" s="17">
        <f>IFERROR(__xludf.DUMMYFUNCTION("""COMPUTED_VALUE"""),4.1)</f>
        <v>4.1</v>
      </c>
      <c r="Q843" s="25">
        <f>IFERROR(__xludf.DUMMYFUNCTION("""COMPUTED_VALUE"""),1021.0)</f>
        <v>1021</v>
      </c>
    </row>
    <row r="844">
      <c r="A844" s="7" t="s">
        <v>904</v>
      </c>
      <c r="B844" s="7" t="s">
        <v>627</v>
      </c>
      <c r="C844" s="8">
        <v>469.0</v>
      </c>
      <c r="D844" s="8">
        <v>1499.0</v>
      </c>
      <c r="E844" s="19">
        <v>0.69</v>
      </c>
      <c r="F844" s="10">
        <v>4.1</v>
      </c>
      <c r="G844" s="10">
        <v>352.0</v>
      </c>
      <c r="K844" s="17" t="str">
        <f>IFERROR(__xludf.DUMMYFUNCTION("""COMPUTED_VALUE"""),"Instant Pot Air Fryer, Vortex 2QT, Touch Control Panel, 360° EvenCrisp™ Technology, Uses 95 % less Oil, 4-in-1 Appliance: Air Fry, Roast, Bake, Reheat (Vortex 1.97Litre, Black)")</f>
        <v>Instant Pot Air Fryer, Vortex 2QT, Touch Control Panel, 360° EvenCrisp™ Technology, Uses 95 % less Oil, 4-in-1 Appliance: Air Fry, Roast, Bake, Reheat (Vortex 1.97Litre, Black)</v>
      </c>
      <c r="L844" s="17" t="str">
        <f>IFERROR(__xludf.DUMMYFUNCTION("""COMPUTED_VALUE"""),"Home&amp;Kitchen|Kitchen&amp;HomeAppliances|SmallKitchenAppliances|DeepFatFryers|AirFryers")</f>
        <v>Home&amp;Kitchen|Kitchen&amp;HomeAppliances|SmallKitchenAppliances|DeepFatFryers|AirFryers</v>
      </c>
      <c r="M844" s="23">
        <f>IFERROR(__xludf.DUMMYFUNCTION("""COMPUTED_VALUE"""),4995.0)</f>
        <v>4995</v>
      </c>
      <c r="N844" s="23">
        <f>IFERROR(__xludf.DUMMYFUNCTION("""COMPUTED_VALUE"""),20049.0)</f>
        <v>20049</v>
      </c>
      <c r="O844" s="24">
        <f>IFERROR(__xludf.DUMMYFUNCTION("""COMPUTED_VALUE"""),0.75)</f>
        <v>0.75</v>
      </c>
      <c r="P844" s="17">
        <f>IFERROR(__xludf.DUMMYFUNCTION("""COMPUTED_VALUE"""),4.8)</f>
        <v>4.8</v>
      </c>
      <c r="Q844" s="25">
        <f>IFERROR(__xludf.DUMMYFUNCTION("""COMPUTED_VALUE"""),3964.0)</f>
        <v>3964</v>
      </c>
    </row>
    <row r="845">
      <c r="A845" s="7" t="s">
        <v>905</v>
      </c>
      <c r="B845" s="7" t="s">
        <v>793</v>
      </c>
      <c r="C845" s="8">
        <v>1187.0</v>
      </c>
      <c r="D845" s="8">
        <v>1929.0</v>
      </c>
      <c r="E845" s="19">
        <v>0.38</v>
      </c>
      <c r="F845" s="10">
        <v>4.1</v>
      </c>
      <c r="G845" s="11">
        <v>1662.0</v>
      </c>
      <c r="K845" s="17" t="str">
        <f>IFERROR(__xludf.DUMMYFUNCTION("""COMPUTED_VALUE"""),"HUL Pureit Eco Water Saver Mineral RO+UV+MF AS wall mounted/Counter top Black 10L Water Purifier")</f>
        <v>HUL Pureit Eco Water Saver Mineral RO+UV+MF AS wall mounted/Counter top Black 10L Water Purifier</v>
      </c>
      <c r="L845" s="17" t="str">
        <f>IFERROR(__xludf.DUMMYFUNCTION("""COMPUTED_VALUE"""),"Home&amp;Kitchen|Kitchen&amp;HomeAppliances|WaterPurifiers&amp;Accessories|WaterFilters&amp;Purifiers")</f>
        <v>Home&amp;Kitchen|Kitchen&amp;HomeAppliances|WaterPurifiers&amp;Accessories|WaterFilters&amp;Purifiers</v>
      </c>
      <c r="M845" s="23">
        <f>IFERROR(__xludf.DUMMYFUNCTION("""COMPUTED_VALUE"""),13999.0)</f>
        <v>13999</v>
      </c>
      <c r="N845" s="23">
        <f>IFERROR(__xludf.DUMMYFUNCTION("""COMPUTED_VALUE"""),24850.0)</f>
        <v>24850</v>
      </c>
      <c r="O845" s="24">
        <f>IFERROR(__xludf.DUMMYFUNCTION("""COMPUTED_VALUE"""),0.44)</f>
        <v>0.44</v>
      </c>
      <c r="P845" s="17">
        <f>IFERROR(__xludf.DUMMYFUNCTION("""COMPUTED_VALUE"""),4.4)</f>
        <v>4.4</v>
      </c>
      <c r="Q845" s="25">
        <f>IFERROR(__xludf.DUMMYFUNCTION("""COMPUTED_VALUE"""),8948.0)</f>
        <v>8948</v>
      </c>
    </row>
    <row r="846">
      <c r="A846" s="7" t="s">
        <v>906</v>
      </c>
      <c r="B846" s="7" t="s">
        <v>907</v>
      </c>
      <c r="C846" s="8">
        <v>849.0</v>
      </c>
      <c r="D846" s="8">
        <v>1499.0</v>
      </c>
      <c r="E846" s="19">
        <v>0.43</v>
      </c>
      <c r="F846" s="10">
        <v>4.0</v>
      </c>
      <c r="G846" s="11">
        <v>7352.0</v>
      </c>
      <c r="K846" s="17" t="str">
        <f>IFERROR(__xludf.DUMMYFUNCTION("""COMPUTED_VALUE"""),"Livpure Glo Star RO+UV+UF+Mineraliser - 7 L Storage Tank, 15 LPH Water Purifier for Home, Black")</f>
        <v>Livpure Glo Star RO+UV+UF+Mineraliser - 7 L Storage Tank, 15 LPH Water Purifier for Home, Black</v>
      </c>
      <c r="L846" s="17" t="str">
        <f>IFERROR(__xludf.DUMMYFUNCTION("""COMPUTED_VALUE"""),"Home&amp;Kitchen|Kitchen&amp;HomeAppliances|WaterPurifiers&amp;Accessories|WaterFilters&amp;Purifiers")</f>
        <v>Home&amp;Kitchen|Kitchen&amp;HomeAppliances|WaterPurifiers&amp;Accessories|WaterFilters&amp;Purifiers</v>
      </c>
      <c r="M846" s="23">
        <f>IFERROR(__xludf.DUMMYFUNCTION("""COMPUTED_VALUE"""),8499.0)</f>
        <v>8499</v>
      </c>
      <c r="N846" s="23">
        <f>IFERROR(__xludf.DUMMYFUNCTION("""COMPUTED_VALUE"""),16490.0)</f>
        <v>16490</v>
      </c>
      <c r="O846" s="24">
        <f>IFERROR(__xludf.DUMMYFUNCTION("""COMPUTED_VALUE"""),0.48)</f>
        <v>0.48</v>
      </c>
      <c r="P846" s="17">
        <f>IFERROR(__xludf.DUMMYFUNCTION("""COMPUTED_VALUE"""),4.3)</f>
        <v>4.3</v>
      </c>
      <c r="Q846" s="17">
        <f>IFERROR(__xludf.DUMMYFUNCTION("""COMPUTED_VALUE"""),97.0)</f>
        <v>97</v>
      </c>
    </row>
    <row r="847">
      <c r="A847" s="7" t="s">
        <v>908</v>
      </c>
      <c r="B847" s="7" t="s">
        <v>625</v>
      </c>
      <c r="C847" s="8">
        <v>328.0</v>
      </c>
      <c r="D847" s="8">
        <v>399.0</v>
      </c>
      <c r="E847" s="19">
        <v>0.18</v>
      </c>
      <c r="F847" s="10">
        <v>4.1</v>
      </c>
      <c r="G847" s="11">
        <v>3441.0</v>
      </c>
      <c r="K847" s="17" t="str">
        <f>IFERROR(__xludf.DUMMYFUNCTION("""COMPUTED_VALUE"""),"Philips Hi113 1000-Watt Plastic Body Ptfe Coating Dry Iron, Pack of 1")</f>
        <v>Philips Hi113 1000-Watt Plastic Body Ptfe Coating Dry Iron, Pack of 1</v>
      </c>
      <c r="L847" s="17" t="str">
        <f>IFERROR(__xludf.DUMMYFUNCTION("""COMPUTED_VALUE"""),"Home&amp;Kitchen|Kitchen&amp;HomeAppliances|Vacuum,Cleaning&amp;Ironing|Irons,Steamers&amp;Accessories|Irons|DryIrons")</f>
        <v>Home&amp;Kitchen|Kitchen&amp;HomeAppliances|Vacuum,Cleaning&amp;Ironing|Irons,Steamers&amp;Accessories|Irons|DryIrons</v>
      </c>
      <c r="M847" s="23">
        <f>IFERROR(__xludf.DUMMYFUNCTION("""COMPUTED_VALUE"""),949.0)</f>
        <v>949</v>
      </c>
      <c r="N847" s="23">
        <f>IFERROR(__xludf.DUMMYFUNCTION("""COMPUTED_VALUE"""),975.0)</f>
        <v>975</v>
      </c>
      <c r="O847" s="24">
        <f>IFERROR(__xludf.DUMMYFUNCTION("""COMPUTED_VALUE"""),0.03)</f>
        <v>0.03</v>
      </c>
      <c r="P847" s="17">
        <f>IFERROR(__xludf.DUMMYFUNCTION("""COMPUTED_VALUE"""),4.3)</f>
        <v>4.3</v>
      </c>
      <c r="Q847" s="25">
        <f>IFERROR(__xludf.DUMMYFUNCTION("""COMPUTED_VALUE"""),7223.0)</f>
        <v>7223</v>
      </c>
    </row>
    <row r="848">
      <c r="A848" s="7" t="s">
        <v>909</v>
      </c>
      <c r="B848" s="7" t="s">
        <v>631</v>
      </c>
      <c r="C848" s="8">
        <v>269.0</v>
      </c>
      <c r="D848" s="8">
        <v>699.0</v>
      </c>
      <c r="E848" s="19">
        <v>0.62</v>
      </c>
      <c r="F848" s="10">
        <v>4.0</v>
      </c>
      <c r="G848" s="10">
        <v>93.0</v>
      </c>
      <c r="K848" s="17" t="str">
        <f>IFERROR(__xludf.DUMMYFUNCTION("""COMPUTED_VALUE"""),"Preethi MGA-502 0.4-Litre Grind and Store Jar (White), stainless steel, Set of 1")</f>
        <v>Preethi MGA-502 0.4-Litre Grind and Store Jar (White), stainless steel, Set of 1</v>
      </c>
      <c r="L848" s="17" t="str">
        <f>IFERROR(__xludf.DUMMYFUNCTION("""COMPUTED_VALUE"""),"Home&amp;Kitchen|Kitchen&amp;HomeAppliances|SmallKitchenAppliances|SmallApplianceParts&amp;Accessories|StandMixerAccessories")</f>
        <v>Home&amp;Kitchen|Kitchen&amp;HomeAppliances|SmallKitchenAppliances|SmallApplianceParts&amp;Accessories|StandMixerAccessories</v>
      </c>
      <c r="M848" s="23">
        <f>IFERROR(__xludf.DUMMYFUNCTION("""COMPUTED_VALUE"""),635.0)</f>
        <v>635</v>
      </c>
      <c r="N848" s="23">
        <f>IFERROR(__xludf.DUMMYFUNCTION("""COMPUTED_VALUE"""),635.0)</f>
        <v>635</v>
      </c>
      <c r="O848" s="24">
        <f>IFERROR(__xludf.DUMMYFUNCTION("""COMPUTED_VALUE"""),0.0)</f>
        <v>0</v>
      </c>
      <c r="P848" s="17">
        <f>IFERROR(__xludf.DUMMYFUNCTION("""COMPUTED_VALUE"""),4.3)</f>
        <v>4.3</v>
      </c>
      <c r="Q848" s="25">
        <f>IFERROR(__xludf.DUMMYFUNCTION("""COMPUTED_VALUE"""),4570.0)</f>
        <v>4570</v>
      </c>
    </row>
    <row r="849">
      <c r="A849" s="7" t="s">
        <v>910</v>
      </c>
      <c r="B849" s="7" t="s">
        <v>911</v>
      </c>
      <c r="C849" s="8">
        <v>299.0</v>
      </c>
      <c r="D849" s="8">
        <v>400.0</v>
      </c>
      <c r="E849" s="19">
        <v>0.25</v>
      </c>
      <c r="F849" s="10">
        <v>3.8</v>
      </c>
      <c r="G849" s="11">
        <v>40895.0</v>
      </c>
      <c r="K849" s="17" t="str">
        <f>IFERROR(__xludf.DUMMYFUNCTION("""COMPUTED_VALUE"""),"ECOVACS DEEBOT N8 2-in-1 Robotic Vacuum Cleaner, 2022 New Launch, Most Powerful Suction, Covers 2000+ Sq. Ft in One Charge, Advanced dToF Technology with OZMO Mopping (DEEBOT N8) - White")</f>
        <v>ECOVACS DEEBOT N8 2-in-1 Robotic Vacuum Cleaner, 2022 New Launch, Most Powerful Suction, Covers 2000+ Sq. Ft in One Charge, Advanced dToF Technology with OZMO Mopping (DEEBOT N8) - White</v>
      </c>
      <c r="L849" s="17" t="str">
        <f>IFERROR(__xludf.DUMMYFUNCTION("""COMPUTED_VALUE"""),"Home&amp;Kitchen|Kitchen&amp;HomeAppliances|Vacuum,Cleaning&amp;Ironing|Vacuums&amp;FloorCare|Vacuums|RoboticVacuums")</f>
        <v>Home&amp;Kitchen|Kitchen&amp;HomeAppliances|Vacuum,Cleaning&amp;Ironing|Vacuums&amp;FloorCare|Vacuums|RoboticVacuums</v>
      </c>
      <c r="M849" s="23">
        <f>IFERROR(__xludf.DUMMYFUNCTION("""COMPUTED_VALUE"""),27900.0)</f>
        <v>27900</v>
      </c>
      <c r="N849" s="23">
        <f>IFERROR(__xludf.DUMMYFUNCTION("""COMPUTED_VALUE"""),59900.0)</f>
        <v>59900</v>
      </c>
      <c r="O849" s="24">
        <f>IFERROR(__xludf.DUMMYFUNCTION("""COMPUTED_VALUE"""),0.53)</f>
        <v>0.53</v>
      </c>
      <c r="P849" s="17">
        <f>IFERROR(__xludf.DUMMYFUNCTION("""COMPUTED_VALUE"""),4.4)</f>
        <v>4.4</v>
      </c>
      <c r="Q849" s="25">
        <f>IFERROR(__xludf.DUMMYFUNCTION("""COMPUTED_VALUE"""),5298.0)</f>
        <v>5298</v>
      </c>
    </row>
    <row r="850">
      <c r="A850" s="7" t="s">
        <v>912</v>
      </c>
      <c r="B850" s="7" t="s">
        <v>913</v>
      </c>
      <c r="C850" s="8">
        <v>549.0</v>
      </c>
      <c r="D850" s="8">
        <v>1499.0</v>
      </c>
      <c r="E850" s="19">
        <v>0.63</v>
      </c>
      <c r="F850" s="10">
        <v>4.3</v>
      </c>
      <c r="G850" s="11">
        <v>11006.0</v>
      </c>
      <c r="K850" s="17" t="str">
        <f>IFERROR(__xludf.DUMMYFUNCTION("""COMPUTED_VALUE"""),"Kent Gold, Optima, Gold+ Spare Kit")</f>
        <v>Kent Gold, Optima, Gold+ Spare Kit</v>
      </c>
      <c r="L850" s="17" t="str">
        <f>IFERROR(__xludf.DUMMYFUNCTION("""COMPUTED_VALUE"""),"Home&amp;Kitchen|Kitchen&amp;HomeAppliances|WaterPurifiers&amp;Accessories|WaterCartridges")</f>
        <v>Home&amp;Kitchen|Kitchen&amp;HomeAppliances|WaterPurifiers&amp;Accessories|WaterCartridges</v>
      </c>
      <c r="M850" s="23">
        <f>IFERROR(__xludf.DUMMYFUNCTION("""COMPUTED_VALUE"""),649.0)</f>
        <v>649</v>
      </c>
      <c r="N850" s="23">
        <f>IFERROR(__xludf.DUMMYFUNCTION("""COMPUTED_VALUE"""),670.0)</f>
        <v>670</v>
      </c>
      <c r="O850" s="24">
        <f>IFERROR(__xludf.DUMMYFUNCTION("""COMPUTED_VALUE"""),0.03)</f>
        <v>0.03</v>
      </c>
      <c r="P850" s="17">
        <f>IFERROR(__xludf.DUMMYFUNCTION("""COMPUTED_VALUE"""),4.1)</f>
        <v>4.1</v>
      </c>
      <c r="Q850" s="25">
        <f>IFERROR(__xludf.DUMMYFUNCTION("""COMPUTED_VALUE"""),7786.0)</f>
        <v>7786</v>
      </c>
    </row>
    <row r="851">
      <c r="A851" s="7" t="s">
        <v>914</v>
      </c>
      <c r="B851" s="7" t="s">
        <v>732</v>
      </c>
      <c r="C851" s="8">
        <v>114.0</v>
      </c>
      <c r="D851" s="8">
        <v>120.0</v>
      </c>
      <c r="E851" s="19">
        <v>0.05</v>
      </c>
      <c r="F851" s="10">
        <v>4.2</v>
      </c>
      <c r="G851" s="11">
        <v>8938.0</v>
      </c>
      <c r="K851" s="17" t="str">
        <f>IFERROR(__xludf.DUMMYFUNCTION("""COMPUTED_VALUE"""),"Proven® Copper + Mineral RO+UV+UF 10 to 12 Liter RO + UV + TDS ADJUSTER Water Purifier with Copper Charge Technology black &amp; copper Best For Home and Office (Made In India)")</f>
        <v>Proven® Copper + Mineral RO+UV+UF 10 to 12 Liter RO + UV + TDS ADJUSTER Water Purifier with Copper Charge Technology black &amp; copper Best For Home and Office (Made In India)</v>
      </c>
      <c r="L851" s="17" t="str">
        <f>IFERROR(__xludf.DUMMYFUNCTION("""COMPUTED_VALUE"""),"Home&amp;Kitchen|Kitchen&amp;HomeAppliances|WaterPurifiers&amp;Accessories|WaterFilters&amp;Purifiers")</f>
        <v>Home&amp;Kitchen|Kitchen&amp;HomeAppliances|WaterPurifiers&amp;Accessories|WaterFilters&amp;Purifiers</v>
      </c>
      <c r="M851" s="23">
        <f>IFERROR(__xludf.DUMMYFUNCTION("""COMPUTED_VALUE"""),5395.0)</f>
        <v>5395</v>
      </c>
      <c r="N851" s="23">
        <f>IFERROR(__xludf.DUMMYFUNCTION("""COMPUTED_VALUE"""),19990.0)</f>
        <v>19990</v>
      </c>
      <c r="O851" s="24">
        <f>IFERROR(__xludf.DUMMYFUNCTION("""COMPUTED_VALUE"""),0.73)</f>
        <v>0.73</v>
      </c>
      <c r="P851" s="17">
        <f>IFERROR(__xludf.DUMMYFUNCTION("""COMPUTED_VALUE"""),4.4)</f>
        <v>4.4</v>
      </c>
      <c r="Q851" s="17">
        <f>IFERROR(__xludf.DUMMYFUNCTION("""COMPUTED_VALUE"""),535.0)</f>
        <v>535</v>
      </c>
    </row>
    <row r="852">
      <c r="A852" s="7" t="s">
        <v>915</v>
      </c>
      <c r="B852" s="7" t="s">
        <v>916</v>
      </c>
      <c r="C852" s="8">
        <v>120.0</v>
      </c>
      <c r="D852" s="8">
        <v>120.0</v>
      </c>
      <c r="E852" s="19">
        <v>0.0</v>
      </c>
      <c r="F852" s="10">
        <v>4.1</v>
      </c>
      <c r="G852" s="11">
        <v>4308.0</v>
      </c>
      <c r="K852" s="17" t="str">
        <f>IFERROR(__xludf.DUMMYFUNCTION("""COMPUTED_VALUE"""),"Morphy Richards Daisy 1000W Dry Iron with American Heritage Non-Stick Coated Soleplate, White")</f>
        <v>Morphy Richards Daisy 1000W Dry Iron with American Heritage Non-Stick Coated Soleplate, White</v>
      </c>
      <c r="L852" s="17" t="str">
        <f>IFERROR(__xludf.DUMMYFUNCTION("""COMPUTED_VALUE"""),"Home&amp;Kitchen|Kitchen&amp;HomeAppliances|Vacuum,Cleaning&amp;Ironing|Irons,Steamers&amp;Accessories|Irons|DryIrons")</f>
        <v>Home&amp;Kitchen|Kitchen&amp;HomeAppliances|Vacuum,Cleaning&amp;Ironing|Irons,Steamers&amp;Accessories|Irons|DryIrons</v>
      </c>
      <c r="M852" s="23">
        <f>IFERROR(__xludf.DUMMYFUNCTION("""COMPUTED_VALUE"""),559.0)</f>
        <v>559</v>
      </c>
      <c r="N852" s="23">
        <f>IFERROR(__xludf.DUMMYFUNCTION("""COMPUTED_VALUE"""),1010.0)</f>
        <v>1010</v>
      </c>
      <c r="O852" s="24">
        <f>IFERROR(__xludf.DUMMYFUNCTION("""COMPUTED_VALUE"""),0.45)</f>
        <v>0.45</v>
      </c>
      <c r="P852" s="17">
        <f>IFERROR(__xludf.DUMMYFUNCTION("""COMPUTED_VALUE"""),4.1)</f>
        <v>4.1</v>
      </c>
      <c r="Q852" s="25">
        <f>IFERROR(__xludf.DUMMYFUNCTION("""COMPUTED_VALUE"""),17325.0)</f>
        <v>17325</v>
      </c>
    </row>
    <row r="853">
      <c r="A853" s="7" t="s">
        <v>60</v>
      </c>
      <c r="B853" s="7" t="s">
        <v>15</v>
      </c>
      <c r="C853" s="8">
        <v>970.0</v>
      </c>
      <c r="D853" s="8">
        <v>1999.0</v>
      </c>
      <c r="E853" s="19">
        <v>0.51</v>
      </c>
      <c r="F853" s="10">
        <v>4.2</v>
      </c>
      <c r="G853" s="10">
        <v>462.0</v>
      </c>
      <c r="K853" s="17" t="str">
        <f>IFERROR(__xludf.DUMMYFUNCTION("""COMPUTED_VALUE"""),"Zuvexa Egg Boiler Poacher Automatic Off Steaming, Cooking, Boiling Double Layer 14 Egg Boiler (Multicolor)…")</f>
        <v>Zuvexa Egg Boiler Poacher Automatic Off Steaming, Cooking, Boiling Double Layer 14 Egg Boiler (Multicolor)…</v>
      </c>
      <c r="L853" s="17" t="str">
        <f>IFERROR(__xludf.DUMMYFUNCTION("""COMPUTED_VALUE"""),"Home&amp;Kitchen|Kitchen&amp;HomeAppliances|SmallKitchenAppliances|EggBoilers")</f>
        <v>Home&amp;Kitchen|Kitchen&amp;HomeAppliances|SmallKitchenAppliances|EggBoilers</v>
      </c>
      <c r="M853" s="23">
        <f>IFERROR(__xludf.DUMMYFUNCTION("""COMPUTED_VALUE"""),419.0)</f>
        <v>419</v>
      </c>
      <c r="N853" s="23">
        <f>IFERROR(__xludf.DUMMYFUNCTION("""COMPUTED_VALUE"""),999.0)</f>
        <v>999</v>
      </c>
      <c r="O853" s="24">
        <f>IFERROR(__xludf.DUMMYFUNCTION("""COMPUTED_VALUE"""),0.58)</f>
        <v>0.58</v>
      </c>
      <c r="P853" s="17">
        <f>IFERROR(__xludf.DUMMYFUNCTION("""COMPUTED_VALUE"""),4.4)</f>
        <v>4.4</v>
      </c>
      <c r="Q853" s="17">
        <f>IFERROR(__xludf.DUMMYFUNCTION("""COMPUTED_VALUE"""),227.0)</f>
        <v>227</v>
      </c>
    </row>
    <row r="854">
      <c r="A854" s="7" t="s">
        <v>61</v>
      </c>
      <c r="B854" s="7" t="s">
        <v>15</v>
      </c>
      <c r="C854" s="8">
        <v>209.0</v>
      </c>
      <c r="D854" s="8">
        <v>695.0</v>
      </c>
      <c r="E854" s="19">
        <v>0.7</v>
      </c>
      <c r="F854" s="10">
        <v>4.5</v>
      </c>
      <c r="G854" s="7" t="s">
        <v>917</v>
      </c>
      <c r="K854" s="17" t="str">
        <f>IFERROR(__xludf.DUMMYFUNCTION("""COMPUTED_VALUE"""),"AO Smith HSE-VAS-X-015 Storage 15 Litre Vertical Water Heater (Geyser) White 4 Star")</f>
        <v>AO Smith HSE-VAS-X-015 Storage 15 Litre Vertical Water Heater (Geyser) White 4 Star</v>
      </c>
      <c r="L854" s="17" t="str">
        <f>IFERROR(__xludf.DUMMYFUNCTION("""COMPUTED_VALUE"""),"Home&amp;Kitchen|Heating,Cooling&amp;AirQuality|WaterHeaters&amp;Geysers|StorageWaterHeaters")</f>
        <v>Home&amp;Kitchen|Heating,Cooling&amp;AirQuality|WaterHeaters&amp;Geysers|StorageWaterHeaters</v>
      </c>
      <c r="M854" s="23">
        <f>IFERROR(__xludf.DUMMYFUNCTION("""COMPUTED_VALUE"""),7349.0)</f>
        <v>7349</v>
      </c>
      <c r="N854" s="23">
        <f>IFERROR(__xludf.DUMMYFUNCTION("""COMPUTED_VALUE"""),10900.0)</f>
        <v>10900</v>
      </c>
      <c r="O854" s="24">
        <f>IFERROR(__xludf.DUMMYFUNCTION("""COMPUTED_VALUE"""),0.33)</f>
        <v>0.33</v>
      </c>
      <c r="P854" s="17">
        <f>IFERROR(__xludf.DUMMYFUNCTION("""COMPUTED_VALUE"""),4.2)</f>
        <v>4.2</v>
      </c>
      <c r="Q854" s="25">
        <f>IFERROR(__xludf.DUMMYFUNCTION("""COMPUTED_VALUE"""),11957.0)</f>
        <v>11957</v>
      </c>
    </row>
    <row r="855">
      <c r="A855" s="7" t="s">
        <v>918</v>
      </c>
      <c r="B855" s="7" t="s">
        <v>625</v>
      </c>
      <c r="C855" s="8">
        <v>1490.0</v>
      </c>
      <c r="D855" s="8">
        <v>2295.0</v>
      </c>
      <c r="E855" s="19">
        <v>0.35</v>
      </c>
      <c r="F855" s="10">
        <v>4.6</v>
      </c>
      <c r="G855" s="11">
        <v>10652.0</v>
      </c>
      <c r="K855" s="17" t="str">
        <f>IFERROR(__xludf.DUMMYFUNCTION("""COMPUTED_VALUE"""),"Havells Festiva 1200mm Dust Resistant Ceiling Fan (Gold Mist)")</f>
        <v>Havells Festiva 1200mm Dust Resistant Ceiling Fan (Gold Mist)</v>
      </c>
      <c r="L855" s="17" t="str">
        <f>IFERROR(__xludf.DUMMYFUNCTION("""COMPUTED_VALUE"""),"Home&amp;Kitchen|Heating,Cooling&amp;AirQuality|Fans|CeilingFans")</f>
        <v>Home&amp;Kitchen|Heating,Cooling&amp;AirQuality|Fans|CeilingFans</v>
      </c>
      <c r="M855" s="23">
        <f>IFERROR(__xludf.DUMMYFUNCTION("""COMPUTED_VALUE"""),2899.0)</f>
        <v>2899</v>
      </c>
      <c r="N855" s="23">
        <f>IFERROR(__xludf.DUMMYFUNCTION("""COMPUTED_VALUE"""),4005.0)</f>
        <v>4005</v>
      </c>
      <c r="O855" s="24">
        <f>IFERROR(__xludf.DUMMYFUNCTION("""COMPUTED_VALUE"""),0.28)</f>
        <v>0.28</v>
      </c>
      <c r="P855" s="17">
        <f>IFERROR(__xludf.DUMMYFUNCTION("""COMPUTED_VALUE"""),4.3)</f>
        <v>4.3</v>
      </c>
      <c r="Q855" s="25">
        <f>IFERROR(__xludf.DUMMYFUNCTION("""COMPUTED_VALUE"""),7140.0)</f>
        <v>7140</v>
      </c>
    </row>
    <row r="856">
      <c r="A856" s="7" t="s">
        <v>919</v>
      </c>
      <c r="B856" s="7" t="s">
        <v>920</v>
      </c>
      <c r="C856" s="8">
        <v>99.0</v>
      </c>
      <c r="D856" s="8">
        <v>99.0</v>
      </c>
      <c r="E856" s="19">
        <v>0.0</v>
      </c>
      <c r="F856" s="10">
        <v>4.3</v>
      </c>
      <c r="G856" s="11">
        <v>5036.0</v>
      </c>
      <c r="K856" s="17" t="str">
        <f>IFERROR(__xludf.DUMMYFUNCTION("""COMPUTED_VALUE"""),"iBELL SM1515NEW Sandwich Maker with Floating Hinges, 1000Watt, Panini / Grill / Toast (Black)")</f>
        <v>iBELL SM1515NEW Sandwich Maker with Floating Hinges, 1000Watt, Panini / Grill / Toast (Black)</v>
      </c>
      <c r="L856" s="17" t="str">
        <f>IFERROR(__xludf.DUMMYFUNCTION("""COMPUTED_VALUE"""),"Home&amp;Kitchen|Kitchen&amp;HomeAppliances|SmallKitchenAppliances|SandwichMakers")</f>
        <v>Home&amp;Kitchen|Kitchen&amp;HomeAppliances|SmallKitchenAppliances|SandwichMakers</v>
      </c>
      <c r="M856" s="23">
        <f>IFERROR(__xludf.DUMMYFUNCTION("""COMPUTED_VALUE"""),1474.0)</f>
        <v>1474</v>
      </c>
      <c r="N856" s="23">
        <f>IFERROR(__xludf.DUMMYFUNCTION("""COMPUTED_VALUE"""),4650.0)</f>
        <v>4650</v>
      </c>
      <c r="O856" s="24">
        <f>IFERROR(__xludf.DUMMYFUNCTION("""COMPUTED_VALUE"""),0.68)</f>
        <v>0.68</v>
      </c>
      <c r="P856" s="17">
        <f>IFERROR(__xludf.DUMMYFUNCTION("""COMPUTED_VALUE"""),4.1)</f>
        <v>4.1</v>
      </c>
      <c r="Q856" s="25">
        <f>IFERROR(__xludf.DUMMYFUNCTION("""COMPUTED_VALUE"""),1045.0)</f>
        <v>1045</v>
      </c>
    </row>
    <row r="857">
      <c r="A857" s="7" t="s">
        <v>921</v>
      </c>
      <c r="B857" s="7" t="s">
        <v>625</v>
      </c>
      <c r="C857" s="8">
        <v>149.0</v>
      </c>
      <c r="D857" s="8">
        <v>249.0</v>
      </c>
      <c r="E857" s="19">
        <v>0.4</v>
      </c>
      <c r="F857" s="10">
        <v>4.0</v>
      </c>
      <c r="G857" s="11">
        <v>5057.0</v>
      </c>
      <c r="K857" s="17" t="str">
        <f>IFERROR(__xludf.DUMMYFUNCTION("""COMPUTED_VALUE"""),"Havells Instanio 3-Litre 4.5KW Instant Water Heater (Geyser), White Blue")</f>
        <v>Havells Instanio 3-Litre 4.5KW Instant Water Heater (Geyser), White Blue</v>
      </c>
      <c r="L857" s="17" t="str">
        <f>IFERROR(__xludf.DUMMYFUNCTION("""COMPUTED_VALUE"""),"Home&amp;Kitchen|Heating,Cooling&amp;AirQuality|WaterHeaters&amp;Geysers|InstantWaterHeaters")</f>
        <v>Home&amp;Kitchen|Heating,Cooling&amp;AirQuality|WaterHeaters&amp;Geysers|InstantWaterHeaters</v>
      </c>
      <c r="M857" s="23">
        <f>IFERROR(__xludf.DUMMYFUNCTION("""COMPUTED_VALUE"""),3645.0)</f>
        <v>3645</v>
      </c>
      <c r="N857" s="23">
        <f>IFERROR(__xludf.DUMMYFUNCTION("""COMPUTED_VALUE"""),6070.0)</f>
        <v>6070</v>
      </c>
      <c r="O857" s="24">
        <f>IFERROR(__xludf.DUMMYFUNCTION("""COMPUTED_VALUE"""),0.4)</f>
        <v>0.4</v>
      </c>
      <c r="P857" s="17">
        <f>IFERROR(__xludf.DUMMYFUNCTION("""COMPUTED_VALUE"""),4.2)</f>
        <v>4.2</v>
      </c>
      <c r="Q857" s="17">
        <f>IFERROR(__xludf.DUMMYFUNCTION("""COMPUTED_VALUE"""),561.0)</f>
        <v>561</v>
      </c>
    </row>
    <row r="858">
      <c r="A858" s="7" t="s">
        <v>922</v>
      </c>
      <c r="B858" s="7" t="s">
        <v>692</v>
      </c>
      <c r="C858" s="8">
        <v>575.0</v>
      </c>
      <c r="D858" s="8">
        <v>2799.0</v>
      </c>
      <c r="E858" s="19">
        <v>0.79</v>
      </c>
      <c r="F858" s="10">
        <v>4.2</v>
      </c>
      <c r="G858" s="11">
        <v>8537.0</v>
      </c>
      <c r="K858" s="17" t="str">
        <f>IFERROR(__xludf.DUMMYFUNCTION("""COMPUTED_VALUE"""),"Panasonic SR-WA22H (E) Automatic Rice Cooker, Apple Green, 2.2 Liters")</f>
        <v>Panasonic SR-WA22H (E) Automatic Rice Cooker, Apple Green, 2.2 Liters</v>
      </c>
      <c r="L858" s="17" t="str">
        <f>IFERROR(__xludf.DUMMYFUNCTION("""COMPUTED_VALUE"""),"Home&amp;Kitchen|Kitchen&amp;HomeAppliances|SmallKitchenAppliances|Rice&amp;PastaCookers")</f>
        <v>Home&amp;Kitchen|Kitchen&amp;HomeAppliances|SmallKitchenAppliances|Rice&amp;PastaCookers</v>
      </c>
      <c r="M858" s="23">
        <f>IFERROR(__xludf.DUMMYFUNCTION("""COMPUTED_VALUE"""),2976.0)</f>
        <v>2976</v>
      </c>
      <c r="N858" s="23">
        <f>IFERROR(__xludf.DUMMYFUNCTION("""COMPUTED_VALUE"""),3945.0)</f>
        <v>3945</v>
      </c>
      <c r="O858" s="24">
        <f>IFERROR(__xludf.DUMMYFUNCTION("""COMPUTED_VALUE"""),0.25)</f>
        <v>0.25</v>
      </c>
      <c r="P858" s="17">
        <f>IFERROR(__xludf.DUMMYFUNCTION("""COMPUTED_VALUE"""),4.2)</f>
        <v>4.2</v>
      </c>
      <c r="Q858" s="25">
        <f>IFERROR(__xludf.DUMMYFUNCTION("""COMPUTED_VALUE"""),3740.0)</f>
        <v>3740</v>
      </c>
    </row>
    <row r="859">
      <c r="A859" s="7" t="s">
        <v>67</v>
      </c>
      <c r="B859" s="7" t="s">
        <v>15</v>
      </c>
      <c r="C859" s="8">
        <v>333.0</v>
      </c>
      <c r="D859" s="8">
        <v>999.0</v>
      </c>
      <c r="E859" s="19">
        <v>0.67</v>
      </c>
      <c r="F859" s="10">
        <v>3.3</v>
      </c>
      <c r="G859" s="11">
        <v>9792.0</v>
      </c>
      <c r="K859" s="17" t="str">
        <f>IFERROR(__xludf.DUMMYFUNCTION("""COMPUTED_VALUE"""),"InstaCuppa Milk Frother for Coffee - Handheld Battery-Operated Electric Milk and Coffee Frother, Stainless Steel Whisk and Stand, Portable Foam Maker for Coffee, Cappuccino, Lattes, and Egg Beaters")</f>
        <v>InstaCuppa Milk Frother for Coffee - Handheld Battery-Operated Electric Milk and Coffee Frother, Stainless Steel Whisk and Stand, Portable Foam Maker for Coffee, Cappuccino, Lattes, and Egg Beaters</v>
      </c>
      <c r="L859" s="17" t="str">
        <f>IFERROR(__xludf.DUMMYFUNCTION("""COMPUTED_VALUE"""),"Home&amp;Kitchen|Kitchen&amp;HomeAppliances|Coffee,Tea&amp;Espresso|MilkFrothers")</f>
        <v>Home&amp;Kitchen|Kitchen&amp;HomeAppliances|Coffee,Tea&amp;Espresso|MilkFrothers</v>
      </c>
      <c r="M859" s="23">
        <f>IFERROR(__xludf.DUMMYFUNCTION("""COMPUTED_VALUE"""),1099.0)</f>
        <v>1099</v>
      </c>
      <c r="N859" s="23">
        <f>IFERROR(__xludf.DUMMYFUNCTION("""COMPUTED_VALUE"""),1499.0)</f>
        <v>1499</v>
      </c>
      <c r="O859" s="24">
        <f>IFERROR(__xludf.DUMMYFUNCTION("""COMPUTED_VALUE"""),0.27)</f>
        <v>0.27</v>
      </c>
      <c r="P859" s="17">
        <f>IFERROR(__xludf.DUMMYFUNCTION("""COMPUTED_VALUE"""),4.1)</f>
        <v>4.1</v>
      </c>
      <c r="Q859" s="25">
        <f>IFERROR(__xludf.DUMMYFUNCTION("""COMPUTED_VALUE"""),4401.0)</f>
        <v>4401</v>
      </c>
    </row>
    <row r="860">
      <c r="A860" s="7" t="s">
        <v>923</v>
      </c>
      <c r="B860" s="7" t="s">
        <v>822</v>
      </c>
      <c r="C860" s="8">
        <v>178.0</v>
      </c>
      <c r="D860" s="8">
        <v>210.0</v>
      </c>
      <c r="E860" s="19">
        <v>0.15</v>
      </c>
      <c r="F860" s="10">
        <v>4.3</v>
      </c>
      <c r="G860" s="11">
        <v>2450.0</v>
      </c>
      <c r="K860" s="17" t="str">
        <f>IFERROR(__xludf.DUMMYFUNCTION("""COMPUTED_VALUE"""),"Goodscity Garment Steamer for Clothes, Steam Iron Press - Vertical &amp; Horizontal Steaming up to 22g/min, 1200 Watt, 230 ml Water tank &amp; 30 sec Fast Heating (GC 111)")</f>
        <v>Goodscity Garment Steamer for Clothes, Steam Iron Press - Vertical &amp; Horizontal Steaming up to 22g/min, 1200 Watt, 230 ml Water tank &amp; 30 sec Fast Heating (GC 111)</v>
      </c>
      <c r="L860" s="17" t="str">
        <f>IFERROR(__xludf.DUMMYFUNCTION("""COMPUTED_VALUE"""),"Home&amp;Kitchen|Kitchen&amp;HomeAppliances|Vacuum,Cleaning&amp;Ironing|Irons,Steamers&amp;Accessories|Irons|SteamIrons")</f>
        <v>Home&amp;Kitchen|Kitchen&amp;HomeAppliances|Vacuum,Cleaning&amp;Ironing|Irons,Steamers&amp;Accessories|Irons|SteamIrons</v>
      </c>
      <c r="M860" s="23">
        <f>IFERROR(__xludf.DUMMYFUNCTION("""COMPUTED_VALUE"""),2575.0)</f>
        <v>2575</v>
      </c>
      <c r="N860" s="23">
        <f>IFERROR(__xludf.DUMMYFUNCTION("""COMPUTED_VALUE"""),6700.0)</f>
        <v>6700</v>
      </c>
      <c r="O860" s="24">
        <f>IFERROR(__xludf.DUMMYFUNCTION("""COMPUTED_VALUE"""),0.62)</f>
        <v>0.62</v>
      </c>
      <c r="P860" s="17">
        <f>IFERROR(__xludf.DUMMYFUNCTION("""COMPUTED_VALUE"""),4.2)</f>
        <v>4.2</v>
      </c>
      <c r="Q860" s="17">
        <f>IFERROR(__xludf.DUMMYFUNCTION("""COMPUTED_VALUE"""),611.0)</f>
        <v>611</v>
      </c>
    </row>
    <row r="861">
      <c r="A861" s="7" t="s">
        <v>924</v>
      </c>
      <c r="B861" s="7" t="s">
        <v>393</v>
      </c>
      <c r="C861" s="8">
        <v>1599.0</v>
      </c>
      <c r="D861" s="8">
        <v>3490.0</v>
      </c>
      <c r="E861" s="19">
        <v>0.54</v>
      </c>
      <c r="F861" s="10">
        <v>3.7</v>
      </c>
      <c r="G861" s="10">
        <v>676.0</v>
      </c>
      <c r="K861" s="17" t="str">
        <f>IFERROR(__xludf.DUMMYFUNCTION("""COMPUTED_VALUE"""),"Orpat HHB-100E 250-Watt Hand Blender (White)")</f>
        <v>Orpat HHB-100E 250-Watt Hand Blender (White)</v>
      </c>
      <c r="L861" s="17" t="str">
        <f>IFERROR(__xludf.DUMMYFUNCTION("""COMPUTED_VALUE"""),"Home&amp;Kitchen|Kitchen&amp;HomeAppliances|SmallKitchenAppliances|HandBlenders")</f>
        <v>Home&amp;Kitchen|Kitchen&amp;HomeAppliances|SmallKitchenAppliances|HandBlenders</v>
      </c>
      <c r="M861" s="23">
        <f>IFERROR(__xludf.DUMMYFUNCTION("""COMPUTED_VALUE"""),765.0)</f>
        <v>765</v>
      </c>
      <c r="N861" s="23">
        <f>IFERROR(__xludf.DUMMYFUNCTION("""COMPUTED_VALUE"""),970.0)</f>
        <v>970</v>
      </c>
      <c r="O861" s="24">
        <f>IFERROR(__xludf.DUMMYFUNCTION("""COMPUTED_VALUE"""),0.21)</f>
        <v>0.21</v>
      </c>
      <c r="P861" s="17">
        <f>IFERROR(__xludf.DUMMYFUNCTION("""COMPUTED_VALUE"""),4.2)</f>
        <v>4.2</v>
      </c>
      <c r="Q861" s="25">
        <f>IFERROR(__xludf.DUMMYFUNCTION("""COMPUTED_VALUE"""),6055.0)</f>
        <v>6055</v>
      </c>
    </row>
    <row r="862">
      <c r="A862" s="7" t="s">
        <v>925</v>
      </c>
      <c r="B862" s="7" t="s">
        <v>393</v>
      </c>
      <c r="C862" s="8">
        <v>499.0</v>
      </c>
      <c r="D862" s="8">
        <v>1299.0</v>
      </c>
      <c r="E862" s="19">
        <v>0.62</v>
      </c>
      <c r="F862" s="10">
        <v>3.9</v>
      </c>
      <c r="G862" s="11">
        <v>1173.0</v>
      </c>
      <c r="K862" s="17" t="str">
        <f>IFERROR(__xludf.DUMMYFUNCTION("""COMPUTED_VALUE"""),"HealthSense Rechargeable Lint Remover for Clothes | Fuzz and Fur Remover | Electric Fabric Shaver, Trimmer for Clothes, Carpet, Sofa, Sweaters, Curtains | One-Year Warranty Included - New-Feel LR350")</f>
        <v>HealthSense Rechargeable Lint Remover for Clothes | Fuzz and Fur Remover | Electric Fabric Shaver, Trimmer for Clothes, Carpet, Sofa, Sweaters, Curtains | One-Year Warranty Included - New-Feel LR350</v>
      </c>
      <c r="L862" s="17" t="str">
        <f>IFERROR(__xludf.DUMMYFUNCTION("""COMPUTED_VALUE"""),"Home&amp;Kitchen|Kitchen&amp;HomeAppliances|Vacuum,Cleaning&amp;Ironing|Irons,Steamers&amp;Accessories|LintShavers")</f>
        <v>Home&amp;Kitchen|Kitchen&amp;HomeAppliances|Vacuum,Cleaning&amp;Ironing|Irons,Steamers&amp;Accessories|LintShavers</v>
      </c>
      <c r="M862" s="23">
        <f>IFERROR(__xludf.DUMMYFUNCTION("""COMPUTED_VALUE"""),999.0)</f>
        <v>999</v>
      </c>
      <c r="N862" s="23">
        <f>IFERROR(__xludf.DUMMYFUNCTION("""COMPUTED_VALUE"""),1500.0)</f>
        <v>1500</v>
      </c>
      <c r="O862" s="24">
        <f>IFERROR(__xludf.DUMMYFUNCTION("""COMPUTED_VALUE"""),0.33)</f>
        <v>0.33</v>
      </c>
      <c r="P862" s="17">
        <f>IFERROR(__xludf.DUMMYFUNCTION("""COMPUTED_VALUE"""),4.2)</f>
        <v>4.2</v>
      </c>
      <c r="Q862" s="17">
        <f>IFERROR(__xludf.DUMMYFUNCTION("""COMPUTED_VALUE"""),386.0)</f>
        <v>386</v>
      </c>
    </row>
    <row r="863">
      <c r="A863" s="7" t="s">
        <v>926</v>
      </c>
      <c r="B863" s="7" t="s">
        <v>696</v>
      </c>
      <c r="C863" s="8">
        <v>199.0</v>
      </c>
      <c r="D863" s="8">
        <v>499.0</v>
      </c>
      <c r="E863" s="19">
        <v>0.6</v>
      </c>
      <c r="F863" s="10">
        <v>4.3</v>
      </c>
      <c r="G863" s="11">
        <v>9998.0</v>
      </c>
      <c r="K863" s="17" t="str">
        <f>IFERROR(__xludf.DUMMYFUNCTION("""COMPUTED_VALUE"""),"AGARO Classic Portable Yogurt Maker, 1.2L Capacity, Electric, Automatic, Grey and White, Medium (33603)")</f>
        <v>AGARO Classic Portable Yogurt Maker, 1.2L Capacity, Electric, Automatic, Grey and White, Medium (33603)</v>
      </c>
      <c r="L863" s="17" t="str">
        <f>IFERROR(__xludf.DUMMYFUNCTION("""COMPUTED_VALUE"""),"Home&amp;Kitchen|Kitchen&amp;HomeAppliances|SmallKitchenAppliances|YogurtMakers")</f>
        <v>Home&amp;Kitchen|Kitchen&amp;HomeAppliances|SmallKitchenAppliances|YogurtMakers</v>
      </c>
      <c r="M863" s="23">
        <f>IFERROR(__xludf.DUMMYFUNCTION("""COMPUTED_VALUE"""),587.0)</f>
        <v>587</v>
      </c>
      <c r="N863" s="23">
        <f>IFERROR(__xludf.DUMMYFUNCTION("""COMPUTED_VALUE"""),1295.0)</f>
        <v>1295</v>
      </c>
      <c r="O863" s="24">
        <f>IFERROR(__xludf.DUMMYFUNCTION("""COMPUTED_VALUE"""),0.55)</f>
        <v>0.55</v>
      </c>
      <c r="P863" s="17">
        <f>IFERROR(__xludf.DUMMYFUNCTION("""COMPUTED_VALUE"""),4.1)</f>
        <v>4.1</v>
      </c>
      <c r="Q863" s="17">
        <f>IFERROR(__xludf.DUMMYFUNCTION("""COMPUTED_VALUE"""),557.0)</f>
        <v>557</v>
      </c>
    </row>
    <row r="864">
      <c r="A864" s="7" t="s">
        <v>927</v>
      </c>
      <c r="B864" s="7" t="s">
        <v>373</v>
      </c>
      <c r="C864" s="8">
        <v>2499.0</v>
      </c>
      <c r="D864" s="8">
        <v>5999.0</v>
      </c>
      <c r="E864" s="19">
        <v>0.58</v>
      </c>
      <c r="F864" s="10">
        <v>4.1</v>
      </c>
      <c r="G864" s="11">
        <v>5852.0</v>
      </c>
      <c r="K864" s="17" t="str">
        <f>IFERROR(__xludf.DUMMYFUNCTION("""COMPUTED_VALUE"""),"AGARO Imperial 240-Watt Slow Juicer with Cold Press Technology")</f>
        <v>AGARO Imperial 240-Watt Slow Juicer with Cold Press Technology</v>
      </c>
      <c r="L864" s="17" t="str">
        <f>IFERROR(__xludf.DUMMYFUNCTION("""COMPUTED_VALUE"""),"Home&amp;Kitchen|Kitchen&amp;HomeAppliances|SmallKitchenAppliances|Juicers|ColdPressJuicers")</f>
        <v>Home&amp;Kitchen|Kitchen&amp;HomeAppliances|SmallKitchenAppliances|Juicers|ColdPressJuicers</v>
      </c>
      <c r="M864" s="23">
        <f>IFERROR(__xludf.DUMMYFUNCTION("""COMPUTED_VALUE"""),12609.0)</f>
        <v>12609</v>
      </c>
      <c r="N864" s="23">
        <f>IFERROR(__xludf.DUMMYFUNCTION("""COMPUTED_VALUE"""),23999.0)</f>
        <v>23999</v>
      </c>
      <c r="O864" s="24">
        <f>IFERROR(__xludf.DUMMYFUNCTION("""COMPUTED_VALUE"""),0.47)</f>
        <v>0.47</v>
      </c>
      <c r="P864" s="17">
        <f>IFERROR(__xludf.DUMMYFUNCTION("""COMPUTED_VALUE"""),4.4)</f>
        <v>4.4</v>
      </c>
      <c r="Q864" s="25">
        <f>IFERROR(__xludf.DUMMYFUNCTION("""COMPUTED_VALUE"""),2288.0)</f>
        <v>2288</v>
      </c>
    </row>
    <row r="865">
      <c r="A865" s="7" t="s">
        <v>928</v>
      </c>
      <c r="B865" s="7" t="s">
        <v>929</v>
      </c>
      <c r="C865" s="8">
        <v>199.0</v>
      </c>
      <c r="D865" s="8">
        <v>999.0</v>
      </c>
      <c r="E865" s="19">
        <v>0.8</v>
      </c>
      <c r="F865" s="10">
        <v>4.2</v>
      </c>
      <c r="G865" s="10">
        <v>362.0</v>
      </c>
      <c r="K865" s="17" t="str">
        <f>IFERROR(__xludf.DUMMYFUNCTION("""COMPUTED_VALUE"""),"Wipro Smartlife Super Deluxe Dry Iron- 1000W")</f>
        <v>Wipro Smartlife Super Deluxe Dry Iron- 1000W</v>
      </c>
      <c r="L865" s="17" t="str">
        <f>IFERROR(__xludf.DUMMYFUNCTION("""COMPUTED_VALUE"""),"Home&amp;Kitchen|Kitchen&amp;HomeAppliances|Vacuum,Cleaning&amp;Ironing|Irons,Steamers&amp;Accessories|Irons|DryIrons")</f>
        <v>Home&amp;Kitchen|Kitchen&amp;HomeAppliances|Vacuum,Cleaning&amp;Ironing|Irons,Steamers&amp;Accessories|Irons|DryIrons</v>
      </c>
      <c r="M865" s="23">
        <f>IFERROR(__xludf.DUMMYFUNCTION("""COMPUTED_VALUE"""),699.0)</f>
        <v>699</v>
      </c>
      <c r="N865" s="23">
        <f>IFERROR(__xludf.DUMMYFUNCTION("""COMPUTED_VALUE"""),850.0)</f>
        <v>850</v>
      </c>
      <c r="O865" s="24">
        <f>IFERROR(__xludf.DUMMYFUNCTION("""COMPUTED_VALUE"""),0.18)</f>
        <v>0.18</v>
      </c>
      <c r="P865" s="17">
        <f>IFERROR(__xludf.DUMMYFUNCTION("""COMPUTED_VALUE"""),4.1)</f>
        <v>4.1</v>
      </c>
      <c r="Q865" s="25">
        <f>IFERROR(__xludf.DUMMYFUNCTION("""COMPUTED_VALUE"""),1106.0)</f>
        <v>1106</v>
      </c>
    </row>
    <row r="866">
      <c r="A866" s="7" t="s">
        <v>930</v>
      </c>
      <c r="B866" s="7" t="s">
        <v>386</v>
      </c>
      <c r="C866" s="8">
        <v>939.0</v>
      </c>
      <c r="D866" s="8">
        <v>1800.0</v>
      </c>
      <c r="E866" s="19">
        <v>0.48</v>
      </c>
      <c r="F866" s="10">
        <v>4.5</v>
      </c>
      <c r="G866" s="7" t="s">
        <v>931</v>
      </c>
      <c r="K866" s="17" t="str">
        <f>IFERROR(__xludf.DUMMYFUNCTION("""COMPUTED_VALUE"""),"AmazonBasics Cylinder Bagless Vacuum Cleaner with Power Suction, Low Sound, High Energy Efficiency and 2 Years Warranty (1.5L, Black)")</f>
        <v>AmazonBasics Cylinder Bagless Vacuum Cleaner with Power Suction, Low Sound, High Energy Efficiency and 2 Years Warranty (1.5L, Black)</v>
      </c>
      <c r="L866" s="17" t="str">
        <f>IFERROR(__xludf.DUMMYFUNCTION("""COMPUTED_VALUE"""),"Home&amp;Kitchen|Kitchen&amp;HomeAppliances|Vacuum,Cleaning&amp;Ironing|Vacuums&amp;FloorCare|Vacuums|CanisterVacuums")</f>
        <v>Home&amp;Kitchen|Kitchen&amp;HomeAppliances|Vacuum,Cleaning&amp;Ironing|Vacuums&amp;FloorCare|Vacuums|CanisterVacuums</v>
      </c>
      <c r="M866" s="23">
        <f>IFERROR(__xludf.DUMMYFUNCTION("""COMPUTED_VALUE"""),3799.0)</f>
        <v>3799</v>
      </c>
      <c r="N866" s="23">
        <f>IFERROR(__xludf.DUMMYFUNCTION("""COMPUTED_VALUE"""),6000.0)</f>
        <v>6000</v>
      </c>
      <c r="O866" s="24">
        <f>IFERROR(__xludf.DUMMYFUNCTION("""COMPUTED_VALUE"""),0.37)</f>
        <v>0.37</v>
      </c>
      <c r="P866" s="17">
        <f>IFERROR(__xludf.DUMMYFUNCTION("""COMPUTED_VALUE"""),4.2)</f>
        <v>4.2</v>
      </c>
      <c r="Q866" s="25">
        <f>IFERROR(__xludf.DUMMYFUNCTION("""COMPUTED_VALUE"""),11935.0)</f>
        <v>11935</v>
      </c>
    </row>
    <row r="867">
      <c r="A867" s="7" t="s">
        <v>932</v>
      </c>
      <c r="B867" s="7" t="s">
        <v>373</v>
      </c>
      <c r="C867" s="8">
        <v>2499.0</v>
      </c>
      <c r="D867" s="8">
        <v>9999.0</v>
      </c>
      <c r="E867" s="19">
        <v>0.75</v>
      </c>
      <c r="F867" s="10">
        <v>4.0</v>
      </c>
      <c r="G867" s="11">
        <v>9090.0</v>
      </c>
      <c r="K867" s="17" t="str">
        <f>IFERROR(__xludf.DUMMYFUNCTION("""COMPUTED_VALUE"""),"Crompton IHL 251 1500-Watt Immersion Water Heater with Copper Heating Element and IP 68 Protection")</f>
        <v>Crompton IHL 251 1500-Watt Immersion Water Heater with Copper Heating Element and IP 68 Protection</v>
      </c>
      <c r="L867" s="17" t="str">
        <f>IFERROR(__xludf.DUMMYFUNCTION("""COMPUTED_VALUE"""),"Home&amp;Kitchen|Heating,Cooling&amp;AirQuality|WaterHeaters&amp;Geysers|ImmersionRods")</f>
        <v>Home&amp;Kitchen|Heating,Cooling&amp;AirQuality|WaterHeaters&amp;Geysers|ImmersionRods</v>
      </c>
      <c r="M867" s="23">
        <f>IFERROR(__xludf.DUMMYFUNCTION("""COMPUTED_VALUE"""),640.0)</f>
        <v>640</v>
      </c>
      <c r="N867" s="23">
        <f>IFERROR(__xludf.DUMMYFUNCTION("""COMPUTED_VALUE"""),1020.0)</f>
        <v>1020</v>
      </c>
      <c r="O867" s="24">
        <f>IFERROR(__xludf.DUMMYFUNCTION("""COMPUTED_VALUE"""),0.37)</f>
        <v>0.37</v>
      </c>
      <c r="P867" s="17">
        <f>IFERROR(__xludf.DUMMYFUNCTION("""COMPUTED_VALUE"""),4.1)</f>
        <v>4.1</v>
      </c>
      <c r="Q867" s="25">
        <f>IFERROR(__xludf.DUMMYFUNCTION("""COMPUTED_VALUE"""),5059.0)</f>
        <v>5059</v>
      </c>
    </row>
    <row r="868">
      <c r="A868" s="7" t="s">
        <v>933</v>
      </c>
      <c r="B868" s="7" t="s">
        <v>625</v>
      </c>
      <c r="C868" s="8">
        <v>1439.0</v>
      </c>
      <c r="D868" s="8">
        <v>2890.0</v>
      </c>
      <c r="E868" s="19">
        <v>0.5</v>
      </c>
      <c r="F868" s="10">
        <v>4.5</v>
      </c>
      <c r="G868" s="11">
        <v>4099.0</v>
      </c>
      <c r="K868" s="17" t="str">
        <f>IFERROR(__xludf.DUMMYFUNCTION("""COMPUTED_VALUE"""),"Black + Decker BD BXIR2201IN 2200-Watt Cord &amp; Cordless Steam Iron (Green)")</f>
        <v>Black + Decker BD BXIR2201IN 2200-Watt Cord &amp; Cordless Steam Iron (Green)</v>
      </c>
      <c r="L868" s="17" t="str">
        <f>IFERROR(__xludf.DUMMYFUNCTION("""COMPUTED_VALUE"""),"Home&amp;Kitchen|Kitchen&amp;HomeAppliances|Vacuum,Cleaning&amp;Ironing|Irons,Steamers&amp;Accessories|Irons|SteamIrons")</f>
        <v>Home&amp;Kitchen|Kitchen&amp;HomeAppliances|Vacuum,Cleaning&amp;Ironing|Irons,Steamers&amp;Accessories|Irons|SteamIrons</v>
      </c>
      <c r="M868" s="23">
        <f>IFERROR(__xludf.DUMMYFUNCTION("""COMPUTED_VALUE"""),3199.0)</f>
        <v>3199</v>
      </c>
      <c r="N868" s="23">
        <f>IFERROR(__xludf.DUMMYFUNCTION("""COMPUTED_VALUE"""),3500.0)</f>
        <v>3500</v>
      </c>
      <c r="O868" s="24">
        <f>IFERROR(__xludf.DUMMYFUNCTION("""COMPUTED_VALUE"""),0.09)</f>
        <v>0.09</v>
      </c>
      <c r="P868" s="17">
        <f>IFERROR(__xludf.DUMMYFUNCTION("""COMPUTED_VALUE"""),4.2)</f>
        <v>4.2</v>
      </c>
      <c r="Q868" s="25">
        <f>IFERROR(__xludf.DUMMYFUNCTION("""COMPUTED_VALUE"""),1899.0)</f>
        <v>1899</v>
      </c>
    </row>
    <row r="869">
      <c r="A869" s="7" t="s">
        <v>934</v>
      </c>
      <c r="B869" s="7" t="s">
        <v>393</v>
      </c>
      <c r="C869" s="8">
        <v>1099.0</v>
      </c>
      <c r="D869" s="8">
        <v>5999.0</v>
      </c>
      <c r="E869" s="19">
        <v>0.82</v>
      </c>
      <c r="F869" s="10">
        <v>3.5</v>
      </c>
      <c r="G869" s="11">
        <v>12966.0</v>
      </c>
      <c r="K869" s="17" t="str">
        <f>IFERROR(__xludf.DUMMYFUNCTION("""COMPUTED_VALUE"""),"Inalsa Hand Blender| Hand Mixer|Beater - Easy Mix, Powerful 250 Watt Motor | Variable 7 Speed Control | 1 Year Warranty | (White/Red)")</f>
        <v>Inalsa Hand Blender| Hand Mixer|Beater - Easy Mix, Powerful 250 Watt Motor | Variable 7 Speed Control | 1 Year Warranty | (White/Red)</v>
      </c>
      <c r="L869" s="17" t="str">
        <f>IFERROR(__xludf.DUMMYFUNCTION("""COMPUTED_VALUE"""),"Home&amp;Kitchen|Kitchen&amp;HomeAppliances|SmallKitchenAppliances|HandMixers")</f>
        <v>Home&amp;Kitchen|Kitchen&amp;HomeAppliances|SmallKitchenAppliances|HandMixers</v>
      </c>
      <c r="M869" s="23">
        <f>IFERROR(__xludf.DUMMYFUNCTION("""COMPUTED_VALUE"""),979.0)</f>
        <v>979</v>
      </c>
      <c r="N869" s="23">
        <f>IFERROR(__xludf.DUMMYFUNCTION("""COMPUTED_VALUE"""),1395.0)</f>
        <v>1395</v>
      </c>
      <c r="O869" s="24">
        <f>IFERROR(__xludf.DUMMYFUNCTION("""COMPUTED_VALUE"""),0.3)</f>
        <v>0.3</v>
      </c>
      <c r="P869" s="17">
        <f>IFERROR(__xludf.DUMMYFUNCTION("""COMPUTED_VALUE"""),4.2)</f>
        <v>4.2</v>
      </c>
      <c r="Q869" s="25">
        <f>IFERROR(__xludf.DUMMYFUNCTION("""COMPUTED_VALUE"""),15252.0)</f>
        <v>15252</v>
      </c>
    </row>
    <row r="870">
      <c r="A870" s="7" t="s">
        <v>935</v>
      </c>
      <c r="B870" s="7" t="s">
        <v>732</v>
      </c>
      <c r="C870" s="8">
        <v>157.0</v>
      </c>
      <c r="D870" s="8">
        <v>160.0</v>
      </c>
      <c r="E870" s="19">
        <v>0.02</v>
      </c>
      <c r="F870" s="10">
        <v>4.5</v>
      </c>
      <c r="G870" s="11">
        <v>4428.0</v>
      </c>
      <c r="K870" s="17" t="str">
        <f>IFERROR(__xludf.DUMMYFUNCTION("""COMPUTED_VALUE"""),"Borosil Volcano 13 Fin Oil Filled Radiator Room Heater, 2900 W, Black")</f>
        <v>Borosil Volcano 13 Fin Oil Filled Radiator Room Heater, 2900 W, Black</v>
      </c>
      <c r="L870" s="17" t="str">
        <f>IFERROR(__xludf.DUMMYFUNCTION("""COMPUTED_VALUE"""),"Home&amp;Kitchen|Heating,Cooling&amp;AirQuality|RoomHeaters|ElectricHeaters")</f>
        <v>Home&amp;Kitchen|Heating,Cooling&amp;AirQuality|RoomHeaters|ElectricHeaters</v>
      </c>
      <c r="M870" s="23">
        <f>IFERROR(__xludf.DUMMYFUNCTION("""COMPUTED_VALUE"""),9495.0)</f>
        <v>9495</v>
      </c>
      <c r="N870" s="23">
        <f>IFERROR(__xludf.DUMMYFUNCTION("""COMPUTED_VALUE"""),18990.0)</f>
        <v>18990</v>
      </c>
      <c r="O870" s="24">
        <f>IFERROR(__xludf.DUMMYFUNCTION("""COMPUTED_VALUE"""),0.5)</f>
        <v>0.5</v>
      </c>
      <c r="P870" s="17">
        <f>IFERROR(__xludf.DUMMYFUNCTION("""COMPUTED_VALUE"""),4.2)</f>
        <v>4.2</v>
      </c>
      <c r="Q870" s="17">
        <f>IFERROR(__xludf.DUMMYFUNCTION("""COMPUTED_VALUE"""),79.0)</f>
        <v>79</v>
      </c>
    </row>
    <row r="871">
      <c r="A871" s="7" t="s">
        <v>65</v>
      </c>
      <c r="B871" s="7" t="s">
        <v>25</v>
      </c>
      <c r="C871" s="8">
        <v>999.0</v>
      </c>
      <c r="D871" s="8">
        <v>1599.0</v>
      </c>
      <c r="E871" s="19">
        <v>0.38</v>
      </c>
      <c r="F871" s="10">
        <v>4.3</v>
      </c>
      <c r="G871" s="11">
        <v>12093.0</v>
      </c>
      <c r="K871" s="17" t="str">
        <f>IFERROR(__xludf.DUMMYFUNCTION("""COMPUTED_VALUE"""),"Singer Aroma 1.8 Liter Electric Kettle High Grade Stainless Steel with Cool and Touch Body and Cordless Base, 1500 watts, Auto Shut Off with Dry Boiling (Silver/Black)")</f>
        <v>Singer Aroma 1.8 Liter Electric Kettle High Grade Stainless Steel with Cool and Touch Body and Cordless Base, 1500 watts, Auto Shut Off with Dry Boiling (Silver/Black)</v>
      </c>
      <c r="L871" s="17" t="str">
        <f>IFERROR(__xludf.DUMMYFUNCTION("""COMPUTED_VALUE"""),"Home&amp;Kitchen|Kitchen&amp;HomeAppliances|SmallKitchenAppliances|Kettles&amp;HotWaterDispensers|ElectricKettles")</f>
        <v>Home&amp;Kitchen|Kitchen&amp;HomeAppliances|SmallKitchenAppliances|Kettles&amp;HotWaterDispensers|ElectricKettles</v>
      </c>
      <c r="M871" s="23">
        <f>IFERROR(__xludf.DUMMYFUNCTION("""COMPUTED_VALUE"""),949.0)</f>
        <v>949</v>
      </c>
      <c r="N871" s="23">
        <f>IFERROR(__xludf.DUMMYFUNCTION("""COMPUTED_VALUE"""),2385.0)</f>
        <v>2385</v>
      </c>
      <c r="O871" s="24">
        <f>IFERROR(__xludf.DUMMYFUNCTION("""COMPUTED_VALUE"""),0.6)</f>
        <v>0.6</v>
      </c>
      <c r="P871" s="17">
        <f>IFERROR(__xludf.DUMMYFUNCTION("""COMPUTED_VALUE"""),4.1)</f>
        <v>4.1</v>
      </c>
      <c r="Q871" s="25">
        <f>IFERROR(__xludf.DUMMYFUNCTION("""COMPUTED_VALUE"""),2311.0)</f>
        <v>2311</v>
      </c>
    </row>
    <row r="872">
      <c r="A872" s="7" t="s">
        <v>936</v>
      </c>
      <c r="B872" s="7" t="s">
        <v>685</v>
      </c>
      <c r="C872" s="8">
        <v>115.0</v>
      </c>
      <c r="D872" s="8">
        <v>999.0</v>
      </c>
      <c r="E872" s="19">
        <v>0.88</v>
      </c>
      <c r="F872" s="10">
        <v>3.3</v>
      </c>
      <c r="G872" s="11">
        <v>5692.0</v>
      </c>
      <c r="K872" s="17" t="str">
        <f>IFERROR(__xludf.DUMMYFUNCTION("""COMPUTED_VALUE"""),"Racold Eterno Pro 25L Vertical 5 Star Storage Water Heater (Geyser) with free Standard Installation and free Installation Pipes")</f>
        <v>Racold Eterno Pro 25L Vertical 5 Star Storage Water Heater (Geyser) with free Standard Installation and free Installation Pipes</v>
      </c>
      <c r="L872" s="17" t="str">
        <f>IFERROR(__xludf.DUMMYFUNCTION("""COMPUTED_VALUE"""),"Home&amp;Kitchen|Heating,Cooling&amp;AirQuality|WaterHeaters&amp;Geysers|StorageWaterHeaters")</f>
        <v>Home&amp;Kitchen|Heating,Cooling&amp;AirQuality|WaterHeaters&amp;Geysers|StorageWaterHeaters</v>
      </c>
      <c r="M872" s="23">
        <f>IFERROR(__xludf.DUMMYFUNCTION("""COMPUTED_VALUE"""),8699.0)</f>
        <v>8699</v>
      </c>
      <c r="N872" s="23">
        <f>IFERROR(__xludf.DUMMYFUNCTION("""COMPUTED_VALUE"""),16899.0)</f>
        <v>16899</v>
      </c>
      <c r="O872" s="24">
        <f>IFERROR(__xludf.DUMMYFUNCTION("""COMPUTED_VALUE"""),0.49)</f>
        <v>0.49</v>
      </c>
      <c r="P872" s="17">
        <f>IFERROR(__xludf.DUMMYFUNCTION("""COMPUTED_VALUE"""),4.2)</f>
        <v>4.2</v>
      </c>
      <c r="Q872" s="25">
        <f>IFERROR(__xludf.DUMMYFUNCTION("""COMPUTED_VALUE"""),3195.0)</f>
        <v>3195</v>
      </c>
    </row>
    <row r="873">
      <c r="A873" s="7" t="s">
        <v>937</v>
      </c>
      <c r="B873" s="7" t="s">
        <v>627</v>
      </c>
      <c r="C873" s="8">
        <v>175.0</v>
      </c>
      <c r="D873" s="8">
        <v>499.0</v>
      </c>
      <c r="E873" s="19">
        <v>0.65</v>
      </c>
      <c r="F873" s="10">
        <v>4.1</v>
      </c>
      <c r="G873" s="10">
        <v>21.0</v>
      </c>
      <c r="K873" s="17" t="str">
        <f>IFERROR(__xludf.DUMMYFUNCTION("""COMPUTED_VALUE"""),"LG 1.5 Ton 5 Star AI DUAL Inverter Split AC (Copper, Super Convertible 6-in-1 Cooling, HD Filter with Anti-Virus Protection, 2022 Model, PS-Q19YNZE, White)")</f>
        <v>LG 1.5 Ton 5 Star AI DUAL Inverter Split AC (Copper, Super Convertible 6-in-1 Cooling, HD Filter with Anti-Virus Protection, 2022 Model, PS-Q19YNZE, White)</v>
      </c>
      <c r="L873" s="17" t="str">
        <f>IFERROR(__xludf.DUMMYFUNCTION("""COMPUTED_VALUE"""),"Home&amp;Kitchen|Heating,Cooling&amp;AirQuality|AirConditioners|Split-SystemAirConditioners")</f>
        <v>Home&amp;Kitchen|Heating,Cooling&amp;AirQuality|AirConditioners|Split-SystemAirConditioners</v>
      </c>
      <c r="M873" s="23">
        <f>IFERROR(__xludf.DUMMYFUNCTION("""COMPUTED_VALUE"""),42990.0)</f>
        <v>42990</v>
      </c>
      <c r="N873" s="23">
        <f>IFERROR(__xludf.DUMMYFUNCTION("""COMPUTED_VALUE"""),75990.0)</f>
        <v>75990</v>
      </c>
      <c r="O873" s="24">
        <f>IFERROR(__xludf.DUMMYFUNCTION("""COMPUTED_VALUE"""),0.43)</f>
        <v>0.43</v>
      </c>
      <c r="P873" s="17">
        <f>IFERROR(__xludf.DUMMYFUNCTION("""COMPUTED_VALUE"""),4.3)</f>
        <v>4.3</v>
      </c>
      <c r="Q873" s="25">
        <f>IFERROR(__xludf.DUMMYFUNCTION("""COMPUTED_VALUE"""),3231.0)</f>
        <v>3231</v>
      </c>
    </row>
    <row r="874">
      <c r="A874" s="7" t="s">
        <v>938</v>
      </c>
      <c r="B874" s="7" t="s">
        <v>769</v>
      </c>
      <c r="C874" s="8">
        <v>1999.0</v>
      </c>
      <c r="D874" s="8">
        <v>4700.0</v>
      </c>
      <c r="E874" s="19">
        <v>0.57</v>
      </c>
      <c r="F874" s="10">
        <v>3.8</v>
      </c>
      <c r="G874" s="11">
        <v>1880.0</v>
      </c>
      <c r="K874" s="17" t="str">
        <f>IFERROR(__xludf.DUMMYFUNCTION("""COMPUTED_VALUE"""),"Sujata Chutney Steel Jar, 400 ml, (White), Stainless Steel")</f>
        <v>Sujata Chutney Steel Jar, 400 ml, (White), Stainless Steel</v>
      </c>
      <c r="L874" s="17" t="str">
        <f>IFERROR(__xludf.DUMMYFUNCTION("""COMPUTED_VALUE"""),"Home&amp;Kitchen|Kitchen&amp;HomeAppliances|SmallKitchenAppliances|SmallApplianceParts&amp;Accessories")</f>
        <v>Home&amp;Kitchen|Kitchen&amp;HomeAppliances|SmallKitchenAppliances|SmallApplianceParts&amp;Accessories</v>
      </c>
      <c r="M874" s="23">
        <f>IFERROR(__xludf.DUMMYFUNCTION("""COMPUTED_VALUE"""),688.0)</f>
        <v>688</v>
      </c>
      <c r="N874" s="23">
        <f>IFERROR(__xludf.DUMMYFUNCTION("""COMPUTED_VALUE"""),747.0)</f>
        <v>747</v>
      </c>
      <c r="O874" s="24">
        <f>IFERROR(__xludf.DUMMYFUNCTION("""COMPUTED_VALUE"""),0.08)</f>
        <v>0.08</v>
      </c>
      <c r="P874" s="17">
        <f>IFERROR(__xludf.DUMMYFUNCTION("""COMPUTED_VALUE"""),4.5)</f>
        <v>4.5</v>
      </c>
      <c r="Q874" s="25">
        <f>IFERROR(__xludf.DUMMYFUNCTION("""COMPUTED_VALUE"""),2280.0)</f>
        <v>2280</v>
      </c>
    </row>
    <row r="875">
      <c r="A875" s="7" t="s">
        <v>939</v>
      </c>
      <c r="B875" s="7" t="s">
        <v>940</v>
      </c>
      <c r="C875" s="8">
        <v>3999.0</v>
      </c>
      <c r="D875" s="8">
        <v>4332.96</v>
      </c>
      <c r="E875" s="19">
        <v>0.08</v>
      </c>
      <c r="F875" s="10">
        <v>3.5</v>
      </c>
      <c r="G875" s="11">
        <v>21762.0</v>
      </c>
      <c r="K875" s="17" t="str">
        <f>IFERROR(__xludf.DUMMYFUNCTION("""COMPUTED_VALUE"""),"Racold Pronto Pro 3Litres 3KW Vertical Instant Water Heater (Geyser)")</f>
        <v>Racold Pronto Pro 3Litres 3KW Vertical Instant Water Heater (Geyser)</v>
      </c>
      <c r="L875" s="17" t="str">
        <f>IFERROR(__xludf.DUMMYFUNCTION("""COMPUTED_VALUE"""),"Home&amp;Kitchen|Heating,Cooling&amp;AirQuality|WaterHeaters&amp;Geysers|InstantWaterHeaters")</f>
        <v>Home&amp;Kitchen|Heating,Cooling&amp;AirQuality|WaterHeaters&amp;Geysers|InstantWaterHeaters</v>
      </c>
      <c r="M875" s="23">
        <f>IFERROR(__xludf.DUMMYFUNCTION("""COMPUTED_VALUE"""),2949.0)</f>
        <v>2949</v>
      </c>
      <c r="N875" s="23">
        <f>IFERROR(__xludf.DUMMYFUNCTION("""COMPUTED_VALUE"""),4849.0)</f>
        <v>4849</v>
      </c>
      <c r="O875" s="24">
        <f>IFERROR(__xludf.DUMMYFUNCTION("""COMPUTED_VALUE"""),0.39)</f>
        <v>0.39</v>
      </c>
      <c r="P875" s="17">
        <f>IFERROR(__xludf.DUMMYFUNCTION("""COMPUTED_VALUE"""),4.2)</f>
        <v>4.2</v>
      </c>
      <c r="Q875" s="25">
        <f>IFERROR(__xludf.DUMMYFUNCTION("""COMPUTED_VALUE"""),7968.0)</f>
        <v>7968</v>
      </c>
    </row>
    <row r="876">
      <c r="A876" s="7" t="s">
        <v>941</v>
      </c>
      <c r="B876" s="7" t="s">
        <v>709</v>
      </c>
      <c r="C876" s="8">
        <v>899.0</v>
      </c>
      <c r="D876" s="8">
        <v>1800.0</v>
      </c>
      <c r="E876" s="19">
        <v>0.5</v>
      </c>
      <c r="F876" s="10">
        <v>4.1</v>
      </c>
      <c r="G876" s="11">
        <v>22375.0</v>
      </c>
      <c r="K876" s="17" t="str">
        <f>IFERROR(__xludf.DUMMYFUNCTION("""COMPUTED_VALUE"""),"Pajaka® South Indian Filter Coffee Maker 200 ML 2-4 Cup / Mugs / Glass | Madras Kaapi/ Kappi Drip Decoction Maker / Makers / Brewer / Pot or Drip / Dripper Made of Stainless Steel | Non-Electric Machine / Appliances / Utensils Medium Size for Home and Kit"&amp;"chen, Office, Cefe Traditional Item / Product | Used for making Country /Desi Style French Press Espresso Nespresso Expresso Cappuccino Instant Black Coffee | Best flavoured with Grounded Arabica Roasted Crushed Grind Coffee Beans")</f>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L876" s="17" t="str">
        <f>IFERROR(__xludf.DUMMYFUNCTION("""COMPUTED_VALUE"""),"Home&amp;Kitchen|Kitchen&amp;HomeAppliances|Coffee,Tea&amp;Espresso|DripCoffeeMachines")</f>
        <v>Home&amp;Kitchen|Kitchen&amp;HomeAppliances|Coffee,Tea&amp;Espresso|DripCoffeeMachines</v>
      </c>
      <c r="M876" s="23">
        <f>IFERROR(__xludf.DUMMYFUNCTION("""COMPUTED_VALUE"""),293.0)</f>
        <v>293</v>
      </c>
      <c r="N876" s="23">
        <f>IFERROR(__xludf.DUMMYFUNCTION("""COMPUTED_VALUE"""),499.0)</f>
        <v>499</v>
      </c>
      <c r="O876" s="24">
        <f>IFERROR(__xludf.DUMMYFUNCTION("""COMPUTED_VALUE"""),0.41)</f>
        <v>0.41</v>
      </c>
      <c r="P876" s="17">
        <f>IFERROR(__xludf.DUMMYFUNCTION("""COMPUTED_VALUE"""),4.1)</f>
        <v>4.1</v>
      </c>
      <c r="Q876" s="25">
        <f>IFERROR(__xludf.DUMMYFUNCTION("""COMPUTED_VALUE"""),1456.0)</f>
        <v>1456</v>
      </c>
    </row>
    <row r="877">
      <c r="A877" s="7" t="s">
        <v>942</v>
      </c>
      <c r="B877" s="7" t="s">
        <v>696</v>
      </c>
      <c r="C877" s="8">
        <v>299.0</v>
      </c>
      <c r="D877" s="8">
        <v>990.0</v>
      </c>
      <c r="E877" s="19">
        <v>0.7</v>
      </c>
      <c r="F877" s="10">
        <v>4.5</v>
      </c>
      <c r="G877" s="11">
        <v>2453.0</v>
      </c>
      <c r="K877" s="17" t="str">
        <f>IFERROR(__xludf.DUMMYFUNCTION("""COMPUTED_VALUE"""),"Saiyam Stainless Steel Espresso Maker Stovetop Coffee Percolator Italian Coffee Maker Moka Pot (4 Cup - 200 ml, Silver)")</f>
        <v>Saiyam Stainless Steel Espresso Maker Stovetop Coffee Percolator Italian Coffee Maker Moka Pot (4 Cup - 200 ml, Silver)</v>
      </c>
      <c r="L877" s="17" t="str">
        <f>IFERROR(__xludf.DUMMYFUNCTION("""COMPUTED_VALUE"""),"Home&amp;Kitchen|Kitchen&amp;HomeAppliances|Coffee,Tea&amp;Espresso|StovetopEspressoPots")</f>
        <v>Home&amp;Kitchen|Kitchen&amp;HomeAppliances|Coffee,Tea&amp;Espresso|StovetopEspressoPots</v>
      </c>
      <c r="M877" s="23">
        <f>IFERROR(__xludf.DUMMYFUNCTION("""COMPUTED_VALUE"""),599.0)</f>
        <v>599</v>
      </c>
      <c r="N877" s="23">
        <f>IFERROR(__xludf.DUMMYFUNCTION("""COMPUTED_VALUE"""),1299.0)</f>
        <v>1299</v>
      </c>
      <c r="O877" s="24">
        <f>IFERROR(__xludf.DUMMYFUNCTION("""COMPUTED_VALUE"""),0.54)</f>
        <v>0.54</v>
      </c>
      <c r="P877" s="17">
        <f>IFERROR(__xludf.DUMMYFUNCTION("""COMPUTED_VALUE"""),4.2)</f>
        <v>4.2</v>
      </c>
      <c r="Q877" s="17">
        <f>IFERROR(__xludf.DUMMYFUNCTION("""COMPUTED_VALUE"""),590.0)</f>
        <v>590</v>
      </c>
    </row>
    <row r="878">
      <c r="A878" s="7" t="s">
        <v>943</v>
      </c>
      <c r="B878" s="7" t="s">
        <v>627</v>
      </c>
      <c r="C878" s="8">
        <v>3303.0</v>
      </c>
      <c r="D878" s="8">
        <v>4699.0</v>
      </c>
      <c r="E878" s="19">
        <v>0.3</v>
      </c>
      <c r="F878" s="10">
        <v>4.4</v>
      </c>
      <c r="G878" s="11">
        <v>13544.0</v>
      </c>
      <c r="K878" s="17" t="str">
        <f>IFERROR(__xludf.DUMMYFUNCTION("""COMPUTED_VALUE"""),"KONVIO NEER 10 Inch Spun Filter (PP SPUN) Cartridge Compatible for 10 Inch Pre-Filter Housing of Water Purifier | Pack of 4 Spun")</f>
        <v>KONVIO NEER 10 Inch Spun Filter (PP SPUN) Cartridge Compatible for 10 Inch Pre-Filter Housing of Water Purifier | Pack of 4 Spun</v>
      </c>
      <c r="L878" s="17" t="str">
        <f>IFERROR(__xludf.DUMMYFUNCTION("""COMPUTED_VALUE"""),"Home&amp;Kitchen|Kitchen&amp;HomeAppliances|WaterPurifiers&amp;Accessories|WaterPurifierAccessories")</f>
        <v>Home&amp;Kitchen|Kitchen&amp;HomeAppliances|WaterPurifiers&amp;Accessories|WaterPurifierAccessories</v>
      </c>
      <c r="M878" s="23">
        <f>IFERROR(__xludf.DUMMYFUNCTION("""COMPUTED_VALUE"""),499.0)</f>
        <v>499</v>
      </c>
      <c r="N878" s="23">
        <f>IFERROR(__xludf.DUMMYFUNCTION("""COMPUTED_VALUE"""),999.0)</f>
        <v>999</v>
      </c>
      <c r="O878" s="24">
        <f>IFERROR(__xludf.DUMMYFUNCTION("""COMPUTED_VALUE"""),0.5)</f>
        <v>0.5</v>
      </c>
      <c r="P878" s="17">
        <f>IFERROR(__xludf.DUMMYFUNCTION("""COMPUTED_VALUE"""),4.3)</f>
        <v>4.3</v>
      </c>
      <c r="Q878" s="25">
        <f>IFERROR(__xludf.DUMMYFUNCTION("""COMPUTED_VALUE"""),1436.0)</f>
        <v>1436</v>
      </c>
    </row>
    <row r="879">
      <c r="A879" s="7" t="s">
        <v>944</v>
      </c>
      <c r="B879" s="7" t="s">
        <v>854</v>
      </c>
      <c r="C879" s="8">
        <v>1890.0</v>
      </c>
      <c r="D879" s="8">
        <v>5490.0</v>
      </c>
      <c r="E879" s="19">
        <v>0.66</v>
      </c>
      <c r="F879" s="10">
        <v>4.1</v>
      </c>
      <c r="G879" s="11">
        <v>10976.0</v>
      </c>
      <c r="K879" s="17" t="str">
        <f>IFERROR(__xludf.DUMMYFUNCTION("""COMPUTED_VALUE"""),"Havells Glydo 1000 watt Dry Iron With American Heritage Non Stick Sole Plate, Aerodynamic Design, Easy Grip Temperature Knob &amp; 2 years Warranty. (Charcoal Blue)")</f>
        <v>Havells Glydo 1000 watt Dry Iron With American Heritage Non Stick Sole Plate, Aerodynamic Design, Easy Grip Temperature Knob &amp; 2 years Warranty. (Charcoal Blue)</v>
      </c>
      <c r="L879" s="17" t="str">
        <f>IFERROR(__xludf.DUMMYFUNCTION("""COMPUTED_VALUE"""),"Home&amp;Kitchen|Kitchen&amp;HomeAppliances|Vacuum,Cleaning&amp;Ironing|Irons,Steamers&amp;Accessories|Irons|DryIrons")</f>
        <v>Home&amp;Kitchen|Kitchen&amp;HomeAppliances|Vacuum,Cleaning&amp;Ironing|Irons,Steamers&amp;Accessories|Irons|DryIrons</v>
      </c>
      <c r="M879" s="23">
        <f>IFERROR(__xludf.DUMMYFUNCTION("""COMPUTED_VALUE"""),849.0)</f>
        <v>849</v>
      </c>
      <c r="N879" s="23">
        <f>IFERROR(__xludf.DUMMYFUNCTION("""COMPUTED_VALUE"""),1190.0)</f>
        <v>1190</v>
      </c>
      <c r="O879" s="24">
        <f>IFERROR(__xludf.DUMMYFUNCTION("""COMPUTED_VALUE"""),0.29)</f>
        <v>0.29</v>
      </c>
      <c r="P879" s="17">
        <f>IFERROR(__xludf.DUMMYFUNCTION("""COMPUTED_VALUE"""),4.2)</f>
        <v>4.2</v>
      </c>
      <c r="Q879" s="25">
        <f>IFERROR(__xludf.DUMMYFUNCTION("""COMPUTED_VALUE"""),4184.0)</f>
        <v>4184</v>
      </c>
    </row>
    <row r="880">
      <c r="A880" s="7" t="s">
        <v>945</v>
      </c>
      <c r="B880" s="7" t="s">
        <v>811</v>
      </c>
      <c r="C880" s="8">
        <v>90.0</v>
      </c>
      <c r="D880" s="8">
        <v>100.0</v>
      </c>
      <c r="E880" s="19">
        <v>0.1</v>
      </c>
      <c r="F880" s="10">
        <v>4.3</v>
      </c>
      <c r="G880" s="11">
        <v>3061.0</v>
      </c>
      <c r="K880" s="17" t="str">
        <f>IFERROR(__xludf.DUMMYFUNCTION("""COMPUTED_VALUE"""),"Raffles Premium Stainless Steel South Indian Coffee Filter/Drip Coffee Maker, 2-3 Cups, 150 ml")</f>
        <v>Raffles Premium Stainless Steel South Indian Coffee Filter/Drip Coffee Maker, 2-3 Cups, 150 ml</v>
      </c>
      <c r="L880" s="17" t="str">
        <f>IFERROR(__xludf.DUMMYFUNCTION("""COMPUTED_VALUE"""),"Home&amp;Kitchen|Kitchen&amp;HomeAppliances|Coffee,Tea&amp;Espresso|DripCoffeeMachines")</f>
        <v>Home&amp;Kitchen|Kitchen&amp;HomeAppliances|Coffee,Tea&amp;Espresso|DripCoffeeMachines</v>
      </c>
      <c r="M880" s="23">
        <f>IFERROR(__xludf.DUMMYFUNCTION("""COMPUTED_VALUE"""),249.0)</f>
        <v>249</v>
      </c>
      <c r="N880" s="23">
        <f>IFERROR(__xludf.DUMMYFUNCTION("""COMPUTED_VALUE"""),400.0)</f>
        <v>400</v>
      </c>
      <c r="O880" s="24">
        <f>IFERROR(__xludf.DUMMYFUNCTION("""COMPUTED_VALUE"""),0.38)</f>
        <v>0.38</v>
      </c>
      <c r="P880" s="17">
        <f>IFERROR(__xludf.DUMMYFUNCTION("""COMPUTED_VALUE"""),4.1)</f>
        <v>4.1</v>
      </c>
      <c r="Q880" s="17">
        <f>IFERROR(__xludf.DUMMYFUNCTION("""COMPUTED_VALUE"""),693.0)</f>
        <v>693</v>
      </c>
    </row>
    <row r="881">
      <c r="A881" s="7" t="s">
        <v>946</v>
      </c>
      <c r="B881" s="7" t="s">
        <v>393</v>
      </c>
      <c r="C881" s="8">
        <v>1599.0</v>
      </c>
      <c r="D881" s="8">
        <v>2790.0</v>
      </c>
      <c r="E881" s="19">
        <v>0.43</v>
      </c>
      <c r="F881" s="10">
        <v>3.6</v>
      </c>
      <c r="G881" s="11">
        <v>2272.0</v>
      </c>
      <c r="K881" s="17" t="str">
        <f>IFERROR(__xludf.DUMMYFUNCTION("""COMPUTED_VALUE"""),"INKULTURE Stainless_Steel Measuring Cups &amp; Spoon Combo for Dry or Liquid/Kitchen Gadgets for Cooking &amp; Baking Cakes/Measuring Cup Set Combo with Handles (Set of 4 Cups &amp; 4 Spoons)")</f>
        <v>INKULTURE Stainless_Steel Measuring Cups &amp; Spoon Combo for Dry or Liquid/Kitchen Gadgets for Cooking &amp; Baking Cakes/Measuring Cup Set Combo with Handles (Set of 4 Cups &amp; 4 Spoons)</v>
      </c>
      <c r="L881" s="17" t="str">
        <f>IFERROR(__xludf.DUMMYFUNCTION("""COMPUTED_VALUE"""),"Home&amp;Kitchen|Kitchen&amp;HomeAppliances|Coffee,Tea&amp;Espresso|CoffeeMakerAccessories|MeasuringSpoons")</f>
        <v>Home&amp;Kitchen|Kitchen&amp;HomeAppliances|Coffee,Tea&amp;Espresso|CoffeeMakerAccessories|MeasuringSpoons</v>
      </c>
      <c r="M881" s="23">
        <f>IFERROR(__xludf.DUMMYFUNCTION("""COMPUTED_VALUE"""),279.0)</f>
        <v>279</v>
      </c>
      <c r="N881" s="23">
        <f>IFERROR(__xludf.DUMMYFUNCTION("""COMPUTED_VALUE"""),699.0)</f>
        <v>699</v>
      </c>
      <c r="O881" s="24">
        <f>IFERROR(__xludf.DUMMYFUNCTION("""COMPUTED_VALUE"""),0.6)</f>
        <v>0.6</v>
      </c>
      <c r="P881" s="17">
        <f>IFERROR(__xludf.DUMMYFUNCTION("""COMPUTED_VALUE"""),4.3)</f>
        <v>4.3</v>
      </c>
      <c r="Q881" s="25">
        <f>IFERROR(__xludf.DUMMYFUNCTION("""COMPUTED_VALUE"""),2326.0)</f>
        <v>2326</v>
      </c>
    </row>
    <row r="882">
      <c r="A882" s="7" t="s">
        <v>947</v>
      </c>
      <c r="B882" s="7" t="s">
        <v>858</v>
      </c>
      <c r="C882" s="8">
        <v>599.0</v>
      </c>
      <c r="D882" s="8">
        <v>999.0</v>
      </c>
      <c r="E882" s="19">
        <v>0.4</v>
      </c>
      <c r="F882" s="10">
        <v>4.0</v>
      </c>
      <c r="G882" s="11">
        <v>7601.0</v>
      </c>
      <c r="K882" s="17" t="str">
        <f>IFERROR(__xludf.DUMMYFUNCTION("""COMPUTED_VALUE"""),"Havells D'zire 1000 watt Dry Iron With American Heritage Sole Plate, Aerodynamic Design, Easy Grip Temperature Knob &amp; 2 years Warranty. (Mint)")</f>
        <v>Havells D'zire 1000 watt Dry Iron With American Heritage Sole Plate, Aerodynamic Design, Easy Grip Temperature Knob &amp; 2 years Warranty. (Mint)</v>
      </c>
      <c r="L882" s="17" t="str">
        <f>IFERROR(__xludf.DUMMYFUNCTION("""COMPUTED_VALUE"""),"Home&amp;Kitchen|Kitchen&amp;HomeAppliances|Vacuum,Cleaning&amp;Ironing|Irons,Steamers&amp;Accessories|Irons|DryIrons")</f>
        <v>Home&amp;Kitchen|Kitchen&amp;HomeAppliances|Vacuum,Cleaning&amp;Ironing|Irons,Steamers&amp;Accessories|Irons|DryIrons</v>
      </c>
      <c r="M882" s="23">
        <f>IFERROR(__xludf.DUMMYFUNCTION("""COMPUTED_VALUE"""),889.0)</f>
        <v>889</v>
      </c>
      <c r="N882" s="23">
        <f>IFERROR(__xludf.DUMMYFUNCTION("""COMPUTED_VALUE"""),1295.0)</f>
        <v>1295</v>
      </c>
      <c r="O882" s="24">
        <f>IFERROR(__xludf.DUMMYFUNCTION("""COMPUTED_VALUE"""),0.31)</f>
        <v>0.31</v>
      </c>
      <c r="P882" s="17">
        <f>IFERROR(__xludf.DUMMYFUNCTION("""COMPUTED_VALUE"""),4.3)</f>
        <v>4.3</v>
      </c>
      <c r="Q882" s="25">
        <f>IFERROR(__xludf.DUMMYFUNCTION("""COMPUTED_VALUE"""),6400.0)</f>
        <v>6400</v>
      </c>
    </row>
    <row r="883">
      <c r="A883" s="7" t="s">
        <v>68</v>
      </c>
      <c r="B883" s="7" t="s">
        <v>25</v>
      </c>
      <c r="C883" s="8">
        <v>507.0</v>
      </c>
      <c r="D883" s="8">
        <v>1208.0</v>
      </c>
      <c r="E883" s="19">
        <v>0.58</v>
      </c>
      <c r="F883" s="10">
        <v>4.1</v>
      </c>
      <c r="G883" s="11">
        <v>8131.0</v>
      </c>
      <c r="K883" s="17" t="str">
        <f>IFERROR(__xludf.DUMMYFUNCTION("""COMPUTED_VALUE"""),"Sujata Dynamix DX Mixer Grinder, 900W, 3 Jars (White)")</f>
        <v>Sujata Dynamix DX Mixer Grinder, 900W, 3 Jars (White)</v>
      </c>
      <c r="L883" s="17" t="str">
        <f>IFERROR(__xludf.DUMMYFUNCTION("""COMPUTED_VALUE"""),"Home&amp;Kitchen|Kitchen&amp;HomeAppliances|SmallKitchenAppliances|MixerGrinders")</f>
        <v>Home&amp;Kitchen|Kitchen&amp;HomeAppliances|SmallKitchenAppliances|MixerGrinders</v>
      </c>
      <c r="M883" s="23">
        <f>IFERROR(__xludf.DUMMYFUNCTION("""COMPUTED_VALUE"""),6120.0)</f>
        <v>6120</v>
      </c>
      <c r="N883" s="23">
        <f>IFERROR(__xludf.DUMMYFUNCTION("""COMPUTED_VALUE"""),8478.0)</f>
        <v>8478</v>
      </c>
      <c r="O883" s="24">
        <f>IFERROR(__xludf.DUMMYFUNCTION("""COMPUTED_VALUE"""),0.28)</f>
        <v>0.28</v>
      </c>
      <c r="P883" s="17">
        <f>IFERROR(__xludf.DUMMYFUNCTION("""COMPUTED_VALUE"""),4.6)</f>
        <v>4.6</v>
      </c>
      <c r="Q883" s="25">
        <f>IFERROR(__xludf.DUMMYFUNCTION("""COMPUTED_VALUE"""),6550.0)</f>
        <v>6550</v>
      </c>
    </row>
    <row r="884">
      <c r="A884" s="7" t="s">
        <v>948</v>
      </c>
      <c r="B884" s="7" t="s">
        <v>696</v>
      </c>
      <c r="C884" s="8">
        <v>425.0</v>
      </c>
      <c r="D884" s="8">
        <v>899.0</v>
      </c>
      <c r="E884" s="19">
        <v>0.53</v>
      </c>
      <c r="F884" s="10">
        <v>4.5</v>
      </c>
      <c r="G884" s="11">
        <v>4219.0</v>
      </c>
      <c r="K884" s="17" t="str">
        <f>IFERROR(__xludf.DUMMYFUNCTION("""COMPUTED_VALUE"""),"AGARO Regal Electric Rice Cooker, 3L Ceramic Inner Bowl, Cooks Up to 600 Gms Raw Rice, SS Steamer, Preset Cooking Functions, Preset Timer, Keep Warm Function, LED Display, Black")</f>
        <v>AGARO Regal Electric Rice Cooker, 3L Ceramic Inner Bowl, Cooks Up to 600 Gms Raw Rice, SS Steamer, Preset Cooking Functions, Preset Timer, Keep Warm Function, LED Display, Black</v>
      </c>
      <c r="L884" s="17" t="str">
        <f>IFERROR(__xludf.DUMMYFUNCTION("""COMPUTED_VALUE"""),"Home&amp;Kitchen|Kitchen&amp;HomeAppliances|SmallKitchenAppliances|Rice&amp;PastaCookers")</f>
        <v>Home&amp;Kitchen|Kitchen&amp;HomeAppliances|SmallKitchenAppliances|Rice&amp;PastaCookers</v>
      </c>
      <c r="M884" s="23">
        <f>IFERROR(__xludf.DUMMYFUNCTION("""COMPUTED_VALUE"""),3685.0)</f>
        <v>3685</v>
      </c>
      <c r="N884" s="23">
        <f>IFERROR(__xludf.DUMMYFUNCTION("""COMPUTED_VALUE"""),5495.0)</f>
        <v>5495</v>
      </c>
      <c r="O884" s="24">
        <f>IFERROR(__xludf.DUMMYFUNCTION("""COMPUTED_VALUE"""),0.33)</f>
        <v>0.33</v>
      </c>
      <c r="P884" s="17">
        <f>IFERROR(__xludf.DUMMYFUNCTION("""COMPUTED_VALUE"""),4.1)</f>
        <v>4.1</v>
      </c>
      <c r="Q884" s="17">
        <f>IFERROR(__xludf.DUMMYFUNCTION("""COMPUTED_VALUE"""),290.0)</f>
        <v>290</v>
      </c>
    </row>
    <row r="885">
      <c r="A885" s="7" t="s">
        <v>949</v>
      </c>
      <c r="B885" s="7" t="s">
        <v>572</v>
      </c>
      <c r="C885" s="8">
        <v>1499.0</v>
      </c>
      <c r="D885" s="8">
        <v>3999.0</v>
      </c>
      <c r="E885" s="19">
        <v>0.63</v>
      </c>
      <c r="F885" s="10">
        <v>4.2</v>
      </c>
      <c r="G885" s="11">
        <v>42775.0</v>
      </c>
      <c r="K885" s="17" t="str">
        <f>IFERROR(__xludf.DUMMYFUNCTION("""COMPUTED_VALUE"""),"Philips HD6975/00 25 Litre Digital Oven Toaster Grill, Grey, 25 liter")</f>
        <v>Philips HD6975/00 25 Litre Digital Oven Toaster Grill, Grey, 25 liter</v>
      </c>
      <c r="L885" s="17" t="str">
        <f>IFERROR(__xludf.DUMMYFUNCTION("""COMPUTED_VALUE"""),"Home&amp;Kitchen|Kitchen&amp;HomeAppliances|SmallKitchenAppliances|OvenToasterGrills")</f>
        <v>Home&amp;Kitchen|Kitchen&amp;HomeAppliances|SmallKitchenAppliances|OvenToasterGrills</v>
      </c>
      <c r="M885" s="23">
        <f>IFERROR(__xludf.DUMMYFUNCTION("""COMPUTED_VALUE"""),8599.0)</f>
        <v>8599</v>
      </c>
      <c r="N885" s="23">
        <f>IFERROR(__xludf.DUMMYFUNCTION("""COMPUTED_VALUE"""),8995.0)</f>
        <v>8995</v>
      </c>
      <c r="O885" s="24">
        <f>IFERROR(__xludf.DUMMYFUNCTION("""COMPUTED_VALUE"""),0.04)</f>
        <v>0.04</v>
      </c>
      <c r="P885" s="17">
        <f>IFERROR(__xludf.DUMMYFUNCTION("""COMPUTED_VALUE"""),4.4)</f>
        <v>4.4</v>
      </c>
      <c r="Q885" s="25">
        <f>IFERROR(__xludf.DUMMYFUNCTION("""COMPUTED_VALUE"""),9734.0)</f>
        <v>9734</v>
      </c>
    </row>
    <row r="886">
      <c r="A886" s="7" t="s">
        <v>950</v>
      </c>
      <c r="B886" s="7" t="s">
        <v>913</v>
      </c>
      <c r="C886" s="8">
        <v>549.0</v>
      </c>
      <c r="D886" s="8">
        <v>2499.0</v>
      </c>
      <c r="E886" s="19">
        <v>0.78</v>
      </c>
      <c r="F886" s="10">
        <v>4.3</v>
      </c>
      <c r="G886" s="11">
        <v>5556.0</v>
      </c>
      <c r="K886" s="17" t="str">
        <f>IFERROR(__xludf.DUMMYFUNCTION("""COMPUTED_VALUE"""),"Usha EI 3710 Heavy Weight 1000-Watt Dry Iron with Golden American Heritage Soleplate, 1.75 Kg(White)")</f>
        <v>Usha EI 3710 Heavy Weight 1000-Watt Dry Iron with Golden American Heritage Soleplate, 1.75 Kg(White)</v>
      </c>
      <c r="L886" s="17" t="str">
        <f>IFERROR(__xludf.DUMMYFUNCTION("""COMPUTED_VALUE"""),"Home&amp;Kitchen|Kitchen&amp;HomeAppliances|Vacuum,Cleaning&amp;Ironing|Irons,Steamers&amp;Accessories|Irons|DryIrons")</f>
        <v>Home&amp;Kitchen|Kitchen&amp;HomeAppliances|Vacuum,Cleaning&amp;Ironing|Irons,Steamers&amp;Accessories|Irons|DryIrons</v>
      </c>
      <c r="M886" s="23">
        <f>IFERROR(__xludf.DUMMYFUNCTION("""COMPUTED_VALUE"""),1110.0)</f>
        <v>1110</v>
      </c>
      <c r="N886" s="23">
        <f>IFERROR(__xludf.DUMMYFUNCTION("""COMPUTED_VALUE"""),1599.0)</f>
        <v>1599</v>
      </c>
      <c r="O886" s="24">
        <f>IFERROR(__xludf.DUMMYFUNCTION("""COMPUTED_VALUE"""),0.31)</f>
        <v>0.31</v>
      </c>
      <c r="P886" s="17">
        <f>IFERROR(__xludf.DUMMYFUNCTION("""COMPUTED_VALUE"""),4.3)</f>
        <v>4.3</v>
      </c>
      <c r="Q886" s="25">
        <f>IFERROR(__xludf.DUMMYFUNCTION("""COMPUTED_VALUE"""),4022.0)</f>
        <v>4022</v>
      </c>
    </row>
    <row r="887">
      <c r="A887" s="7" t="s">
        <v>72</v>
      </c>
      <c r="B887" s="7" t="s">
        <v>15</v>
      </c>
      <c r="C887" s="8">
        <v>199.0</v>
      </c>
      <c r="D887" s="8">
        <v>395.0</v>
      </c>
      <c r="E887" s="19">
        <v>0.5</v>
      </c>
      <c r="F887" s="10">
        <v>4.2</v>
      </c>
      <c r="G887" s="11">
        <v>92595.0</v>
      </c>
      <c r="K887" s="17" t="str">
        <f>IFERROR(__xludf.DUMMYFUNCTION("""COMPUTED_VALUE"""),"Campfire Spring Chef Prolix Instant Portable Water Heater Geyser 1Ltr. for Use Home Stainless Steel Baking Rack | Restaurant | Office | Labs | Clinics | Saloon | with Installation Kit (With MCB)")</f>
        <v>Campfire Spring Chef Prolix Instant Portable Water Heater Geyser 1Ltr. for Use Home Stainless Steel Baking Rack | Restaurant | Office | Labs | Clinics | Saloon | with Installation Kit (With MCB)</v>
      </c>
      <c r="L887" s="17" t="str">
        <f>IFERROR(__xludf.DUMMYFUNCTION("""COMPUTED_VALUE"""),"Home&amp;Kitchen|Heating,Cooling&amp;AirQuality|WaterHeaters&amp;Geysers|InstantWaterHeaters")</f>
        <v>Home&amp;Kitchen|Heating,Cooling&amp;AirQuality|WaterHeaters&amp;Geysers|InstantWaterHeaters</v>
      </c>
      <c r="M887" s="23">
        <f>IFERROR(__xludf.DUMMYFUNCTION("""COMPUTED_VALUE"""),1499.0)</f>
        <v>1499</v>
      </c>
      <c r="N887" s="23">
        <f>IFERROR(__xludf.DUMMYFUNCTION("""COMPUTED_VALUE"""),3500.0)</f>
        <v>3500</v>
      </c>
      <c r="O887" s="24">
        <f>IFERROR(__xludf.DUMMYFUNCTION("""COMPUTED_VALUE"""),0.57)</f>
        <v>0.57</v>
      </c>
      <c r="P887" s="17">
        <f>IFERROR(__xludf.DUMMYFUNCTION("""COMPUTED_VALUE"""),4.7)</f>
        <v>4.7</v>
      </c>
      <c r="Q887" s="25">
        <f>IFERROR(__xludf.DUMMYFUNCTION("""COMPUTED_VALUE"""),2591.0)</f>
        <v>2591</v>
      </c>
    </row>
    <row r="888">
      <c r="A888" s="7" t="s">
        <v>951</v>
      </c>
      <c r="B888" s="7" t="s">
        <v>625</v>
      </c>
      <c r="C888" s="8">
        <v>1295.0</v>
      </c>
      <c r="D888" s="8">
        <v>1645.0</v>
      </c>
      <c r="E888" s="19">
        <v>0.21</v>
      </c>
      <c r="F888" s="10">
        <v>4.6</v>
      </c>
      <c r="G888" s="11">
        <v>12375.0</v>
      </c>
      <c r="K888" s="17" t="str">
        <f>IFERROR(__xludf.DUMMYFUNCTION("""COMPUTED_VALUE"""),"Themisto TH-WS20 Digital Kitchen Weighing Scale Stainless Steel (5Kg)")</f>
        <v>Themisto TH-WS20 Digital Kitchen Weighing Scale Stainless Steel (5Kg)</v>
      </c>
      <c r="L888" s="17" t="str">
        <f>IFERROR(__xludf.DUMMYFUNCTION("""COMPUTED_VALUE"""),"Home&amp;Kitchen|Kitchen&amp;HomeAppliances|SmallKitchenAppliances|DigitalKitchenScales")</f>
        <v>Home&amp;Kitchen|Kitchen&amp;HomeAppliances|SmallKitchenAppliances|DigitalKitchenScales</v>
      </c>
      <c r="M888" s="23">
        <f>IFERROR(__xludf.DUMMYFUNCTION("""COMPUTED_VALUE"""),759.0)</f>
        <v>759</v>
      </c>
      <c r="N888" s="23">
        <f>IFERROR(__xludf.DUMMYFUNCTION("""COMPUTED_VALUE"""),1999.0)</f>
        <v>1999</v>
      </c>
      <c r="O888" s="24">
        <f>IFERROR(__xludf.DUMMYFUNCTION("""COMPUTED_VALUE"""),0.62)</f>
        <v>0.62</v>
      </c>
      <c r="P888" s="17">
        <f>IFERROR(__xludf.DUMMYFUNCTION("""COMPUTED_VALUE"""),4.3)</f>
        <v>4.3</v>
      </c>
      <c r="Q888" s="17">
        <f>IFERROR(__xludf.DUMMYFUNCTION("""COMPUTED_VALUE"""),532.0)</f>
        <v>532</v>
      </c>
    </row>
    <row r="889">
      <c r="A889" s="7" t="s">
        <v>952</v>
      </c>
      <c r="B889" s="7" t="s">
        <v>694</v>
      </c>
      <c r="C889" s="8">
        <v>310.0</v>
      </c>
      <c r="D889" s="8">
        <v>310.0</v>
      </c>
      <c r="E889" s="19">
        <v>0.0</v>
      </c>
      <c r="F889" s="10">
        <v>4.5</v>
      </c>
      <c r="G889" s="11">
        <v>5882.0</v>
      </c>
      <c r="K889" s="17" t="str">
        <f>IFERROR(__xludf.DUMMYFUNCTION("""COMPUTED_VALUE"""),"Empty Mist Trigger Plastic Spray Bottle for Multi use 200ml Pack of 2")</f>
        <v>Empty Mist Trigger Plastic Spray Bottle for Multi use 200ml Pack of 2</v>
      </c>
      <c r="L889" s="17" t="str">
        <f>IFERROR(__xludf.DUMMYFUNCTION("""COMPUTED_VALUE"""),"Home&amp;Kitchen|HomeStorage&amp;Organization|LaundryOrganization|IroningAccessories|SprayBottles")</f>
        <v>Home&amp;Kitchen|HomeStorage&amp;Organization|LaundryOrganization|IroningAccessories|SprayBottles</v>
      </c>
      <c r="M889" s="23">
        <f>IFERROR(__xludf.DUMMYFUNCTION("""COMPUTED_VALUE"""),85.0)</f>
        <v>85</v>
      </c>
      <c r="N889" s="23">
        <f>IFERROR(__xludf.DUMMYFUNCTION("""COMPUTED_VALUE"""),199.0)</f>
        <v>199</v>
      </c>
      <c r="O889" s="24">
        <f>IFERROR(__xludf.DUMMYFUNCTION("""COMPUTED_VALUE"""),0.57)</f>
        <v>0.57</v>
      </c>
      <c r="P889" s="17">
        <f>IFERROR(__xludf.DUMMYFUNCTION("""COMPUTED_VALUE"""),4.1)</f>
        <v>4.1</v>
      </c>
      <c r="Q889" s="17">
        <f>IFERROR(__xludf.DUMMYFUNCTION("""COMPUTED_VALUE"""),212.0)</f>
        <v>212</v>
      </c>
    </row>
    <row r="890">
      <c r="A890" s="7" t="s">
        <v>575</v>
      </c>
      <c r="B890" s="7" t="s">
        <v>576</v>
      </c>
      <c r="C890" s="8">
        <v>149.0</v>
      </c>
      <c r="D890" s="8">
        <v>149.0</v>
      </c>
      <c r="E890" s="19">
        <v>0.0</v>
      </c>
      <c r="F890" s="10">
        <v>4.3</v>
      </c>
      <c r="G890" s="11">
        <v>10833.0</v>
      </c>
      <c r="K890" s="17" t="str">
        <f>IFERROR(__xludf.DUMMYFUNCTION("""COMPUTED_VALUE"""),"SUJATA Powermatic Plus, Juicer Mixer Grinder, 900 Watts, 2 Jars (White)")</f>
        <v>SUJATA Powermatic Plus, Juicer Mixer Grinder, 900 Watts, 2 Jars (White)</v>
      </c>
      <c r="L890" s="17" t="str">
        <f>IFERROR(__xludf.DUMMYFUNCTION("""COMPUTED_VALUE"""),"Home&amp;Kitchen|Kitchen&amp;HomeAppliances|SmallKitchenAppliances|JuicerMixerGrinders")</f>
        <v>Home&amp;Kitchen|Kitchen&amp;HomeAppliances|SmallKitchenAppliances|JuicerMixerGrinders</v>
      </c>
      <c r="M890" s="23">
        <f>IFERROR(__xludf.DUMMYFUNCTION("""COMPUTED_VALUE"""),5865.0)</f>
        <v>5865</v>
      </c>
      <c r="N890" s="23">
        <f>IFERROR(__xludf.DUMMYFUNCTION("""COMPUTED_VALUE"""),7776.0)</f>
        <v>7776</v>
      </c>
      <c r="O890" s="24">
        <f>IFERROR(__xludf.DUMMYFUNCTION("""COMPUTED_VALUE"""),0.25)</f>
        <v>0.25</v>
      </c>
      <c r="P890" s="17">
        <f>IFERROR(__xludf.DUMMYFUNCTION("""COMPUTED_VALUE"""),4.4)</f>
        <v>4.4</v>
      </c>
      <c r="Q890" s="25">
        <f>IFERROR(__xludf.DUMMYFUNCTION("""COMPUTED_VALUE"""),2737.0)</f>
        <v>2737</v>
      </c>
    </row>
    <row r="891">
      <c r="A891" s="7" t="s">
        <v>953</v>
      </c>
      <c r="B891" s="7" t="s">
        <v>660</v>
      </c>
      <c r="C891" s="8">
        <v>1149.0</v>
      </c>
      <c r="D891" s="8">
        <v>1499.0</v>
      </c>
      <c r="E891" s="19">
        <v>0.23</v>
      </c>
      <c r="F891" s="10">
        <v>4.1</v>
      </c>
      <c r="G891" s="11">
        <v>10443.0</v>
      </c>
      <c r="K891" s="17" t="str">
        <f>IFERROR(__xludf.DUMMYFUNCTION("""COMPUTED_VALUE"""),"AGARO Royal Double Layered Kettle, 1.5 Litres, Double Layered Cool Touch , Dry Boiling Protection, Black")</f>
        <v>AGARO Royal Double Layered Kettle, 1.5 Litres, Double Layered Cool Touch , Dry Boiling Protection, Black</v>
      </c>
      <c r="L891" s="17" t="str">
        <f>IFERROR(__xludf.DUMMYFUNCTION("""COMPUTED_VALUE"""),"Home&amp;Kitchen|Kitchen&amp;HomeAppliances|SmallKitchenAppliances|Kettles&amp;HotWaterDispensers|ElectricKettles")</f>
        <v>Home&amp;Kitchen|Kitchen&amp;HomeAppliances|SmallKitchenAppliances|Kettles&amp;HotWaterDispensers|ElectricKettles</v>
      </c>
      <c r="M891" s="23">
        <f>IFERROR(__xludf.DUMMYFUNCTION("""COMPUTED_VALUE"""),1260.0)</f>
        <v>1260</v>
      </c>
      <c r="N891" s="23">
        <f>IFERROR(__xludf.DUMMYFUNCTION("""COMPUTED_VALUE"""),2299.0)</f>
        <v>2299</v>
      </c>
      <c r="O891" s="24">
        <f>IFERROR(__xludf.DUMMYFUNCTION("""COMPUTED_VALUE"""),0.45)</f>
        <v>0.45</v>
      </c>
      <c r="P891" s="17">
        <f>IFERROR(__xludf.DUMMYFUNCTION("""COMPUTED_VALUE"""),4.3)</f>
        <v>4.3</v>
      </c>
      <c r="Q891" s="17">
        <f>IFERROR(__xludf.DUMMYFUNCTION("""COMPUTED_VALUE"""),55.0)</f>
        <v>55</v>
      </c>
    </row>
    <row r="892">
      <c r="A892" s="7" t="s">
        <v>954</v>
      </c>
      <c r="B892" s="7" t="s">
        <v>631</v>
      </c>
      <c r="C892" s="8">
        <v>499.0</v>
      </c>
      <c r="D892" s="8">
        <v>1299.0</v>
      </c>
      <c r="E892" s="19">
        <v>0.62</v>
      </c>
      <c r="F892" s="10">
        <v>4.5</v>
      </c>
      <c r="G892" s="10">
        <v>434.0</v>
      </c>
      <c r="K892" s="17" t="str">
        <f>IFERROR(__xludf.DUMMYFUNCTION("""COMPUTED_VALUE"""),"Cafe JEI French Press Coffee and Tea Maker 600ml with 4 Level Filtration System, Heat Resistant Borosilicate Glass (Black, 600ml)")</f>
        <v>Cafe JEI French Press Coffee and Tea Maker 600ml with 4 Level Filtration System, Heat Resistant Borosilicate Glass (Black, 600ml)</v>
      </c>
      <c r="L892" s="17" t="str">
        <f>IFERROR(__xludf.DUMMYFUNCTION("""COMPUTED_VALUE"""),"Home&amp;Kitchen|Kitchen&amp;HomeAppliances|Coffee,Tea&amp;Espresso|CoffeePresses")</f>
        <v>Home&amp;Kitchen|Kitchen&amp;HomeAppliances|Coffee,Tea&amp;Espresso|CoffeePresses</v>
      </c>
      <c r="M892" s="23">
        <f>IFERROR(__xludf.DUMMYFUNCTION("""COMPUTED_VALUE"""),1099.0)</f>
        <v>1099</v>
      </c>
      <c r="N892" s="23">
        <f>IFERROR(__xludf.DUMMYFUNCTION("""COMPUTED_VALUE"""),1500.0)</f>
        <v>1500</v>
      </c>
      <c r="O892" s="24">
        <f>IFERROR(__xludf.DUMMYFUNCTION("""COMPUTED_VALUE"""),0.27)</f>
        <v>0.27</v>
      </c>
      <c r="P892" s="17">
        <f>IFERROR(__xludf.DUMMYFUNCTION("""COMPUTED_VALUE"""),4.5)</f>
        <v>4.5</v>
      </c>
      <c r="Q892" s="25">
        <f>IFERROR(__xludf.DUMMYFUNCTION("""COMPUTED_VALUE"""),1065.0)</f>
        <v>1065</v>
      </c>
    </row>
    <row r="893">
      <c r="A893" s="7" t="s">
        <v>955</v>
      </c>
      <c r="B893" s="7" t="s">
        <v>393</v>
      </c>
      <c r="C893" s="8">
        <v>999.0</v>
      </c>
      <c r="D893" s="8">
        <v>4199.0</v>
      </c>
      <c r="E893" s="19">
        <v>0.76</v>
      </c>
      <c r="F893" s="10">
        <v>3.5</v>
      </c>
      <c r="G893" s="11">
        <v>1913.0</v>
      </c>
      <c r="K893" s="17" t="str">
        <f>IFERROR(__xludf.DUMMYFUNCTION("""COMPUTED_VALUE"""),"Prestige PSMFB 800 Watt Sandwich Toaster with Fixed Plates, Black")</f>
        <v>Prestige PSMFB 800 Watt Sandwich Toaster with Fixed Plates, Black</v>
      </c>
      <c r="L893" s="17" t="str">
        <f>IFERROR(__xludf.DUMMYFUNCTION("""COMPUTED_VALUE"""),"Home&amp;Kitchen|Kitchen&amp;HomeAppliances|SmallKitchenAppliances|SandwichMakers")</f>
        <v>Home&amp;Kitchen|Kitchen&amp;HomeAppliances|SmallKitchenAppliances|SandwichMakers</v>
      </c>
      <c r="M893" s="23">
        <f>IFERROR(__xludf.DUMMYFUNCTION("""COMPUTED_VALUE"""),1199.0)</f>
        <v>1199</v>
      </c>
      <c r="N893" s="23">
        <f>IFERROR(__xludf.DUMMYFUNCTION("""COMPUTED_VALUE"""),1795.0)</f>
        <v>1795</v>
      </c>
      <c r="O893" s="24">
        <f>IFERROR(__xludf.DUMMYFUNCTION("""COMPUTED_VALUE"""),0.33)</f>
        <v>0.33</v>
      </c>
      <c r="P893" s="17">
        <f>IFERROR(__xludf.DUMMYFUNCTION("""COMPUTED_VALUE"""),4.2)</f>
        <v>4.2</v>
      </c>
      <c r="Q893" s="25">
        <f>IFERROR(__xludf.DUMMYFUNCTION("""COMPUTED_VALUE"""),5967.0)</f>
        <v>5967</v>
      </c>
    </row>
    <row r="894">
      <c r="A894" s="7" t="s">
        <v>956</v>
      </c>
      <c r="B894" s="7" t="s">
        <v>875</v>
      </c>
      <c r="C894" s="8">
        <v>1709.0</v>
      </c>
      <c r="D894" s="8">
        <v>4000.0</v>
      </c>
      <c r="E894" s="19">
        <v>0.57</v>
      </c>
      <c r="F894" s="10">
        <v>4.4</v>
      </c>
      <c r="G894" s="11">
        <v>3029.0</v>
      </c>
      <c r="K894" s="17" t="str">
        <f>IFERROR(__xludf.DUMMYFUNCTION("""COMPUTED_VALUE"""),"iBELL MPK120L Premium Stainless Steel Multi Purpose Kettle/Cooker with Inner Pot 1.2 Litre (Silver)")</f>
        <v>iBELL MPK120L Premium Stainless Steel Multi Purpose Kettle/Cooker with Inner Pot 1.2 Litre (Silver)</v>
      </c>
      <c r="L894" s="17" t="str">
        <f>IFERROR(__xludf.DUMMYFUNCTION("""COMPUTED_VALUE"""),"Home&amp;Kitchen|Kitchen&amp;HomeAppliances|SmallKitchenAppliances|Kettles&amp;HotWaterDispensers|ElectricKettles")</f>
        <v>Home&amp;Kitchen|Kitchen&amp;HomeAppliances|SmallKitchenAppliances|Kettles&amp;HotWaterDispensers|ElectricKettles</v>
      </c>
      <c r="M894" s="23">
        <f>IFERROR(__xludf.DUMMYFUNCTION("""COMPUTED_VALUE"""),1456.0)</f>
        <v>1456</v>
      </c>
      <c r="N894" s="23">
        <f>IFERROR(__xludf.DUMMYFUNCTION("""COMPUTED_VALUE"""),3190.0)</f>
        <v>3190</v>
      </c>
      <c r="O894" s="24">
        <f>IFERROR(__xludf.DUMMYFUNCTION("""COMPUTED_VALUE"""),0.54)</f>
        <v>0.54</v>
      </c>
      <c r="P894" s="17">
        <f>IFERROR(__xludf.DUMMYFUNCTION("""COMPUTED_VALUE"""),4.1)</f>
        <v>4.1</v>
      </c>
      <c r="Q894" s="25">
        <f>IFERROR(__xludf.DUMMYFUNCTION("""COMPUTED_VALUE"""),1776.0)</f>
        <v>1776</v>
      </c>
    </row>
    <row r="895">
      <c r="A895" s="7" t="s">
        <v>957</v>
      </c>
      <c r="B895" s="7" t="s">
        <v>654</v>
      </c>
      <c r="C895" s="8">
        <v>250.0</v>
      </c>
      <c r="D895" s="8">
        <v>250.0</v>
      </c>
      <c r="E895" s="19">
        <v>0.0</v>
      </c>
      <c r="F895" s="10">
        <v>4.2</v>
      </c>
      <c r="G895" s="11">
        <v>2628.0</v>
      </c>
      <c r="K895" s="17" t="str">
        <f>IFERROR(__xludf.DUMMYFUNCTION("""COMPUTED_VALUE"""),"Shakti Technology S3 High Pressure Car Washer Machine 1800 Watts and Pressure 120 Bar for Cleaning Car, Bike &amp; Home")</f>
        <v>Shakti Technology S3 High Pressure Car Washer Machine 1800 Watts and Pressure 120 Bar for Cleaning Car, Bike &amp; Home</v>
      </c>
      <c r="L895" s="17" t="str">
        <f>IFERROR(__xludf.DUMMYFUNCTION("""COMPUTED_VALUE"""),"Home&amp;Kitchen|Kitchen&amp;HomeAppliances|Vacuum,Cleaning&amp;Ironing|PressureWashers,Steam&amp;WindowCleaners")</f>
        <v>Home&amp;Kitchen|Kitchen&amp;HomeAppliances|Vacuum,Cleaning&amp;Ironing|PressureWashers,Steam&amp;WindowCleaners</v>
      </c>
      <c r="M895" s="23">
        <f>IFERROR(__xludf.DUMMYFUNCTION("""COMPUTED_VALUE"""),4899.0)</f>
        <v>4899</v>
      </c>
      <c r="N895" s="23">
        <f>IFERROR(__xludf.DUMMYFUNCTION("""COMPUTED_VALUE"""),8999.0)</f>
        <v>8999</v>
      </c>
      <c r="O895" s="24">
        <f>IFERROR(__xludf.DUMMYFUNCTION("""COMPUTED_VALUE"""),0.46)</f>
        <v>0.46</v>
      </c>
      <c r="P895" s="17">
        <f>IFERROR(__xludf.DUMMYFUNCTION("""COMPUTED_VALUE"""),4.1)</f>
        <v>4.1</v>
      </c>
      <c r="Q895" s="17">
        <f>IFERROR(__xludf.DUMMYFUNCTION("""COMPUTED_VALUE"""),297.0)</f>
        <v>297</v>
      </c>
    </row>
    <row r="896">
      <c r="A896" s="7" t="s">
        <v>73</v>
      </c>
      <c r="B896" s="7" t="s">
        <v>25</v>
      </c>
      <c r="C896" s="8">
        <v>1199.0</v>
      </c>
      <c r="D896" s="8">
        <v>2199.0</v>
      </c>
      <c r="E896" s="19">
        <v>0.45</v>
      </c>
      <c r="F896" s="10">
        <v>4.4</v>
      </c>
      <c r="G896" s="11">
        <v>24780.0</v>
      </c>
      <c r="K896" s="17" t="str">
        <f>IFERROR(__xludf.DUMMYFUNCTION("""COMPUTED_VALUE"""),"Cello Quick Boil Popular Electric Kettle 1 Litre 1200 Watts | Stainless Steel body | Boiler for Water, Silver")</f>
        <v>Cello Quick Boil Popular Electric Kettle 1 Litre 1200 Watts | Stainless Steel body | Boiler for Water, Silver</v>
      </c>
      <c r="L896" s="17" t="str">
        <f>IFERROR(__xludf.DUMMYFUNCTION("""COMPUTED_VALUE"""),"Home&amp;Kitchen|Kitchen&amp;HomeAppliances|SmallKitchenAppliances|Kettles&amp;HotWaterDispensers|Kettle&amp;ToasterSets")</f>
        <v>Home&amp;Kitchen|Kitchen&amp;HomeAppliances|SmallKitchenAppliances|Kettles&amp;HotWaterDispensers|Kettle&amp;ToasterSets</v>
      </c>
      <c r="M896" s="23">
        <f>IFERROR(__xludf.DUMMYFUNCTION("""COMPUTED_VALUE"""),1199.0)</f>
        <v>1199</v>
      </c>
      <c r="N896" s="23">
        <f>IFERROR(__xludf.DUMMYFUNCTION("""COMPUTED_VALUE"""),1899.0)</f>
        <v>1899</v>
      </c>
      <c r="O896" s="24">
        <f>IFERROR(__xludf.DUMMYFUNCTION("""COMPUTED_VALUE"""),0.37)</f>
        <v>0.37</v>
      </c>
      <c r="P896" s="17">
        <f>IFERROR(__xludf.DUMMYFUNCTION("""COMPUTED_VALUE"""),4.2)</f>
        <v>4.2</v>
      </c>
      <c r="Q896" s="25">
        <f>IFERROR(__xludf.DUMMYFUNCTION("""COMPUTED_VALUE"""),3858.0)</f>
        <v>3858</v>
      </c>
    </row>
    <row r="897">
      <c r="A897" s="7" t="s">
        <v>958</v>
      </c>
      <c r="B897" s="7" t="s">
        <v>959</v>
      </c>
      <c r="C897" s="8">
        <v>90.0</v>
      </c>
      <c r="D897" s="8">
        <v>100.0</v>
      </c>
      <c r="E897" s="19">
        <v>0.1</v>
      </c>
      <c r="F897" s="10">
        <v>4.4</v>
      </c>
      <c r="G897" s="11">
        <v>10718.0</v>
      </c>
      <c r="K897" s="17" t="str">
        <f>IFERROR(__xludf.DUMMYFUNCTION("""COMPUTED_VALUE"""),"AGARO Glory Cool Mist Ultrasonic Humidifier, 4.5Litres, For Large Area, Room, Home, Office, Adjustable Mist Output, Ceramic Ball Filter, Ultra Quiet, 360° Rotatable Nozzle, Auto Shut Off, Grey")</f>
        <v>AGARO Glory Cool Mist Ultrasonic Humidifier, 4.5Litres, For Large Area, Room, Home, Office, Adjustable Mist Output, Ceramic Ball Filter, Ultra Quiet, 360° Rotatable Nozzle, Auto Shut Off, Grey</v>
      </c>
      <c r="L897" s="17" t="str">
        <f>IFERROR(__xludf.DUMMYFUNCTION("""COMPUTED_VALUE"""),"Home&amp;Kitchen|Heating,Cooling&amp;AirQuality|Humidifiers")</f>
        <v>Home&amp;Kitchen|Heating,Cooling&amp;AirQuality|Humidifiers</v>
      </c>
      <c r="M897" s="23">
        <f>IFERROR(__xludf.DUMMYFUNCTION("""COMPUTED_VALUE"""),3290.0)</f>
        <v>3290</v>
      </c>
      <c r="N897" s="23">
        <f>IFERROR(__xludf.DUMMYFUNCTION("""COMPUTED_VALUE"""),5799.0)</f>
        <v>5799</v>
      </c>
      <c r="O897" s="24">
        <f>IFERROR(__xludf.DUMMYFUNCTION("""COMPUTED_VALUE"""),0.43)</f>
        <v>0.43</v>
      </c>
      <c r="P897" s="17">
        <f>IFERROR(__xludf.DUMMYFUNCTION("""COMPUTED_VALUE"""),4.3)</f>
        <v>4.3</v>
      </c>
      <c r="Q897" s="17">
        <f>IFERROR(__xludf.DUMMYFUNCTION("""COMPUTED_VALUE"""),168.0)</f>
        <v>168</v>
      </c>
    </row>
    <row r="898">
      <c r="A898" s="7" t="s">
        <v>960</v>
      </c>
      <c r="B898" s="7" t="s">
        <v>502</v>
      </c>
      <c r="C898" s="8">
        <v>2025.0</v>
      </c>
      <c r="D898" s="8">
        <v>5999.0</v>
      </c>
      <c r="E898" s="19">
        <v>0.66</v>
      </c>
      <c r="F898" s="10">
        <v>4.2</v>
      </c>
      <c r="G898" s="11">
        <v>6233.0</v>
      </c>
      <c r="K898" s="17" t="str">
        <f>IFERROR(__xludf.DUMMYFUNCTION("""COMPUTED_VALUE"""),"Abode Kitchen Essential Measuring Cup &amp; Spoon for Spices | for Cooking and Baking Cake | Multipurpose Tablespoon Cups with Ring Holder | (Black)")</f>
        <v>Abode Kitchen Essential Measuring Cup &amp; Spoon for Spices | for Cooking and Baking Cake | Multipurpose Tablespoon Cups with Ring Holder | (Black)</v>
      </c>
      <c r="L898" s="17" t="str">
        <f>IFERROR(__xludf.DUMMYFUNCTION("""COMPUTED_VALUE"""),"Home&amp;Kitchen|Kitchen&amp;HomeAppliances|Coffee,Tea&amp;Espresso|CoffeeMakerAccessories|MeasuringSpoons")</f>
        <v>Home&amp;Kitchen|Kitchen&amp;HomeAppliances|Coffee,Tea&amp;Espresso|CoffeeMakerAccessories|MeasuringSpoons</v>
      </c>
      <c r="M898" s="23">
        <f>IFERROR(__xludf.DUMMYFUNCTION("""COMPUTED_VALUE"""),149.0)</f>
        <v>149</v>
      </c>
      <c r="N898" s="23">
        <f>IFERROR(__xludf.DUMMYFUNCTION("""COMPUTED_VALUE"""),300.0)</f>
        <v>300</v>
      </c>
      <c r="O898" s="24">
        <f>IFERROR(__xludf.DUMMYFUNCTION("""COMPUTED_VALUE"""),0.5)</f>
        <v>0.5</v>
      </c>
      <c r="P898" s="17">
        <f>IFERROR(__xludf.DUMMYFUNCTION("""COMPUTED_VALUE"""),4.1)</f>
        <v>4.1</v>
      </c>
      <c r="Q898" s="25">
        <f>IFERROR(__xludf.DUMMYFUNCTION("""COMPUTED_VALUE"""),4074.0)</f>
        <v>4074</v>
      </c>
    </row>
    <row r="899">
      <c r="A899" s="7" t="s">
        <v>961</v>
      </c>
      <c r="B899" s="7" t="s">
        <v>692</v>
      </c>
      <c r="C899" s="8">
        <v>1495.0</v>
      </c>
      <c r="D899" s="8">
        <v>1995.0</v>
      </c>
      <c r="E899" s="19">
        <v>0.25</v>
      </c>
      <c r="F899" s="10">
        <v>4.5</v>
      </c>
      <c r="G899" s="11">
        <v>10541.0</v>
      </c>
      <c r="K899" s="17" t="str">
        <f>IFERROR(__xludf.DUMMYFUNCTION("""COMPUTED_VALUE"""),"Sujata Supermix, Mixer Grinder, 900 Watts, 3 Jars (White)")</f>
        <v>Sujata Supermix, Mixer Grinder, 900 Watts, 3 Jars (White)</v>
      </c>
      <c r="L899" s="17" t="str">
        <f>IFERROR(__xludf.DUMMYFUNCTION("""COMPUTED_VALUE"""),"Home&amp;Kitchen|Kitchen&amp;HomeAppliances|SmallKitchenAppliances|MixerGrinders")</f>
        <v>Home&amp;Kitchen|Kitchen&amp;HomeAppliances|SmallKitchenAppliances|MixerGrinders</v>
      </c>
      <c r="M899" s="23">
        <f>IFERROR(__xludf.DUMMYFUNCTION("""COMPUTED_VALUE"""),5490.0)</f>
        <v>5490</v>
      </c>
      <c r="N899" s="23">
        <f>IFERROR(__xludf.DUMMYFUNCTION("""COMPUTED_VALUE"""),7200.0)</f>
        <v>7200</v>
      </c>
      <c r="O899" s="24">
        <f>IFERROR(__xludf.DUMMYFUNCTION("""COMPUTED_VALUE"""),0.24)</f>
        <v>0.24</v>
      </c>
      <c r="P899" s="17">
        <f>IFERROR(__xludf.DUMMYFUNCTION("""COMPUTED_VALUE"""),4.5)</f>
        <v>4.5</v>
      </c>
      <c r="Q899" s="25">
        <f>IFERROR(__xludf.DUMMYFUNCTION("""COMPUTED_VALUE"""),1408.0)</f>
        <v>1408</v>
      </c>
    </row>
    <row r="900">
      <c r="A900" s="7" t="s">
        <v>75</v>
      </c>
      <c r="B900" s="7" t="s">
        <v>15</v>
      </c>
      <c r="C900" s="8">
        <v>799.0</v>
      </c>
      <c r="D900" s="8">
        <v>2100.0</v>
      </c>
      <c r="E900" s="19">
        <v>0.62</v>
      </c>
      <c r="F900" s="10">
        <v>4.3</v>
      </c>
      <c r="G900" s="11">
        <v>8188.0</v>
      </c>
      <c r="K900" s="17" t="str">
        <f>IFERROR(__xludf.DUMMYFUNCTION("""COMPUTED_VALUE"""),"CARDEX Digital Kitchen Weighing Machine Multipurpose Electronic Weight Scale With Back Lite LCD Display for Measuring Food, Cake, Vegetable, Fruit (KITCHEN SCALE)")</f>
        <v>CARDEX Digital Kitchen Weighing Machine Multipurpose Electronic Weight Scale With Back Lite LCD Display for Measuring Food, Cake, Vegetable, Fruit (KITCHEN SCALE)</v>
      </c>
      <c r="L900" s="17" t="str">
        <f>IFERROR(__xludf.DUMMYFUNCTION("""COMPUTED_VALUE"""),"Home&amp;Kitchen|Kitchen&amp;HomeAppliances|SmallKitchenAppliances|DigitalKitchenScales")</f>
        <v>Home&amp;Kitchen|Kitchen&amp;HomeAppliances|SmallKitchenAppliances|DigitalKitchenScales</v>
      </c>
      <c r="M900" s="23">
        <f>IFERROR(__xludf.DUMMYFUNCTION("""COMPUTED_VALUE"""),379.0)</f>
        <v>379</v>
      </c>
      <c r="N900" s="23">
        <f>IFERROR(__xludf.DUMMYFUNCTION("""COMPUTED_VALUE"""),389.0)</f>
        <v>389</v>
      </c>
      <c r="O900" s="24">
        <f>IFERROR(__xludf.DUMMYFUNCTION("""COMPUTED_VALUE"""),0.03)</f>
        <v>0.03</v>
      </c>
      <c r="P900" s="17">
        <f>IFERROR(__xludf.DUMMYFUNCTION("""COMPUTED_VALUE"""),4.2)</f>
        <v>4.2</v>
      </c>
      <c r="Q900" s="25">
        <f>IFERROR(__xludf.DUMMYFUNCTION("""COMPUTED_VALUE"""),3739.0)</f>
        <v>3739</v>
      </c>
    </row>
    <row r="901">
      <c r="A901" s="7" t="s">
        <v>962</v>
      </c>
      <c r="B901" s="7" t="s">
        <v>719</v>
      </c>
      <c r="C901" s="8">
        <v>899.0</v>
      </c>
      <c r="D901" s="8">
        <v>1199.0</v>
      </c>
      <c r="E901" s="19">
        <v>0.25</v>
      </c>
      <c r="F901" s="10">
        <v>3.8</v>
      </c>
      <c r="G901" s="11">
        <v>10751.0</v>
      </c>
      <c r="K901" s="17" t="str">
        <f>IFERROR(__xludf.DUMMYFUNCTION("""COMPUTED_VALUE"""),"V-Guard Zenora RO+UF+MB Water Purifier | Suitable for water with TDS up to 2000 ppm | 8 Stage Purification with World-class RO Membrane and Advanced UF Membrane | Free PAN India Installation &amp; 1-Year Comprehensive Warranty | 7 Litre, Black")</f>
        <v>V-Guard Zenora RO+UF+MB Water Purifier | Suitable for water with TDS up to 2000 ppm | 8 Stage Purification with World-class RO Membrane and Advanced UF Membrane | Free PAN India Installation &amp; 1-Year Comprehensive Warranty | 7 Litre, Black</v>
      </c>
      <c r="L901" s="17" t="str">
        <f>IFERROR(__xludf.DUMMYFUNCTION("""COMPUTED_VALUE"""),"Home&amp;Kitchen|Kitchen&amp;HomeAppliances|WaterPurifiers&amp;Accessories|WaterFilters&amp;Purifiers")</f>
        <v>Home&amp;Kitchen|Kitchen&amp;HomeAppliances|WaterPurifiers&amp;Accessories|WaterFilters&amp;Purifiers</v>
      </c>
      <c r="M901" s="23">
        <f>IFERROR(__xludf.DUMMYFUNCTION("""COMPUTED_VALUE"""),8699.0)</f>
        <v>8699</v>
      </c>
      <c r="N901" s="23">
        <f>IFERROR(__xludf.DUMMYFUNCTION("""COMPUTED_VALUE"""),13049.0)</f>
        <v>13049</v>
      </c>
      <c r="O901" s="24">
        <f>IFERROR(__xludf.DUMMYFUNCTION("""COMPUTED_VALUE"""),0.33)</f>
        <v>0.33</v>
      </c>
      <c r="P901" s="17">
        <f>IFERROR(__xludf.DUMMYFUNCTION("""COMPUTED_VALUE"""),4.3)</f>
        <v>4.3</v>
      </c>
      <c r="Q901" s="25">
        <f>IFERROR(__xludf.DUMMYFUNCTION("""COMPUTED_VALUE"""),5891.0)</f>
        <v>5891</v>
      </c>
    </row>
    <row r="902">
      <c r="A902" s="7" t="s">
        <v>963</v>
      </c>
      <c r="B902" s="7" t="s">
        <v>964</v>
      </c>
      <c r="C902" s="8">
        <v>349.0</v>
      </c>
      <c r="D902" s="8">
        <v>999.0</v>
      </c>
      <c r="E902" s="19">
        <v>0.65</v>
      </c>
      <c r="F902" s="10">
        <v>3.9</v>
      </c>
      <c r="G902" s="10">
        <v>817.0</v>
      </c>
      <c r="K902" s="17" t="str">
        <f>IFERROR(__xludf.DUMMYFUNCTION("""COMPUTED_VALUE"""),"KENT 16051 Hand Blender 300 W | 5 Variable Speed Control | Multiple Beaters &amp; Dough Hooks | Turbo Function")</f>
        <v>KENT 16051 Hand Blender 300 W | 5 Variable Speed Control | Multiple Beaters &amp; Dough Hooks | Turbo Function</v>
      </c>
      <c r="L902" s="17" t="str">
        <f>IFERROR(__xludf.DUMMYFUNCTION("""COMPUTED_VALUE"""),"Home&amp;Kitchen|Kitchen&amp;HomeAppliances|SmallKitchenAppliances|HandBlenders")</f>
        <v>Home&amp;Kitchen|Kitchen&amp;HomeAppliances|SmallKitchenAppliances|HandBlenders</v>
      </c>
      <c r="M902" s="23">
        <f>IFERROR(__xludf.DUMMYFUNCTION("""COMPUTED_VALUE"""),1745.0)</f>
        <v>1745</v>
      </c>
      <c r="N902" s="23">
        <f>IFERROR(__xludf.DUMMYFUNCTION("""COMPUTED_VALUE"""),2400.0)</f>
        <v>2400</v>
      </c>
      <c r="O902" s="24">
        <f>IFERROR(__xludf.DUMMYFUNCTION("""COMPUTED_VALUE"""),0.27)</f>
        <v>0.27</v>
      </c>
      <c r="P902" s="17">
        <f>IFERROR(__xludf.DUMMYFUNCTION("""COMPUTED_VALUE"""),4.2)</f>
        <v>4.2</v>
      </c>
      <c r="Q902" s="25">
        <f>IFERROR(__xludf.DUMMYFUNCTION("""COMPUTED_VALUE"""),14160.0)</f>
        <v>14160</v>
      </c>
    </row>
    <row r="903">
      <c r="A903" s="7" t="s">
        <v>965</v>
      </c>
      <c r="B903" s="7" t="s">
        <v>377</v>
      </c>
      <c r="C903" s="8">
        <v>900.0</v>
      </c>
      <c r="D903" s="8">
        <v>2499.0</v>
      </c>
      <c r="E903" s="19">
        <v>0.64</v>
      </c>
      <c r="F903" s="10">
        <v>4.0</v>
      </c>
      <c r="G903" s="11">
        <v>36384.0</v>
      </c>
      <c r="K903" s="17" t="str">
        <f>IFERROR(__xludf.DUMMYFUNCTION("""COMPUTED_VALUE"""),"Prestige PIC 15.0+ 1900-Watt Induction Cooktop (Black)")</f>
        <v>Prestige PIC 15.0+ 1900-Watt Induction Cooktop (Black)</v>
      </c>
      <c r="L903" s="17" t="str">
        <f>IFERROR(__xludf.DUMMYFUNCTION("""COMPUTED_VALUE"""),"Home&amp;Kitchen|Kitchen&amp;HomeAppliances|SmallKitchenAppliances|InductionCooktop")</f>
        <v>Home&amp;Kitchen|Kitchen&amp;HomeAppliances|SmallKitchenAppliances|InductionCooktop</v>
      </c>
      <c r="M903" s="23">
        <f>IFERROR(__xludf.DUMMYFUNCTION("""COMPUTED_VALUE"""),3180.0)</f>
        <v>3180</v>
      </c>
      <c r="N903" s="23">
        <f>IFERROR(__xludf.DUMMYFUNCTION("""COMPUTED_VALUE"""),5295.0)</f>
        <v>5295</v>
      </c>
      <c r="O903" s="24">
        <f>IFERROR(__xludf.DUMMYFUNCTION("""COMPUTED_VALUE"""),0.4)</f>
        <v>0.4</v>
      </c>
      <c r="P903" s="17">
        <f>IFERROR(__xludf.DUMMYFUNCTION("""COMPUTED_VALUE"""),4.2)</f>
        <v>4.2</v>
      </c>
      <c r="Q903" s="25">
        <f>IFERROR(__xludf.DUMMYFUNCTION("""COMPUTED_VALUE"""),6919.0)</f>
        <v>6919</v>
      </c>
    </row>
    <row r="904">
      <c r="A904" s="7" t="s">
        <v>966</v>
      </c>
      <c r="B904" s="7" t="s">
        <v>769</v>
      </c>
      <c r="C904" s="8">
        <v>2490.0</v>
      </c>
      <c r="D904" s="8">
        <v>3990.0</v>
      </c>
      <c r="E904" s="19">
        <v>0.38</v>
      </c>
      <c r="F904" s="10">
        <v>4.1</v>
      </c>
      <c r="G904" s="11">
        <v>3606.0</v>
      </c>
      <c r="K904" s="17" t="str">
        <f>IFERROR(__xludf.DUMMYFUNCTION("""COMPUTED_VALUE"""),"Aqua d pure Active Copper 12-L RO+UV Water Filter Purifier for Home, Kitchen Fully Automatic UF+TDS Controller")</f>
        <v>Aqua d pure Active Copper 12-L RO+UV Water Filter Purifier for Home, Kitchen Fully Automatic UF+TDS Controller</v>
      </c>
      <c r="L904" s="17" t="str">
        <f>IFERROR(__xludf.DUMMYFUNCTION("""COMPUTED_VALUE"""),"Home&amp;Kitchen|Kitchen&amp;HomeAppliances|WaterPurifiers&amp;Accessories|WaterFilters&amp;Purifiers")</f>
        <v>Home&amp;Kitchen|Kitchen&amp;HomeAppliances|WaterPurifiers&amp;Accessories|WaterFilters&amp;Purifiers</v>
      </c>
      <c r="M904" s="23">
        <f>IFERROR(__xludf.DUMMYFUNCTION("""COMPUTED_VALUE"""),4999.0)</f>
        <v>4999</v>
      </c>
      <c r="N904" s="23">
        <f>IFERROR(__xludf.DUMMYFUNCTION("""COMPUTED_VALUE"""),24999.0)</f>
        <v>24999</v>
      </c>
      <c r="O904" s="24">
        <f>IFERROR(__xludf.DUMMYFUNCTION("""COMPUTED_VALUE"""),0.8)</f>
        <v>0.8</v>
      </c>
      <c r="P904" s="17">
        <f>IFERROR(__xludf.DUMMYFUNCTION("""COMPUTED_VALUE"""),4.5)</f>
        <v>4.5</v>
      </c>
      <c r="Q904" s="17">
        <f>IFERROR(__xludf.DUMMYFUNCTION("""COMPUTED_VALUE"""),287.0)</f>
        <v>287</v>
      </c>
    </row>
    <row r="905">
      <c r="A905" s="7" t="s">
        <v>967</v>
      </c>
      <c r="B905" s="7" t="s">
        <v>721</v>
      </c>
      <c r="C905" s="8">
        <v>116.0</v>
      </c>
      <c r="D905" s="8">
        <v>200.0</v>
      </c>
      <c r="E905" s="19">
        <v>0.42</v>
      </c>
      <c r="F905" s="10">
        <v>4.4</v>
      </c>
      <c r="G905" s="10">
        <v>357.0</v>
      </c>
      <c r="K905" s="17" t="str">
        <f>IFERROR(__xludf.DUMMYFUNCTION("""COMPUTED_VALUE"""),"Libra Roti Maker Electric Automatic | chapati Maker Electric Automatic | roti Maker Machine with 900 Watts for Making Roti/Chapati/Parathas - Stainless Steel")</f>
        <v>Libra Roti Maker Electric Automatic | chapati Maker Electric Automatic | roti Maker Machine with 900 Watts for Making Roti/Chapati/Parathas - Stainless Steel</v>
      </c>
      <c r="L905" s="17" t="str">
        <f>IFERROR(__xludf.DUMMYFUNCTION("""COMPUTED_VALUE"""),"Home&amp;Kitchen|Kitchen&amp;HomeAppliances|SmallKitchenAppliances|RotiMakers")</f>
        <v>Home&amp;Kitchen|Kitchen&amp;HomeAppliances|SmallKitchenAppliances|RotiMakers</v>
      </c>
      <c r="M905" s="23">
        <f>IFERROR(__xludf.DUMMYFUNCTION("""COMPUTED_VALUE"""),1999.0)</f>
        <v>1999</v>
      </c>
      <c r="N905" s="23">
        <f>IFERROR(__xludf.DUMMYFUNCTION("""COMPUTED_VALUE"""),2999.0)</f>
        <v>2999</v>
      </c>
      <c r="O905" s="24">
        <f>IFERROR(__xludf.DUMMYFUNCTION("""COMPUTED_VALUE"""),0.33)</f>
        <v>0.33</v>
      </c>
      <c r="P905" s="17">
        <f>IFERROR(__xludf.DUMMYFUNCTION("""COMPUTED_VALUE"""),4.4)</f>
        <v>4.4</v>
      </c>
      <c r="Q905" s="17">
        <f>IFERROR(__xludf.DUMMYFUNCTION("""COMPUTED_VALUE"""),388.0)</f>
        <v>388</v>
      </c>
    </row>
    <row r="906">
      <c r="A906" s="7" t="s">
        <v>968</v>
      </c>
      <c r="B906" s="7" t="s">
        <v>694</v>
      </c>
      <c r="C906" s="8">
        <v>200.0</v>
      </c>
      <c r="D906" s="8">
        <v>230.0</v>
      </c>
      <c r="E906" s="19">
        <v>0.13</v>
      </c>
      <c r="F906" s="10">
        <v>4.4</v>
      </c>
      <c r="G906" s="11">
        <v>10170.0</v>
      </c>
      <c r="K906" s="17" t="str">
        <f>IFERROR(__xludf.DUMMYFUNCTION("""COMPUTED_VALUE"""),"Glen 3 in 1 Electric Multi Cooker - Steam, Cook &amp; Egg Boiler with 350 W (SA 3035MC) - 350 Watts")</f>
        <v>Glen 3 in 1 Electric Multi Cooker - Steam, Cook &amp; Egg Boiler with 350 W (SA 3035MC) - 350 Watts</v>
      </c>
      <c r="L906" s="17" t="str">
        <f>IFERROR(__xludf.DUMMYFUNCTION("""COMPUTED_VALUE"""),"Home&amp;Kitchen|Kitchen&amp;HomeAppliances|SmallKitchenAppliances|EggBoilers")</f>
        <v>Home&amp;Kitchen|Kitchen&amp;HomeAppliances|SmallKitchenAppliances|EggBoilers</v>
      </c>
      <c r="M906" s="23">
        <f>IFERROR(__xludf.DUMMYFUNCTION("""COMPUTED_VALUE"""),1624.0)</f>
        <v>1624</v>
      </c>
      <c r="N906" s="23">
        <f>IFERROR(__xludf.DUMMYFUNCTION("""COMPUTED_VALUE"""),2495.0)</f>
        <v>2495</v>
      </c>
      <c r="O906" s="24">
        <f>IFERROR(__xludf.DUMMYFUNCTION("""COMPUTED_VALUE"""),0.35)</f>
        <v>0.35</v>
      </c>
      <c r="P906" s="17">
        <f>IFERROR(__xludf.DUMMYFUNCTION("""COMPUTED_VALUE"""),4.1)</f>
        <v>4.1</v>
      </c>
      <c r="Q906" s="17">
        <f>IFERROR(__xludf.DUMMYFUNCTION("""COMPUTED_VALUE"""),827.0)</f>
        <v>827</v>
      </c>
    </row>
    <row r="907">
      <c r="A907" s="7" t="s">
        <v>969</v>
      </c>
      <c r="B907" s="7" t="s">
        <v>895</v>
      </c>
      <c r="C907" s="8">
        <v>1249.0</v>
      </c>
      <c r="D907" s="8">
        <v>2796.0</v>
      </c>
      <c r="E907" s="19">
        <v>0.55</v>
      </c>
      <c r="F907" s="10">
        <v>4.4</v>
      </c>
      <c r="G907" s="11">
        <v>4598.0</v>
      </c>
      <c r="K907" s="17" t="str">
        <f>IFERROR(__xludf.DUMMYFUNCTION("""COMPUTED_VALUE"""),"Dynore Stainless Steel Set of 4 Measuring Cup and 4 Measuring Spoon")</f>
        <v>Dynore Stainless Steel Set of 4 Measuring Cup and 4 Measuring Spoon</v>
      </c>
      <c r="L907" s="17" t="str">
        <f>IFERROR(__xludf.DUMMYFUNCTION("""COMPUTED_VALUE"""),"Home&amp;Kitchen|Kitchen&amp;HomeAppliances|Coffee,Tea&amp;Espresso|CoffeeMakerAccessories|MeasuringSpoons")</f>
        <v>Home&amp;Kitchen|Kitchen&amp;HomeAppliances|Coffee,Tea&amp;Espresso|CoffeeMakerAccessories|MeasuringSpoons</v>
      </c>
      <c r="M907" s="23">
        <f>IFERROR(__xludf.DUMMYFUNCTION("""COMPUTED_VALUE"""),184.0)</f>
        <v>184</v>
      </c>
      <c r="N907" s="23">
        <f>IFERROR(__xludf.DUMMYFUNCTION("""COMPUTED_VALUE"""),450.0)</f>
        <v>450</v>
      </c>
      <c r="O907" s="24">
        <f>IFERROR(__xludf.DUMMYFUNCTION("""COMPUTED_VALUE"""),0.59)</f>
        <v>0.59</v>
      </c>
      <c r="P907" s="17">
        <f>IFERROR(__xludf.DUMMYFUNCTION("""COMPUTED_VALUE"""),4.2)</f>
        <v>4.2</v>
      </c>
      <c r="Q907" s="25">
        <f>IFERROR(__xludf.DUMMYFUNCTION("""COMPUTED_VALUE"""),4971.0)</f>
        <v>4971</v>
      </c>
    </row>
    <row r="908">
      <c r="A908" s="7" t="s">
        <v>970</v>
      </c>
      <c r="B908" s="7" t="s">
        <v>971</v>
      </c>
      <c r="C908" s="8">
        <v>649.0</v>
      </c>
      <c r="D908" s="8">
        <v>999.0</v>
      </c>
      <c r="E908" s="19">
        <v>0.35</v>
      </c>
      <c r="F908" s="10">
        <v>3.5</v>
      </c>
      <c r="G908" s="11">
        <v>7222.0</v>
      </c>
      <c r="K908" s="17" t="str">
        <f>IFERROR(__xludf.DUMMYFUNCTION("""COMPUTED_VALUE"""),"Lint Remover For Clothes With 1 Year Warranty Fabric Shaver Lint Shaver for Woolen Clothes Blanket Jackets Stainless Steel Blades,Bedding, Clothes and Furniture Best Remover for Fabrics Portable Lint Shavers (White Orange)")</f>
        <v>Lint Remover For Clothes With 1 Year Warranty Fabric Shaver Lint Shaver for Woolen Clothes Blanket Jackets Stainless Steel Blades,Bedding, Clothes and Furniture Best Remover for Fabrics Portable Lint Shavers (White Orange)</v>
      </c>
      <c r="L908" s="17" t="str">
        <f>IFERROR(__xludf.DUMMYFUNCTION("""COMPUTED_VALUE"""),"Home&amp;Kitchen|Kitchen&amp;HomeAppliances|Vacuum,Cleaning&amp;Ironing|Irons,Steamers&amp;Accessories|LintShavers")</f>
        <v>Home&amp;Kitchen|Kitchen&amp;HomeAppliances|Vacuum,Cleaning&amp;Ironing|Irons,Steamers&amp;Accessories|LintShavers</v>
      </c>
      <c r="M908" s="23">
        <f>IFERROR(__xludf.DUMMYFUNCTION("""COMPUTED_VALUE"""),445.0)</f>
        <v>445</v>
      </c>
      <c r="N908" s="23">
        <f>IFERROR(__xludf.DUMMYFUNCTION("""COMPUTED_VALUE"""),999.0)</f>
        <v>999</v>
      </c>
      <c r="O908" s="24">
        <f>IFERROR(__xludf.DUMMYFUNCTION("""COMPUTED_VALUE"""),0.55)</f>
        <v>0.55</v>
      </c>
      <c r="P908" s="17">
        <f>IFERROR(__xludf.DUMMYFUNCTION("""COMPUTED_VALUE"""),4.3)</f>
        <v>4.3</v>
      </c>
      <c r="Q908" s="17">
        <f>IFERROR(__xludf.DUMMYFUNCTION("""COMPUTED_VALUE"""),229.0)</f>
        <v>229</v>
      </c>
    </row>
    <row r="909">
      <c r="A909" s="7" t="s">
        <v>972</v>
      </c>
      <c r="B909" s="7" t="s">
        <v>973</v>
      </c>
      <c r="C909" s="8">
        <v>2649.0</v>
      </c>
      <c r="D909" s="8">
        <v>3499.0</v>
      </c>
      <c r="E909" s="19">
        <v>0.24</v>
      </c>
      <c r="F909" s="10">
        <v>4.5</v>
      </c>
      <c r="G909" s="11">
        <v>1271.0</v>
      </c>
      <c r="K909" s="17" t="str">
        <f>IFERROR(__xludf.DUMMYFUNCTION("""COMPUTED_VALUE"""),"Monitor AC Stand/Heavy Duty Air Conditioner Outdoor Unit Mounting Bracket")</f>
        <v>Monitor AC Stand/Heavy Duty Air Conditioner Outdoor Unit Mounting Bracket</v>
      </c>
      <c r="L909" s="17" t="str">
        <f>IFERROR(__xludf.DUMMYFUNCTION("""COMPUTED_VALUE"""),"Home&amp;Kitchen|Heating,Cooling&amp;AirQuality|Parts&amp;Accessories|FanParts&amp;Accessories")</f>
        <v>Home&amp;Kitchen|Heating,Cooling&amp;AirQuality|Parts&amp;Accessories|FanParts&amp;Accessories</v>
      </c>
      <c r="M909" s="23">
        <f>IFERROR(__xludf.DUMMYFUNCTION("""COMPUTED_VALUE"""),699.0)</f>
        <v>699</v>
      </c>
      <c r="N909" s="23">
        <f>IFERROR(__xludf.DUMMYFUNCTION("""COMPUTED_VALUE"""),1690.0)</f>
        <v>1690</v>
      </c>
      <c r="O909" s="24">
        <f>IFERROR(__xludf.DUMMYFUNCTION("""COMPUTED_VALUE"""),0.59)</f>
        <v>0.59</v>
      </c>
      <c r="P909" s="17">
        <f>IFERROR(__xludf.DUMMYFUNCTION("""COMPUTED_VALUE"""),4.1)</f>
        <v>4.1</v>
      </c>
      <c r="Q909" s="25">
        <f>IFERROR(__xludf.DUMMYFUNCTION("""COMPUTED_VALUE"""),3524.0)</f>
        <v>3524</v>
      </c>
    </row>
    <row r="910">
      <c r="A910" s="7" t="s">
        <v>78</v>
      </c>
      <c r="B910" s="7" t="s">
        <v>15</v>
      </c>
      <c r="C910" s="8">
        <v>199.0</v>
      </c>
      <c r="D910" s="8">
        <v>349.0</v>
      </c>
      <c r="E910" s="19">
        <v>0.43</v>
      </c>
      <c r="F910" s="10">
        <v>4.1</v>
      </c>
      <c r="G910" s="10">
        <v>314.0</v>
      </c>
      <c r="K910" s="17" t="str">
        <f>IFERROR(__xludf.DUMMYFUNCTION("""COMPUTED_VALUE"""),"iBELL Induction Cooktop, 2000W with Auto Shut Off and Overheat Protection, BIS Certified, Black")</f>
        <v>iBELL Induction Cooktop, 2000W with Auto Shut Off and Overheat Protection, BIS Certified, Black</v>
      </c>
      <c r="L910" s="17" t="str">
        <f>IFERROR(__xludf.DUMMYFUNCTION("""COMPUTED_VALUE"""),"Home&amp;Kitchen|Kitchen&amp;HomeAppliances|SmallKitchenAppliances|InductionCooktop")</f>
        <v>Home&amp;Kitchen|Kitchen&amp;HomeAppliances|SmallKitchenAppliances|InductionCooktop</v>
      </c>
      <c r="M910" s="23">
        <f>IFERROR(__xludf.DUMMYFUNCTION("""COMPUTED_VALUE"""),1601.0)</f>
        <v>1601</v>
      </c>
      <c r="N910" s="23">
        <f>IFERROR(__xludf.DUMMYFUNCTION("""COMPUTED_VALUE"""),3890.0)</f>
        <v>3890</v>
      </c>
      <c r="O910" s="24">
        <f>IFERROR(__xludf.DUMMYFUNCTION("""COMPUTED_VALUE"""),0.59)</f>
        <v>0.59</v>
      </c>
      <c r="P910" s="17">
        <f>IFERROR(__xludf.DUMMYFUNCTION("""COMPUTED_VALUE"""),4.2)</f>
        <v>4.2</v>
      </c>
      <c r="Q910" s="17">
        <f>IFERROR(__xludf.DUMMYFUNCTION("""COMPUTED_VALUE"""),156.0)</f>
        <v>156</v>
      </c>
    </row>
    <row r="911">
      <c r="A911" s="7" t="s">
        <v>974</v>
      </c>
      <c r="B911" s="7" t="s">
        <v>683</v>
      </c>
      <c r="C911" s="8">
        <v>596.0</v>
      </c>
      <c r="D911" s="8">
        <v>723.0</v>
      </c>
      <c r="E911" s="19">
        <v>0.18</v>
      </c>
      <c r="F911" s="10">
        <v>4.4</v>
      </c>
      <c r="G911" s="11">
        <v>3219.0</v>
      </c>
      <c r="K911" s="17" t="str">
        <f>IFERROR(__xludf.DUMMYFUNCTION("""COMPUTED_VALUE"""),"KENT POWP-Sediment Filter 10'' Thread WCAP")</f>
        <v>KENT POWP-Sediment Filter 10'' Thread WCAP</v>
      </c>
      <c r="L911" s="17" t="str">
        <f>IFERROR(__xludf.DUMMYFUNCTION("""COMPUTED_VALUE"""),"Home&amp;Kitchen|Kitchen&amp;HomeAppliances|WaterPurifiers&amp;Accessories|WaterPurifierAccessories")</f>
        <v>Home&amp;Kitchen|Kitchen&amp;HomeAppliances|WaterPurifiers&amp;Accessories|WaterPurifierAccessories</v>
      </c>
      <c r="M911" s="23">
        <f>IFERROR(__xludf.DUMMYFUNCTION("""COMPUTED_VALUE"""),231.0)</f>
        <v>231</v>
      </c>
      <c r="N911" s="23">
        <f>IFERROR(__xludf.DUMMYFUNCTION("""COMPUTED_VALUE"""),260.0)</f>
        <v>260</v>
      </c>
      <c r="O911" s="24">
        <f>IFERROR(__xludf.DUMMYFUNCTION("""COMPUTED_VALUE"""),0.11)</f>
        <v>0.11</v>
      </c>
      <c r="P911" s="17">
        <f>IFERROR(__xludf.DUMMYFUNCTION("""COMPUTED_VALUE"""),4.1)</f>
        <v>4.1</v>
      </c>
      <c r="Q911" s="17">
        <f>IFERROR(__xludf.DUMMYFUNCTION("""COMPUTED_VALUE"""),490.0)</f>
        <v>490</v>
      </c>
    </row>
    <row r="912">
      <c r="A912" s="7" t="s">
        <v>975</v>
      </c>
      <c r="B912" s="7" t="s">
        <v>373</v>
      </c>
      <c r="C912" s="8">
        <v>2499.0</v>
      </c>
      <c r="D912" s="8">
        <v>5999.0</v>
      </c>
      <c r="E912" s="19">
        <v>0.58</v>
      </c>
      <c r="F912" s="10">
        <v>4.1</v>
      </c>
      <c r="G912" s="11">
        <v>38879.0</v>
      </c>
      <c r="K912" s="17" t="str">
        <f>IFERROR(__xludf.DUMMYFUNCTION("""COMPUTED_VALUE"""),"Sujata Dynamix, Mixer Grinder, 900 Watts, 3 Jars (White)")</f>
        <v>Sujata Dynamix, Mixer Grinder, 900 Watts, 3 Jars (White)</v>
      </c>
      <c r="L912" s="17" t="str">
        <f>IFERROR(__xludf.DUMMYFUNCTION("""COMPUTED_VALUE"""),"Home&amp;Kitchen|Kitchen&amp;HomeAppliances|SmallKitchenAppliances|MixerGrinders")</f>
        <v>Home&amp;Kitchen|Kitchen&amp;HomeAppliances|SmallKitchenAppliances|MixerGrinders</v>
      </c>
      <c r="M912" s="23">
        <f>IFERROR(__xludf.DUMMYFUNCTION("""COMPUTED_VALUE"""),6120.0)</f>
        <v>6120</v>
      </c>
      <c r="N912" s="23">
        <f>IFERROR(__xludf.DUMMYFUNCTION("""COMPUTED_VALUE"""),8073.0)</f>
        <v>8073</v>
      </c>
      <c r="O912" s="24">
        <f>IFERROR(__xludf.DUMMYFUNCTION("""COMPUTED_VALUE"""),0.24)</f>
        <v>0.24</v>
      </c>
      <c r="P912" s="17">
        <f>IFERROR(__xludf.DUMMYFUNCTION("""COMPUTED_VALUE"""),4.6)</f>
        <v>4.6</v>
      </c>
      <c r="Q912" s="25">
        <f>IFERROR(__xludf.DUMMYFUNCTION("""COMPUTED_VALUE"""),2751.0)</f>
        <v>2751</v>
      </c>
    </row>
    <row r="913">
      <c r="A913" s="7" t="s">
        <v>976</v>
      </c>
      <c r="B913" s="7" t="s">
        <v>977</v>
      </c>
      <c r="C913" s="8">
        <v>4999.0</v>
      </c>
      <c r="D913" s="8">
        <v>12499.0</v>
      </c>
      <c r="E913" s="19">
        <v>0.6</v>
      </c>
      <c r="F913" s="10">
        <v>4.2</v>
      </c>
      <c r="G913" s="11">
        <v>4541.0</v>
      </c>
      <c r="K913" s="17" t="str">
        <f>IFERROR(__xludf.DUMMYFUNCTION("""COMPUTED_VALUE"""),"Mi Robot Vacuum-Mop P, Best-in-class Laser Navigation in 10-20K INR price band, Intelligent mapping, Robotic Floor Cleaner with 2 in 1 Mopping and Vacuum, App Control (WiFi, Alexa,GA), Strong suction")</f>
        <v>Mi Robot Vacuum-Mop P, Best-in-class Laser Navigation in 10-20K INR price band, Intelligent mapping, Robotic Floor Cleaner with 2 in 1 Mopping and Vacuum, App Control (WiFi, Alexa,GA), Strong suction</v>
      </c>
      <c r="L913" s="17" t="str">
        <f>IFERROR(__xludf.DUMMYFUNCTION("""COMPUTED_VALUE"""),"Home&amp;Kitchen|Kitchen&amp;HomeAppliances|Vacuum,Cleaning&amp;Ironing|Vacuums&amp;FloorCare|Vacuums|RoboticVacuums")</f>
        <v>Home&amp;Kitchen|Kitchen&amp;HomeAppliances|Vacuum,Cleaning&amp;Ironing|Vacuums&amp;FloorCare|Vacuums|RoboticVacuums</v>
      </c>
      <c r="M913" s="23">
        <f>IFERROR(__xludf.DUMMYFUNCTION("""COMPUTED_VALUE"""),18999.0)</f>
        <v>18999</v>
      </c>
      <c r="N913" s="23">
        <f>IFERROR(__xludf.DUMMYFUNCTION("""COMPUTED_VALUE"""),29999.0)</f>
        <v>29999</v>
      </c>
      <c r="O913" s="24">
        <f>IFERROR(__xludf.DUMMYFUNCTION("""COMPUTED_VALUE"""),0.37)</f>
        <v>0.37</v>
      </c>
      <c r="P913" s="17">
        <f>IFERROR(__xludf.DUMMYFUNCTION("""COMPUTED_VALUE"""),4.1)</f>
        <v>4.1</v>
      </c>
      <c r="Q913" s="25">
        <f>IFERROR(__xludf.DUMMYFUNCTION("""COMPUTED_VALUE"""),2536.0)</f>
        <v>2536</v>
      </c>
    </row>
    <row r="914">
      <c r="A914" s="7" t="s">
        <v>978</v>
      </c>
      <c r="B914" s="7" t="s">
        <v>393</v>
      </c>
      <c r="C914" s="8">
        <v>399.0</v>
      </c>
      <c r="D914" s="8">
        <v>1290.0</v>
      </c>
      <c r="E914" s="19">
        <v>0.69</v>
      </c>
      <c r="F914" s="10">
        <v>4.2</v>
      </c>
      <c r="G914" s="11">
        <v>76042.0</v>
      </c>
      <c r="K914" s="17" t="str">
        <f>IFERROR(__xludf.DUMMYFUNCTION("""COMPUTED_VALUE"""),"Havells Ventil Air DX 200mm Exhaust Fan (White)")</f>
        <v>Havells Ventil Air DX 200mm Exhaust Fan (White)</v>
      </c>
      <c r="L914" s="17" t="str">
        <f>IFERROR(__xludf.DUMMYFUNCTION("""COMPUTED_VALUE"""),"Home&amp;Kitchen|Heating,Cooling&amp;AirQuality|Fans|ExhaustFans")</f>
        <v>Home&amp;Kitchen|Heating,Cooling&amp;AirQuality|Fans|ExhaustFans</v>
      </c>
      <c r="M914" s="23">
        <f>IFERROR(__xludf.DUMMYFUNCTION("""COMPUTED_VALUE"""),1999.0)</f>
        <v>1999</v>
      </c>
      <c r="N914" s="23">
        <f>IFERROR(__xludf.DUMMYFUNCTION("""COMPUTED_VALUE"""),2360.0)</f>
        <v>2360</v>
      </c>
      <c r="O914" s="24">
        <f>IFERROR(__xludf.DUMMYFUNCTION("""COMPUTED_VALUE"""),0.15)</f>
        <v>0.15</v>
      </c>
      <c r="P914" s="17">
        <f>IFERROR(__xludf.DUMMYFUNCTION("""COMPUTED_VALUE"""),4.2)</f>
        <v>4.2</v>
      </c>
      <c r="Q914" s="25">
        <f>IFERROR(__xludf.DUMMYFUNCTION("""COMPUTED_VALUE"""),7801.0)</f>
        <v>7801</v>
      </c>
    </row>
    <row r="915">
      <c r="A915" s="7" t="s">
        <v>979</v>
      </c>
      <c r="B915" s="7" t="s">
        <v>721</v>
      </c>
      <c r="C915" s="8">
        <v>116.0</v>
      </c>
      <c r="D915" s="8">
        <v>200.0</v>
      </c>
      <c r="E915" s="19">
        <v>0.42</v>
      </c>
      <c r="F915" s="10">
        <v>4.3</v>
      </c>
      <c r="G915" s="10">
        <v>485.0</v>
      </c>
      <c r="K915" s="17" t="str">
        <f>IFERROR(__xludf.DUMMYFUNCTION("""COMPUTED_VALUE"""),"AGARO Royal Stand 1000W Mixer with 5L SS Bowl and 8 Speed Setting, Includes Whisking Cone, Mixing Beater &amp; Dough Hook, and Splash Guard, 2 Years Warranty, (Black), Medium (33554)")</f>
        <v>AGARO Royal Stand 1000W Mixer with 5L SS Bowl and 8 Speed Setting, Includes Whisking Cone, Mixing Beater &amp; Dough Hook, and Splash Guard, 2 Years Warranty, (Black), Medium (33554)</v>
      </c>
      <c r="L915" s="17" t="str">
        <f>IFERROR(__xludf.DUMMYFUNCTION("""COMPUTED_VALUE"""),"Home&amp;Kitchen|Kitchen&amp;HomeAppliances|SmallKitchenAppliances|StandMixers")</f>
        <v>Home&amp;Kitchen|Kitchen&amp;HomeAppliances|SmallKitchenAppliances|StandMixers</v>
      </c>
      <c r="M915" s="23">
        <f>IFERROR(__xludf.DUMMYFUNCTION("""COMPUTED_VALUE"""),5999.0)</f>
        <v>5999</v>
      </c>
      <c r="N915" s="23">
        <f>IFERROR(__xludf.DUMMYFUNCTION("""COMPUTED_VALUE"""),11495.0)</f>
        <v>11495</v>
      </c>
      <c r="O915" s="24">
        <f>IFERROR(__xludf.DUMMYFUNCTION("""COMPUTED_VALUE"""),0.48)</f>
        <v>0.48</v>
      </c>
      <c r="P915" s="17">
        <f>IFERROR(__xludf.DUMMYFUNCTION("""COMPUTED_VALUE"""),4.3)</f>
        <v>4.3</v>
      </c>
      <c r="Q915" s="17">
        <f>IFERROR(__xludf.DUMMYFUNCTION("""COMPUTED_VALUE"""),534.0)</f>
        <v>534</v>
      </c>
    </row>
    <row r="916">
      <c r="A916" s="7" t="s">
        <v>980</v>
      </c>
      <c r="B916" s="7" t="s">
        <v>769</v>
      </c>
      <c r="C916" s="8">
        <v>4499.0</v>
      </c>
      <c r="D916" s="8">
        <v>5999.0</v>
      </c>
      <c r="E916" s="19">
        <v>0.25</v>
      </c>
      <c r="F916" s="10">
        <v>4.3</v>
      </c>
      <c r="G916" s="11">
        <v>44696.0</v>
      </c>
      <c r="K916" s="17" t="str">
        <f>IFERROR(__xludf.DUMMYFUNCTION("""COMPUTED_VALUE"""),"Portable, Handy Compact Plug-in Portable Digital Electric Heater Fan Wall-Outlet Handy Air Warmer Blower Adjustable Timer Digital Display Heater for Home/Office/Camper (Black, 400 Watts)")</f>
        <v>Portable, Handy Compact Plug-in Portable Digital Electric Heater Fan Wall-Outlet Handy Air Warmer Blower Adjustable Timer Digital Display Heater for Home/Office/Camper (Black, 400 Watts)</v>
      </c>
      <c r="L916" s="17" t="str">
        <f>IFERROR(__xludf.DUMMYFUNCTION("""COMPUTED_VALUE"""),"Home&amp;Kitchen|Heating,Cooling&amp;AirQuality|RoomHeaters|FanHeaters")</f>
        <v>Home&amp;Kitchen|Heating,Cooling&amp;AirQuality|RoomHeaters|FanHeaters</v>
      </c>
      <c r="M916" s="23">
        <f>IFERROR(__xludf.DUMMYFUNCTION("""COMPUTED_VALUE"""),799.0)</f>
        <v>799</v>
      </c>
      <c r="N916" s="23">
        <f>IFERROR(__xludf.DUMMYFUNCTION("""COMPUTED_VALUE"""),1199.0)</f>
        <v>1199</v>
      </c>
      <c r="O916" s="24">
        <f>IFERROR(__xludf.DUMMYFUNCTION("""COMPUTED_VALUE"""),0.33)</f>
        <v>0.33</v>
      </c>
      <c r="P916" s="17">
        <f>IFERROR(__xludf.DUMMYFUNCTION("""COMPUTED_VALUE"""),4.4)</f>
        <v>4.4</v>
      </c>
      <c r="Q916" s="17">
        <f>IFERROR(__xludf.DUMMYFUNCTION("""COMPUTED_VALUE"""),17.0)</f>
        <v>17</v>
      </c>
    </row>
    <row r="917">
      <c r="A917" s="7" t="s">
        <v>981</v>
      </c>
      <c r="B917" s="7" t="s">
        <v>793</v>
      </c>
      <c r="C917" s="8">
        <v>330.0</v>
      </c>
      <c r="D917" s="8">
        <v>499.0</v>
      </c>
      <c r="E917" s="19">
        <v>0.34</v>
      </c>
      <c r="F917" s="10">
        <v>3.7</v>
      </c>
      <c r="G917" s="11">
        <v>8566.0</v>
      </c>
      <c r="K917" s="17" t="str">
        <f>IFERROR(__xludf.DUMMYFUNCTION("""COMPUTED_VALUE"""),"Karcher WD3 EU Wet and Dry Vacuum Cleaner, 1000 Watts Powerful Suction, 17 L Capacity, Blower Function, Easy Filter Removal for Home and Garden Cleaning  (Yellow/Black)")</f>
        <v>Karcher WD3 EU Wet and Dry Vacuum Cleaner, 1000 Watts Powerful Suction, 17 L Capacity, Blower Function, Easy Filter Removal for Home and Garden Cleaning  (Yellow/Black)</v>
      </c>
      <c r="L917" s="17" t="str">
        <f>IFERROR(__xludf.DUMMYFUNCTION("""COMPUTED_VALUE"""),"Home&amp;Kitchen|Kitchen&amp;HomeAppliances|Vacuum,Cleaning&amp;Ironing|Vacuums&amp;FloorCare|Vacuums|Wet-DryVacuums")</f>
        <v>Home&amp;Kitchen|Kitchen&amp;HomeAppliances|Vacuum,Cleaning&amp;Ironing|Vacuums&amp;FloorCare|Vacuums|Wet-DryVacuums</v>
      </c>
      <c r="M917" s="23">
        <f>IFERROR(__xludf.DUMMYFUNCTION("""COMPUTED_VALUE"""),6199.0)</f>
        <v>6199</v>
      </c>
      <c r="N917" s="23">
        <f>IFERROR(__xludf.DUMMYFUNCTION("""COMPUTED_VALUE"""),10999.0)</f>
        <v>10999</v>
      </c>
      <c r="O917" s="24">
        <f>IFERROR(__xludf.DUMMYFUNCTION("""COMPUTED_VALUE"""),0.44)</f>
        <v>0.44</v>
      </c>
      <c r="P917" s="17">
        <f>IFERROR(__xludf.DUMMYFUNCTION("""COMPUTED_VALUE"""),4.2)</f>
        <v>4.2</v>
      </c>
      <c r="Q917" s="25">
        <f>IFERROR(__xludf.DUMMYFUNCTION("""COMPUTED_VALUE"""),10429.0)</f>
        <v>10429</v>
      </c>
    </row>
    <row r="918">
      <c r="A918" s="7" t="s">
        <v>982</v>
      </c>
      <c r="B918" s="7" t="s">
        <v>711</v>
      </c>
      <c r="C918" s="8">
        <v>649.0</v>
      </c>
      <c r="D918" s="8">
        <v>2499.0</v>
      </c>
      <c r="E918" s="19">
        <v>0.74</v>
      </c>
      <c r="F918" s="10">
        <v>3.9</v>
      </c>
      <c r="G918" s="11">
        <v>13049.0</v>
      </c>
      <c r="K918" s="17" t="str">
        <f>IFERROR(__xludf.DUMMYFUNCTION("""COMPUTED_VALUE"""),"INALSA Air Fryer Digital 4L Nutri Fry - 1400W with Smart AirCrisp Technology| 8-Preset Menu, Touch Control &amp; Digital Display|Variable Temperature &amp; Timer Control|Free Recipe book|2 Yr Warranty (Black)")</f>
        <v>INALSA Air Fryer Digital 4L Nutri Fry - 1400W with Smart AirCrisp Technology| 8-Preset Menu, Touch Control &amp; Digital Display|Variable Temperature &amp; Timer Control|Free Recipe book|2 Yr Warranty (Black)</v>
      </c>
      <c r="L918" s="17" t="str">
        <f>IFERROR(__xludf.DUMMYFUNCTION("""COMPUTED_VALUE"""),"Home&amp;Kitchen|Kitchen&amp;HomeAppliances|SmallKitchenAppliances|DeepFatFryers|AirFryers")</f>
        <v>Home&amp;Kitchen|Kitchen&amp;HomeAppliances|SmallKitchenAppliances|DeepFatFryers|AirFryers</v>
      </c>
      <c r="M918" s="23">
        <f>IFERROR(__xludf.DUMMYFUNCTION("""COMPUTED_VALUE"""),6790.0)</f>
        <v>6790</v>
      </c>
      <c r="N918" s="23">
        <f>IFERROR(__xludf.DUMMYFUNCTION("""COMPUTED_VALUE"""),10995.0)</f>
        <v>10995</v>
      </c>
      <c r="O918" s="24">
        <f>IFERROR(__xludf.DUMMYFUNCTION("""COMPUTED_VALUE"""),0.38)</f>
        <v>0.38</v>
      </c>
      <c r="P918" s="17">
        <f>IFERROR(__xludf.DUMMYFUNCTION("""COMPUTED_VALUE"""),4.5)</f>
        <v>4.5</v>
      </c>
      <c r="Q918" s="25">
        <f>IFERROR(__xludf.DUMMYFUNCTION("""COMPUTED_VALUE"""),3192.0)</f>
        <v>3192</v>
      </c>
    </row>
    <row r="919">
      <c r="A919" s="7" t="s">
        <v>983</v>
      </c>
      <c r="B919" s="7" t="s">
        <v>779</v>
      </c>
      <c r="C919" s="8">
        <v>1234.0</v>
      </c>
      <c r="D919" s="8">
        <v>1599.0</v>
      </c>
      <c r="E919" s="19">
        <v>0.23</v>
      </c>
      <c r="F919" s="10">
        <v>4.5</v>
      </c>
      <c r="G919" s="11">
        <v>16680.0</v>
      </c>
      <c r="K919" s="17" t="str">
        <f>IFERROR(__xludf.DUMMYFUNCTION("""COMPUTED_VALUE"""),"AmazonBasics High Speed 55 Watt Oscillating Pedestal Fan, 400mm Sweep Length, White (Without Remote)")</f>
        <v>AmazonBasics High Speed 55 Watt Oscillating Pedestal Fan, 400mm Sweep Length, White (Without Remote)</v>
      </c>
      <c r="L919" s="17" t="str">
        <f>IFERROR(__xludf.DUMMYFUNCTION("""COMPUTED_VALUE"""),"Home&amp;Kitchen|Heating,Cooling&amp;AirQuality|Fans|PedestalFans")</f>
        <v>Home&amp;Kitchen|Heating,Cooling&amp;AirQuality|Fans|PedestalFans</v>
      </c>
      <c r="M919" s="23">
        <f>IFERROR(__xludf.DUMMYFUNCTION("""COMPUTED_VALUE"""),1982.84)</f>
        <v>1982.84</v>
      </c>
      <c r="N919" s="23">
        <f>IFERROR(__xludf.DUMMYFUNCTION("""COMPUTED_VALUE"""),3300.0)</f>
        <v>3300</v>
      </c>
      <c r="O919" s="24">
        <f>IFERROR(__xludf.DUMMYFUNCTION("""COMPUTED_VALUE"""),0.4)</f>
        <v>0.4</v>
      </c>
      <c r="P919" s="17">
        <f>IFERROR(__xludf.DUMMYFUNCTION("""COMPUTED_VALUE"""),4.1)</f>
        <v>4.1</v>
      </c>
      <c r="Q919" s="25">
        <f>IFERROR(__xludf.DUMMYFUNCTION("""COMPUTED_VALUE"""),5873.0)</f>
        <v>5873</v>
      </c>
    </row>
    <row r="920">
      <c r="A920" s="7" t="s">
        <v>571</v>
      </c>
      <c r="B920" s="7" t="s">
        <v>572</v>
      </c>
      <c r="C920" s="8">
        <v>1399.0</v>
      </c>
      <c r="D920" s="8">
        <v>2990.0</v>
      </c>
      <c r="E920" s="19">
        <v>0.53</v>
      </c>
      <c r="F920" s="10">
        <v>4.1</v>
      </c>
      <c r="G920" s="11">
        <v>97174.0</v>
      </c>
      <c r="K920" s="17" t="str">
        <f>IFERROR(__xludf.DUMMYFUNCTION("""COMPUTED_VALUE"""),"Eco Crystal J 5 inch Cartridge (Pack of 2)")</f>
        <v>Eco Crystal J 5 inch Cartridge (Pack of 2)</v>
      </c>
      <c r="L920" s="17" t="str">
        <f>IFERROR(__xludf.DUMMYFUNCTION("""COMPUTED_VALUE"""),"Home&amp;Kitchen|Kitchen&amp;HomeAppliances|WaterPurifiers&amp;Accessories|WaterPurifierAccessories")</f>
        <v>Home&amp;Kitchen|Kitchen&amp;HomeAppliances|WaterPurifiers&amp;Accessories|WaterPurifierAccessories</v>
      </c>
      <c r="M920" s="23">
        <f>IFERROR(__xludf.DUMMYFUNCTION("""COMPUTED_VALUE"""),199.0)</f>
        <v>199</v>
      </c>
      <c r="N920" s="23">
        <f>IFERROR(__xludf.DUMMYFUNCTION("""COMPUTED_VALUE"""),400.0)</f>
        <v>400</v>
      </c>
      <c r="O920" s="24">
        <f>IFERROR(__xludf.DUMMYFUNCTION("""COMPUTED_VALUE"""),0.5)</f>
        <v>0.5</v>
      </c>
      <c r="P920" s="17">
        <f>IFERROR(__xludf.DUMMYFUNCTION("""COMPUTED_VALUE"""),4.1)</f>
        <v>4.1</v>
      </c>
      <c r="Q920" s="25">
        <f>IFERROR(__xludf.DUMMYFUNCTION("""COMPUTED_VALUE"""),1379.0)</f>
        <v>1379</v>
      </c>
    </row>
    <row r="921">
      <c r="A921" s="7" t="s">
        <v>984</v>
      </c>
      <c r="B921" s="7" t="s">
        <v>916</v>
      </c>
      <c r="C921" s="8">
        <v>272.0</v>
      </c>
      <c r="D921" s="8">
        <v>320.0</v>
      </c>
      <c r="E921" s="19">
        <v>0.15</v>
      </c>
      <c r="F921" s="10">
        <v>4.0</v>
      </c>
      <c r="G921" s="11">
        <v>3686.0</v>
      </c>
      <c r="K921" s="17" t="str">
        <f>IFERROR(__xludf.DUMMYFUNCTION("""COMPUTED_VALUE"""),"Borosil Rio 1.5 L Electric Kettle, Stainless Steel Inner Body, Boil Water For Tea, Coffee, Soup, Silver")</f>
        <v>Borosil Rio 1.5 L Electric Kettle, Stainless Steel Inner Body, Boil Water For Tea, Coffee, Soup, Silver</v>
      </c>
      <c r="L921" s="17" t="str">
        <f>IFERROR(__xludf.DUMMYFUNCTION("""COMPUTED_VALUE"""),"Home&amp;Kitchen|Kitchen&amp;HomeAppliances|SmallKitchenAppliances|Kettles&amp;HotWaterDispensers|ElectricKettles")</f>
        <v>Home&amp;Kitchen|Kitchen&amp;HomeAppliances|SmallKitchenAppliances|Kettles&amp;HotWaterDispensers|ElectricKettles</v>
      </c>
      <c r="M921" s="23">
        <f>IFERROR(__xludf.DUMMYFUNCTION("""COMPUTED_VALUE"""),1180.0)</f>
        <v>1180</v>
      </c>
      <c r="N921" s="23">
        <f>IFERROR(__xludf.DUMMYFUNCTION("""COMPUTED_VALUE"""),1440.0)</f>
        <v>1440</v>
      </c>
      <c r="O921" s="24">
        <f>IFERROR(__xludf.DUMMYFUNCTION("""COMPUTED_VALUE"""),0.18)</f>
        <v>0.18</v>
      </c>
      <c r="P921" s="17">
        <f>IFERROR(__xludf.DUMMYFUNCTION("""COMPUTED_VALUE"""),4.2)</f>
        <v>4.2</v>
      </c>
      <c r="Q921" s="25">
        <f>IFERROR(__xludf.DUMMYFUNCTION("""COMPUTED_VALUE"""),1527.0)</f>
        <v>1527</v>
      </c>
    </row>
    <row r="922">
      <c r="A922" s="7" t="s">
        <v>985</v>
      </c>
      <c r="B922" s="7" t="s">
        <v>986</v>
      </c>
      <c r="C922" s="8">
        <v>99.0</v>
      </c>
      <c r="D922" s="8">
        <v>999.0</v>
      </c>
      <c r="E922" s="19">
        <v>0.9</v>
      </c>
      <c r="F922" s="10">
        <v>3.8</v>
      </c>
      <c r="G922" s="10">
        <v>594.0</v>
      </c>
      <c r="K922" s="17" t="str">
        <f>IFERROR(__xludf.DUMMYFUNCTION("""COMPUTED_VALUE"""),"Havells Ambrose 1200mm Ceiling Fan (Pearl White Wood)")</f>
        <v>Havells Ambrose 1200mm Ceiling Fan (Pearl White Wood)</v>
      </c>
      <c r="L922" s="17" t="str">
        <f>IFERROR(__xludf.DUMMYFUNCTION("""COMPUTED_VALUE"""),"Home&amp;Kitchen|Heating,Cooling&amp;AirQuality|Fans|CeilingFans")</f>
        <v>Home&amp;Kitchen|Heating,Cooling&amp;AirQuality|Fans|CeilingFans</v>
      </c>
      <c r="M922" s="23">
        <f>IFERROR(__xludf.DUMMYFUNCTION("""COMPUTED_VALUE"""),2199.0)</f>
        <v>2199</v>
      </c>
      <c r="N922" s="23">
        <f>IFERROR(__xludf.DUMMYFUNCTION("""COMPUTED_VALUE"""),3045.0)</f>
        <v>3045</v>
      </c>
      <c r="O922" s="24">
        <f>IFERROR(__xludf.DUMMYFUNCTION("""COMPUTED_VALUE"""),0.28)</f>
        <v>0.28</v>
      </c>
      <c r="P922" s="17">
        <f>IFERROR(__xludf.DUMMYFUNCTION("""COMPUTED_VALUE"""),4.2)</f>
        <v>4.2</v>
      </c>
      <c r="Q922" s="25">
        <f>IFERROR(__xludf.DUMMYFUNCTION("""COMPUTED_VALUE"""),2686.0)</f>
        <v>2686</v>
      </c>
    </row>
    <row r="923">
      <c r="A923" s="7" t="s">
        <v>987</v>
      </c>
      <c r="B923" s="7" t="s">
        <v>988</v>
      </c>
      <c r="C923" s="8">
        <v>3498.0</v>
      </c>
      <c r="D923" s="8">
        <v>3875.0</v>
      </c>
      <c r="E923" s="19">
        <v>0.1</v>
      </c>
      <c r="F923" s="10">
        <v>3.4</v>
      </c>
      <c r="G923" s="11">
        <v>12185.0</v>
      </c>
      <c r="K923" s="17" t="str">
        <f>IFERROR(__xludf.DUMMYFUNCTION("""COMPUTED_VALUE"""),"Eureka Forbes Euroclean Paper Vacuum Cleaner Dust Bags for Excel, Ace, 300, Jet Models - Set of 10")</f>
        <v>Eureka Forbes Euroclean Paper Vacuum Cleaner Dust Bags for Excel, Ace, 300, Jet Models - Set of 10</v>
      </c>
      <c r="L923" s="17" t="str">
        <f>IFERROR(__xludf.DUMMYFUNCTION("""COMPUTED_VALUE"""),"Home&amp;Kitchen|Kitchen&amp;HomeAppliances|Vacuum,Cleaning&amp;Ironing|Vacuums&amp;FloorCare|VacuumAccessories|VacuumBags|HandheldBags")</f>
        <v>Home&amp;Kitchen|Kitchen&amp;HomeAppliances|Vacuum,Cleaning&amp;Ironing|Vacuums&amp;FloorCare|VacuumAccessories|VacuumBags|HandheldBags</v>
      </c>
      <c r="M923" s="23">
        <f>IFERROR(__xludf.DUMMYFUNCTION("""COMPUTED_VALUE"""),253.0)</f>
        <v>253</v>
      </c>
      <c r="N923" s="23">
        <f>IFERROR(__xludf.DUMMYFUNCTION("""COMPUTED_VALUE"""),500.0)</f>
        <v>500</v>
      </c>
      <c r="O923" s="24">
        <f>IFERROR(__xludf.DUMMYFUNCTION("""COMPUTED_VALUE"""),0.49)</f>
        <v>0.49</v>
      </c>
      <c r="P923" s="17">
        <f>IFERROR(__xludf.DUMMYFUNCTION("""COMPUTED_VALUE"""),4.3)</f>
        <v>4.3</v>
      </c>
      <c r="Q923" s="25">
        <f>IFERROR(__xludf.DUMMYFUNCTION("""COMPUTED_VALUE"""),2664.0)</f>
        <v>2664</v>
      </c>
    </row>
    <row r="924">
      <c r="A924" s="7" t="s">
        <v>989</v>
      </c>
      <c r="B924" s="7" t="s">
        <v>757</v>
      </c>
      <c r="C924" s="8">
        <v>10099.0</v>
      </c>
      <c r="D924" s="8">
        <v>19110.0</v>
      </c>
      <c r="E924" s="19">
        <v>0.47</v>
      </c>
      <c r="F924" s="10">
        <v>4.3</v>
      </c>
      <c r="G924" s="11">
        <v>2623.0</v>
      </c>
      <c r="K924" s="17" t="str">
        <f>IFERROR(__xludf.DUMMYFUNCTION("""COMPUTED_VALUE"""),"Syska SDI-07 1000 W Stellar with Golden American Heritage Soleplate Dry Iron (Blue)")</f>
        <v>Syska SDI-07 1000 W Stellar with Golden American Heritage Soleplate Dry Iron (Blue)</v>
      </c>
      <c r="L924" s="17" t="str">
        <f>IFERROR(__xludf.DUMMYFUNCTION("""COMPUTED_VALUE"""),"Home&amp;Kitchen|Kitchen&amp;HomeAppliances|Vacuum,Cleaning&amp;Ironing|Irons,Steamers&amp;Accessories|Irons|DryIrons")</f>
        <v>Home&amp;Kitchen|Kitchen&amp;HomeAppliances|Vacuum,Cleaning&amp;Ironing|Irons,Steamers&amp;Accessories|Irons|DryIrons</v>
      </c>
      <c r="M924" s="23">
        <f>IFERROR(__xludf.DUMMYFUNCTION("""COMPUTED_VALUE"""),457.0)</f>
        <v>457</v>
      </c>
      <c r="N924" s="23">
        <f>IFERROR(__xludf.DUMMYFUNCTION("""COMPUTED_VALUE"""),799.0)</f>
        <v>799</v>
      </c>
      <c r="O924" s="24">
        <f>IFERROR(__xludf.DUMMYFUNCTION("""COMPUTED_VALUE"""),0.43)</f>
        <v>0.43</v>
      </c>
      <c r="P924" s="17">
        <f>IFERROR(__xludf.DUMMYFUNCTION("""COMPUTED_VALUE"""),4.3)</f>
        <v>4.3</v>
      </c>
      <c r="Q924" s="25">
        <f>IFERROR(__xludf.DUMMYFUNCTION("""COMPUTED_VALUE"""),1868.0)</f>
        <v>1868</v>
      </c>
    </row>
    <row r="925">
      <c r="A925" s="7" t="s">
        <v>990</v>
      </c>
      <c r="B925" s="7" t="s">
        <v>806</v>
      </c>
      <c r="C925" s="8">
        <v>449.0</v>
      </c>
      <c r="D925" s="8">
        <v>999.0</v>
      </c>
      <c r="E925" s="19">
        <v>0.55</v>
      </c>
      <c r="F925" s="10">
        <v>4.3</v>
      </c>
      <c r="G925" s="11">
        <v>9701.0</v>
      </c>
      <c r="K925" s="17" t="str">
        <f>IFERROR(__xludf.DUMMYFUNCTION("""COMPUTED_VALUE"""),"Kitchengenix's Mini Waffle Maker 4 Inch- 350 Watts: Stainless Steel Non-Stick Electric Iron Machine for Individual Belgian Waffles, Pan Cakes, Paninis or Other Snacks (Red)")</f>
        <v>Kitchengenix's Mini Waffle Maker 4 Inch- 350 Watts: Stainless Steel Non-Stick Electric Iron Machine for Individual Belgian Waffles, Pan Cakes, Paninis or Other Snacks (Red)</v>
      </c>
      <c r="L925" s="17" t="str">
        <f>IFERROR(__xludf.DUMMYFUNCTION("""COMPUTED_VALUE"""),"Home&amp;Kitchen|Kitchen&amp;HomeAppliances|SmallKitchenAppliances|WaffleMakers&amp;Irons")</f>
        <v>Home&amp;Kitchen|Kitchen&amp;HomeAppliances|SmallKitchenAppliances|WaffleMakers&amp;Irons</v>
      </c>
      <c r="M925" s="23">
        <f>IFERROR(__xludf.DUMMYFUNCTION("""COMPUTED_VALUE"""),899.0)</f>
        <v>899</v>
      </c>
      <c r="N925" s="23">
        <f>IFERROR(__xludf.DUMMYFUNCTION("""COMPUTED_VALUE"""),1999.0)</f>
        <v>1999</v>
      </c>
      <c r="O925" s="24">
        <f>IFERROR(__xludf.DUMMYFUNCTION("""COMPUTED_VALUE"""),0.55)</f>
        <v>0.55</v>
      </c>
      <c r="P925" s="17">
        <f>IFERROR(__xludf.DUMMYFUNCTION("""COMPUTED_VALUE"""),4.2)</f>
        <v>4.2</v>
      </c>
      <c r="Q925" s="17">
        <f>IFERROR(__xludf.DUMMYFUNCTION("""COMPUTED_VALUE"""),39.0)</f>
        <v>39</v>
      </c>
    </row>
    <row r="926">
      <c r="A926" s="7" t="s">
        <v>991</v>
      </c>
      <c r="B926" s="7" t="s">
        <v>992</v>
      </c>
      <c r="C926" s="8">
        <v>150.0</v>
      </c>
      <c r="D926" s="8">
        <v>150.0</v>
      </c>
      <c r="E926" s="19">
        <v>0.0</v>
      </c>
      <c r="F926" s="10">
        <v>4.3</v>
      </c>
      <c r="G926" s="11">
        <v>15867.0</v>
      </c>
      <c r="K926" s="17" t="str">
        <f>IFERROR(__xludf.DUMMYFUNCTION("""COMPUTED_VALUE"""),"Bajaj HM-01 Powerful 250W Hand Mixer, Black")</f>
        <v>Bajaj HM-01 Powerful 250W Hand Mixer, Black</v>
      </c>
      <c r="L926" s="17" t="str">
        <f>IFERROR(__xludf.DUMMYFUNCTION("""COMPUTED_VALUE"""),"Home&amp;Kitchen|Kitchen&amp;HomeAppliances|SmallKitchenAppliances|HandMixers")</f>
        <v>Home&amp;Kitchen|Kitchen&amp;HomeAppliances|SmallKitchenAppliances|HandMixers</v>
      </c>
      <c r="M926" s="23">
        <f>IFERROR(__xludf.DUMMYFUNCTION("""COMPUTED_VALUE"""),1499.0)</f>
        <v>1499</v>
      </c>
      <c r="N926" s="23">
        <f>IFERROR(__xludf.DUMMYFUNCTION("""COMPUTED_VALUE"""),2199.0)</f>
        <v>2199</v>
      </c>
      <c r="O926" s="24">
        <f>IFERROR(__xludf.DUMMYFUNCTION("""COMPUTED_VALUE"""),0.32)</f>
        <v>0.32</v>
      </c>
      <c r="P926" s="17">
        <f>IFERROR(__xludf.DUMMYFUNCTION("""COMPUTED_VALUE"""),4.4)</f>
        <v>4.4</v>
      </c>
      <c r="Q926" s="25">
        <f>IFERROR(__xludf.DUMMYFUNCTION("""COMPUTED_VALUE"""),6531.0)</f>
        <v>6531</v>
      </c>
    </row>
    <row r="927">
      <c r="A927" s="7" t="s">
        <v>82</v>
      </c>
      <c r="B927" s="7" t="s">
        <v>15</v>
      </c>
      <c r="C927" s="8">
        <v>348.0</v>
      </c>
      <c r="D927" s="8">
        <v>1499.0</v>
      </c>
      <c r="E927" s="19">
        <v>0.77</v>
      </c>
      <c r="F927" s="10">
        <v>4.2</v>
      </c>
      <c r="G927" s="10">
        <v>656.0</v>
      </c>
      <c r="K927" s="17" t="str">
        <f>IFERROR(__xludf.DUMMYFUNCTION("""COMPUTED_VALUE"""),"KNOWZA Electric Handheld Milk Wand Mixer Frother for Latte Coffee Hot Milk, Milk Frother for Coffee, Egg Beater, Hand Blender, Coffee Beater (BLACK COFFEE BEATER)")</f>
        <v>KNOWZA Electric Handheld Milk Wand Mixer Frother for Latte Coffee Hot Milk, Milk Frother for Coffee, Egg Beater, Hand Blender, Coffee Beater (BLACK COFFEE BEATER)</v>
      </c>
      <c r="L927" s="17" t="str">
        <f>IFERROR(__xludf.DUMMYFUNCTION("""COMPUTED_VALUE"""),"Home&amp;Kitchen|Kitchen&amp;HomeAppliances|SmallKitchenAppliances|HandBlenders")</f>
        <v>Home&amp;Kitchen|Kitchen&amp;HomeAppliances|SmallKitchenAppliances|HandBlenders</v>
      </c>
      <c r="M927" s="23">
        <f>IFERROR(__xludf.DUMMYFUNCTION("""COMPUTED_VALUE"""),426.0)</f>
        <v>426</v>
      </c>
      <c r="N927" s="23">
        <f>IFERROR(__xludf.DUMMYFUNCTION("""COMPUTED_VALUE"""),999.0)</f>
        <v>999</v>
      </c>
      <c r="O927" s="24">
        <f>IFERROR(__xludf.DUMMYFUNCTION("""COMPUTED_VALUE"""),0.57)</f>
        <v>0.57</v>
      </c>
      <c r="P927" s="17">
        <f>IFERROR(__xludf.DUMMYFUNCTION("""COMPUTED_VALUE"""),4.1)</f>
        <v>4.1</v>
      </c>
      <c r="Q927" s="17">
        <f>IFERROR(__xludf.DUMMYFUNCTION("""COMPUTED_VALUE"""),222.0)</f>
        <v>222</v>
      </c>
    </row>
    <row r="928">
      <c r="A928" s="7" t="s">
        <v>993</v>
      </c>
      <c r="B928" s="7" t="s">
        <v>709</v>
      </c>
      <c r="C928" s="8">
        <v>1199.0</v>
      </c>
      <c r="D928" s="8">
        <v>2999.0</v>
      </c>
      <c r="E928" s="19">
        <v>0.6</v>
      </c>
      <c r="F928" s="10">
        <v>4.1</v>
      </c>
      <c r="G928" s="11">
        <v>10725.0</v>
      </c>
      <c r="K928" s="17" t="str">
        <f>IFERROR(__xludf.DUMMYFUNCTION("""COMPUTED_VALUE"""),"USHA 1212 PTC with Adjustable Thermostat Fan Heater (Black/Brown, 1500-Watts).")</f>
        <v>USHA 1212 PTC with Adjustable Thermostat Fan Heater (Black/Brown, 1500-Watts).</v>
      </c>
      <c r="L928" s="17" t="str">
        <f>IFERROR(__xludf.DUMMYFUNCTION("""COMPUTED_VALUE"""),"Home&amp;Kitchen|Heating,Cooling&amp;AirQuality|RoomHeaters|ElectricHeaters")</f>
        <v>Home&amp;Kitchen|Heating,Cooling&amp;AirQuality|RoomHeaters|ElectricHeaters</v>
      </c>
      <c r="M928" s="23">
        <f>IFERROR(__xludf.DUMMYFUNCTION("""COMPUTED_VALUE"""),3487.77)</f>
        <v>3487.77</v>
      </c>
      <c r="N928" s="23">
        <f>IFERROR(__xludf.DUMMYFUNCTION("""COMPUTED_VALUE"""),4990.0)</f>
        <v>4990</v>
      </c>
      <c r="O928" s="24">
        <f>IFERROR(__xludf.DUMMYFUNCTION("""COMPUTED_VALUE"""),0.3)</f>
        <v>0.3</v>
      </c>
      <c r="P928" s="17">
        <f>IFERROR(__xludf.DUMMYFUNCTION("""COMPUTED_VALUE"""),4.1)</f>
        <v>4.1</v>
      </c>
      <c r="Q928" s="25">
        <f>IFERROR(__xludf.DUMMYFUNCTION("""COMPUTED_VALUE"""),1127.0)</f>
        <v>1127</v>
      </c>
    </row>
    <row r="929">
      <c r="A929" s="7" t="s">
        <v>994</v>
      </c>
      <c r="B929" s="7" t="s">
        <v>698</v>
      </c>
      <c r="C929" s="8">
        <v>397.0</v>
      </c>
      <c r="D929" s="8">
        <v>899.0</v>
      </c>
      <c r="E929" s="19">
        <v>0.56</v>
      </c>
      <c r="F929" s="10">
        <v>4.0</v>
      </c>
      <c r="G929" s="11">
        <v>3025.0</v>
      </c>
      <c r="K929" s="17" t="str">
        <f>IFERROR(__xludf.DUMMYFUNCTION("""COMPUTED_VALUE"""),"Philips HD9306/06 1.5-Litre Electric Kettle (Multicolor)")</f>
        <v>Philips HD9306/06 1.5-Litre Electric Kettle (Multicolor)</v>
      </c>
      <c r="L929" s="17" t="str">
        <f>IFERROR(__xludf.DUMMYFUNCTION("""COMPUTED_VALUE"""),"Home&amp;Kitchen|Kitchen&amp;HomeAppliances|SmallKitchenAppliances|Kettles&amp;HotWaterDispensers|ElectricKettles")</f>
        <v>Home&amp;Kitchen|Kitchen&amp;HomeAppliances|SmallKitchenAppliances|Kettles&amp;HotWaterDispensers|ElectricKettles</v>
      </c>
      <c r="M929" s="23">
        <f>IFERROR(__xludf.DUMMYFUNCTION("""COMPUTED_VALUE"""),2695.0)</f>
        <v>2695</v>
      </c>
      <c r="N929" s="23">
        <f>IFERROR(__xludf.DUMMYFUNCTION("""COMPUTED_VALUE"""),2695.0)</f>
        <v>2695</v>
      </c>
      <c r="O929" s="24">
        <f>IFERROR(__xludf.DUMMYFUNCTION("""COMPUTED_VALUE"""),0.0)</f>
        <v>0</v>
      </c>
      <c r="P929" s="17">
        <f>IFERROR(__xludf.DUMMYFUNCTION("""COMPUTED_VALUE"""),4.4)</f>
        <v>4.4</v>
      </c>
      <c r="Q929" s="25">
        <f>IFERROR(__xludf.DUMMYFUNCTION("""COMPUTED_VALUE"""),2518.0)</f>
        <v>2518</v>
      </c>
    </row>
    <row r="930">
      <c r="A930" s="7" t="s">
        <v>83</v>
      </c>
      <c r="B930" s="7" t="s">
        <v>15</v>
      </c>
      <c r="C930" s="8">
        <v>154.0</v>
      </c>
      <c r="D930" s="8">
        <v>349.0</v>
      </c>
      <c r="E930" s="19">
        <v>0.56</v>
      </c>
      <c r="F930" s="10">
        <v>4.3</v>
      </c>
      <c r="G930" s="11">
        <v>7064.0</v>
      </c>
      <c r="K930" s="17" t="str">
        <f>IFERROR(__xludf.DUMMYFUNCTION("""COMPUTED_VALUE"""),"Prestige Delight PRWO Electric Rice Cooker (1 L, White)")</f>
        <v>Prestige Delight PRWO Electric Rice Cooker (1 L, White)</v>
      </c>
      <c r="L930" s="17" t="str">
        <f>IFERROR(__xludf.DUMMYFUNCTION("""COMPUTED_VALUE"""),"Home&amp;Kitchen|Kitchen&amp;HomeAppliances|SmallKitchenAppliances|Rice&amp;PastaCookers")</f>
        <v>Home&amp;Kitchen|Kitchen&amp;HomeAppliances|SmallKitchenAppliances|Rice&amp;PastaCookers</v>
      </c>
      <c r="M930" s="23">
        <f>IFERROR(__xludf.DUMMYFUNCTION("""COMPUTED_VALUE"""),2280.0)</f>
        <v>2280</v>
      </c>
      <c r="N930" s="23">
        <f>IFERROR(__xludf.DUMMYFUNCTION("""COMPUTED_VALUE"""),3045.0)</f>
        <v>3045</v>
      </c>
      <c r="O930" s="24">
        <f>IFERROR(__xludf.DUMMYFUNCTION("""COMPUTED_VALUE"""),0.25)</f>
        <v>0.25</v>
      </c>
      <c r="P930" s="17">
        <f>IFERROR(__xludf.DUMMYFUNCTION("""COMPUTED_VALUE"""),4.1)</f>
        <v>4.1</v>
      </c>
      <c r="Q930" s="25">
        <f>IFERROR(__xludf.DUMMYFUNCTION("""COMPUTED_VALUE"""),4118.0)</f>
        <v>4118</v>
      </c>
    </row>
    <row r="931">
      <c r="A931" s="7" t="s">
        <v>995</v>
      </c>
      <c r="B931" s="7" t="s">
        <v>781</v>
      </c>
      <c r="C931" s="8">
        <v>699.0</v>
      </c>
      <c r="D931" s="8">
        <v>1490.0</v>
      </c>
      <c r="E931" s="19">
        <v>0.53</v>
      </c>
      <c r="F931" s="10">
        <v>4.0</v>
      </c>
      <c r="G931" s="11">
        <v>5736.0</v>
      </c>
      <c r="K931" s="17" t="str">
        <f>IFERROR(__xludf.DUMMYFUNCTION("""COMPUTED_VALUE"""),"Borosil Jumbo 1000-Watt Grill Sandwich Maker (Black)")</f>
        <v>Borosil Jumbo 1000-Watt Grill Sandwich Maker (Black)</v>
      </c>
      <c r="L931" s="17" t="str">
        <f>IFERROR(__xludf.DUMMYFUNCTION("""COMPUTED_VALUE"""),"Home&amp;Kitchen|Kitchen&amp;HomeAppliances|SmallKitchenAppliances|SandwichMakers")</f>
        <v>Home&amp;Kitchen|Kitchen&amp;HomeAppliances|SmallKitchenAppliances|SandwichMakers</v>
      </c>
      <c r="M931" s="23">
        <f>IFERROR(__xludf.DUMMYFUNCTION("""COMPUTED_VALUE"""),2863.0)</f>
        <v>2863</v>
      </c>
      <c r="N931" s="23">
        <f>IFERROR(__xludf.DUMMYFUNCTION("""COMPUTED_VALUE"""),3690.0)</f>
        <v>3690</v>
      </c>
      <c r="O931" s="24">
        <f>IFERROR(__xludf.DUMMYFUNCTION("""COMPUTED_VALUE"""),0.22)</f>
        <v>0.22</v>
      </c>
      <c r="P931" s="17">
        <f>IFERROR(__xludf.DUMMYFUNCTION("""COMPUTED_VALUE"""),4.3)</f>
        <v>4.3</v>
      </c>
      <c r="Q931" s="25">
        <f>IFERROR(__xludf.DUMMYFUNCTION("""COMPUTED_VALUE"""),6987.0)</f>
        <v>6987</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1">
    <mergeCell ref="I2:J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1611</v>
      </c>
      <c r="K2" s="23">
        <f t="array" ref="K2:K1466">D2:D1466-C2:C1446</f>
        <v>700</v>
      </c>
    </row>
    <row r="3">
      <c r="A3" s="7" t="s">
        <v>17</v>
      </c>
      <c r="B3" s="7" t="s">
        <v>15</v>
      </c>
      <c r="C3" s="8">
        <v>199.0</v>
      </c>
      <c r="D3" s="8">
        <v>349.0</v>
      </c>
      <c r="E3" s="19">
        <v>0.43</v>
      </c>
      <c r="F3" s="10">
        <v>4.0</v>
      </c>
      <c r="G3" s="11">
        <v>43994.0</v>
      </c>
      <c r="K3" s="23">
        <v>150.0</v>
      </c>
    </row>
    <row r="4">
      <c r="A4" s="7" t="s">
        <v>18</v>
      </c>
      <c r="B4" s="7" t="s">
        <v>15</v>
      </c>
      <c r="C4" s="8">
        <v>199.0</v>
      </c>
      <c r="D4" s="8">
        <v>1899.0</v>
      </c>
      <c r="E4" s="19">
        <v>0.9</v>
      </c>
      <c r="F4" s="10">
        <v>3.9</v>
      </c>
      <c r="G4" s="11">
        <v>7928.0</v>
      </c>
      <c r="K4" s="23">
        <v>1700.0</v>
      </c>
    </row>
    <row r="5">
      <c r="A5" s="7" t="s">
        <v>19</v>
      </c>
      <c r="B5" s="7" t="s">
        <v>15</v>
      </c>
      <c r="C5" s="8">
        <v>329.0</v>
      </c>
      <c r="D5" s="8">
        <v>699.0</v>
      </c>
      <c r="E5" s="19">
        <v>0.53</v>
      </c>
      <c r="F5" s="10">
        <v>4.2</v>
      </c>
      <c r="G5" s="11">
        <v>94363.0</v>
      </c>
      <c r="K5" s="23">
        <v>370.0</v>
      </c>
    </row>
    <row r="6">
      <c r="A6" s="7" t="s">
        <v>20</v>
      </c>
      <c r="B6" s="7" t="s">
        <v>15</v>
      </c>
      <c r="C6" s="8">
        <v>154.0</v>
      </c>
      <c r="D6" s="8">
        <v>399.0</v>
      </c>
      <c r="E6" s="19">
        <v>0.61</v>
      </c>
      <c r="F6" s="10">
        <v>4.2</v>
      </c>
      <c r="G6" s="11">
        <v>16905.0</v>
      </c>
      <c r="K6" s="23">
        <v>245.0</v>
      </c>
    </row>
    <row r="7">
      <c r="A7" s="7" t="s">
        <v>21</v>
      </c>
      <c r="B7" s="7" t="s">
        <v>15</v>
      </c>
      <c r="C7" s="8">
        <v>149.0</v>
      </c>
      <c r="D7" s="8">
        <v>1000.0</v>
      </c>
      <c r="E7" s="19">
        <v>0.85</v>
      </c>
      <c r="F7" s="10">
        <v>3.9</v>
      </c>
      <c r="G7" s="11">
        <v>24871.0</v>
      </c>
      <c r="K7" s="23">
        <v>851.0</v>
      </c>
    </row>
    <row r="8">
      <c r="A8" s="7" t="s">
        <v>22</v>
      </c>
      <c r="B8" s="7" t="s">
        <v>15</v>
      </c>
      <c r="C8" s="8">
        <v>176.63</v>
      </c>
      <c r="D8" s="8">
        <v>499.0</v>
      </c>
      <c r="E8" s="19">
        <v>0.65</v>
      </c>
      <c r="F8" s="10">
        <v>4.1</v>
      </c>
      <c r="G8" s="11">
        <v>15188.0</v>
      </c>
      <c r="K8" s="23">
        <v>322.37</v>
      </c>
    </row>
    <row r="9">
      <c r="A9" s="7" t="s">
        <v>23</v>
      </c>
      <c r="B9" s="7" t="s">
        <v>15</v>
      </c>
      <c r="C9" s="8">
        <v>229.0</v>
      </c>
      <c r="D9" s="8">
        <v>299.0</v>
      </c>
      <c r="E9" s="19">
        <v>0.23</v>
      </c>
      <c r="F9" s="10">
        <v>4.3</v>
      </c>
      <c r="G9" s="11">
        <v>30411.0</v>
      </c>
      <c r="K9" s="23">
        <v>70.0</v>
      </c>
    </row>
    <row r="10">
      <c r="A10" s="7" t="s">
        <v>24</v>
      </c>
      <c r="B10" s="7" t="s">
        <v>25</v>
      </c>
      <c r="C10" s="8">
        <v>499.0</v>
      </c>
      <c r="D10" s="8">
        <v>999.0</v>
      </c>
      <c r="E10" s="19">
        <v>0.5</v>
      </c>
      <c r="F10" s="10">
        <v>4.2</v>
      </c>
      <c r="G10" s="7" t="s">
        <v>26</v>
      </c>
      <c r="K10" s="23">
        <v>500.0</v>
      </c>
    </row>
    <row r="11">
      <c r="A11" s="7" t="s">
        <v>27</v>
      </c>
      <c r="B11" s="7" t="s">
        <v>15</v>
      </c>
      <c r="C11" s="8">
        <v>199.0</v>
      </c>
      <c r="D11" s="8">
        <v>299.0</v>
      </c>
      <c r="E11" s="19">
        <v>0.33</v>
      </c>
      <c r="F11" s="10">
        <v>4.0</v>
      </c>
      <c r="G11" s="11">
        <v>43994.0</v>
      </c>
      <c r="K11" s="23">
        <v>100.0</v>
      </c>
    </row>
    <row r="12">
      <c r="A12" s="7" t="s">
        <v>28</v>
      </c>
      <c r="B12" s="7" t="s">
        <v>15</v>
      </c>
      <c r="C12" s="8">
        <v>154.0</v>
      </c>
      <c r="D12" s="8">
        <v>339.0</v>
      </c>
      <c r="E12" s="19">
        <v>0.55</v>
      </c>
      <c r="F12" s="10">
        <v>4.3</v>
      </c>
      <c r="G12" s="11">
        <v>13391.0</v>
      </c>
      <c r="K12" s="23">
        <v>185.0</v>
      </c>
    </row>
    <row r="13">
      <c r="A13" s="7" t="s">
        <v>29</v>
      </c>
      <c r="B13" s="7" t="s">
        <v>15</v>
      </c>
      <c r="C13" s="8">
        <v>299.0</v>
      </c>
      <c r="D13" s="8">
        <v>799.0</v>
      </c>
      <c r="E13" s="19">
        <v>0.63</v>
      </c>
      <c r="F13" s="10">
        <v>4.2</v>
      </c>
      <c r="G13" s="11">
        <v>94363.0</v>
      </c>
      <c r="K13" s="23">
        <v>500.0</v>
      </c>
    </row>
    <row r="14">
      <c r="A14" s="7" t="s">
        <v>30</v>
      </c>
      <c r="B14" s="7" t="s">
        <v>31</v>
      </c>
      <c r="C14" s="8">
        <v>219.0</v>
      </c>
      <c r="D14" s="8">
        <v>700.0</v>
      </c>
      <c r="E14" s="19">
        <v>0.69</v>
      </c>
      <c r="F14" s="10">
        <v>4.4</v>
      </c>
      <c r="G14" s="7" t="s">
        <v>32</v>
      </c>
      <c r="K14" s="23">
        <v>481.0</v>
      </c>
    </row>
    <row r="15">
      <c r="A15" s="7" t="s">
        <v>33</v>
      </c>
      <c r="B15" s="7" t="s">
        <v>15</v>
      </c>
      <c r="C15" s="8">
        <v>350.0</v>
      </c>
      <c r="D15" s="8">
        <v>899.0</v>
      </c>
      <c r="E15" s="19">
        <v>0.61</v>
      </c>
      <c r="F15" s="10">
        <v>4.2</v>
      </c>
      <c r="G15" s="11">
        <v>2262.0</v>
      </c>
      <c r="K15" s="23">
        <v>549.0</v>
      </c>
    </row>
    <row r="16">
      <c r="A16" s="7" t="s">
        <v>34</v>
      </c>
      <c r="B16" s="7" t="s">
        <v>15</v>
      </c>
      <c r="C16" s="8">
        <v>159.0</v>
      </c>
      <c r="D16" s="8">
        <v>399.0</v>
      </c>
      <c r="E16" s="19">
        <v>0.6</v>
      </c>
      <c r="F16" s="10">
        <v>4.1</v>
      </c>
      <c r="G16" s="11">
        <v>4768.0</v>
      </c>
      <c r="K16" s="23">
        <v>240.0</v>
      </c>
    </row>
    <row r="17">
      <c r="A17" s="7" t="s">
        <v>35</v>
      </c>
      <c r="B17" s="7" t="s">
        <v>15</v>
      </c>
      <c r="C17" s="8">
        <v>349.0</v>
      </c>
      <c r="D17" s="8">
        <v>399.0</v>
      </c>
      <c r="E17" s="19">
        <v>0.13</v>
      </c>
      <c r="F17" s="10">
        <v>4.4</v>
      </c>
      <c r="G17" s="11">
        <v>18757.0</v>
      </c>
      <c r="K17" s="23">
        <v>50.0</v>
      </c>
    </row>
    <row r="18">
      <c r="A18" s="7" t="s">
        <v>36</v>
      </c>
      <c r="B18" s="7" t="s">
        <v>37</v>
      </c>
      <c r="C18" s="8">
        <v>13999.0</v>
      </c>
      <c r="D18" s="8">
        <v>24999.0</v>
      </c>
      <c r="E18" s="19">
        <v>0.44</v>
      </c>
      <c r="F18" s="10">
        <v>4.2</v>
      </c>
      <c r="G18" s="11">
        <v>32840.0</v>
      </c>
      <c r="K18" s="23">
        <v>11000.0</v>
      </c>
    </row>
    <row r="19">
      <c r="A19" s="7" t="s">
        <v>38</v>
      </c>
      <c r="B19" s="7" t="s">
        <v>15</v>
      </c>
      <c r="C19" s="8">
        <v>249.0</v>
      </c>
      <c r="D19" s="8">
        <v>399.0</v>
      </c>
      <c r="E19" s="19">
        <v>0.38</v>
      </c>
      <c r="F19" s="10">
        <v>4.0</v>
      </c>
      <c r="G19" s="11">
        <v>43994.0</v>
      </c>
      <c r="K19" s="23">
        <v>150.0</v>
      </c>
    </row>
    <row r="20">
      <c r="A20" s="7" t="s">
        <v>39</v>
      </c>
      <c r="B20" s="7" t="s">
        <v>15</v>
      </c>
      <c r="C20" s="8">
        <v>199.0</v>
      </c>
      <c r="D20" s="8">
        <v>499.0</v>
      </c>
      <c r="E20" s="19">
        <v>0.6</v>
      </c>
      <c r="F20" s="10">
        <v>4.1</v>
      </c>
      <c r="G20" s="11">
        <v>13045.0</v>
      </c>
      <c r="K20" s="23">
        <v>300.0</v>
      </c>
    </row>
    <row r="21">
      <c r="A21" s="7" t="s">
        <v>40</v>
      </c>
      <c r="B21" s="7" t="s">
        <v>37</v>
      </c>
      <c r="C21" s="8">
        <v>13490.0</v>
      </c>
      <c r="D21" s="8">
        <v>21990.0</v>
      </c>
      <c r="E21" s="19">
        <v>0.39</v>
      </c>
      <c r="F21" s="10">
        <v>4.3</v>
      </c>
      <c r="G21" s="11">
        <v>11976.0</v>
      </c>
      <c r="K21" s="23">
        <v>8500.0</v>
      </c>
    </row>
    <row r="22">
      <c r="A22" s="7" t="s">
        <v>41</v>
      </c>
      <c r="B22" s="7" t="s">
        <v>15</v>
      </c>
      <c r="C22" s="8">
        <v>970.0</v>
      </c>
      <c r="D22" s="8">
        <v>1799.0</v>
      </c>
      <c r="E22" s="19">
        <v>0.46</v>
      </c>
      <c r="F22" s="10">
        <v>4.5</v>
      </c>
      <c r="G22" s="10">
        <v>815.0</v>
      </c>
      <c r="K22" s="23">
        <v>829.0</v>
      </c>
    </row>
    <row r="23">
      <c r="A23" s="7" t="s">
        <v>42</v>
      </c>
      <c r="B23" s="7" t="s">
        <v>31</v>
      </c>
      <c r="C23" s="8">
        <v>279.0</v>
      </c>
      <c r="D23" s="8">
        <v>499.0</v>
      </c>
      <c r="E23" s="19">
        <v>0.44</v>
      </c>
      <c r="F23" s="10">
        <v>3.7</v>
      </c>
      <c r="G23" s="11">
        <v>10962.0</v>
      </c>
      <c r="K23" s="23">
        <v>220.0</v>
      </c>
    </row>
    <row r="24">
      <c r="A24" s="7" t="s">
        <v>43</v>
      </c>
      <c r="B24" s="7" t="s">
        <v>37</v>
      </c>
      <c r="C24" s="8">
        <v>13490.0</v>
      </c>
      <c r="D24" s="8">
        <v>22900.0</v>
      </c>
      <c r="E24" s="19">
        <v>0.41</v>
      </c>
      <c r="F24" s="10">
        <v>4.3</v>
      </c>
      <c r="G24" s="11">
        <v>16299.0</v>
      </c>
      <c r="K24" s="23">
        <v>9410.0</v>
      </c>
    </row>
    <row r="25">
      <c r="A25" s="7" t="s">
        <v>44</v>
      </c>
      <c r="B25" s="7" t="s">
        <v>15</v>
      </c>
      <c r="C25" s="8">
        <v>59.0</v>
      </c>
      <c r="D25" s="8">
        <v>199.0</v>
      </c>
      <c r="E25" s="19">
        <v>0.7</v>
      </c>
      <c r="F25" s="10">
        <v>4.0</v>
      </c>
      <c r="G25" s="11">
        <v>9378.0</v>
      </c>
      <c r="K25" s="23">
        <v>140.0</v>
      </c>
    </row>
    <row r="26">
      <c r="A26" s="7" t="s">
        <v>45</v>
      </c>
      <c r="B26" s="7" t="s">
        <v>37</v>
      </c>
      <c r="C26" s="8">
        <v>11499.0</v>
      </c>
      <c r="D26" s="8">
        <v>19990.0</v>
      </c>
      <c r="E26" s="19">
        <v>0.42</v>
      </c>
      <c r="F26" s="10">
        <v>4.3</v>
      </c>
      <c r="G26" s="11">
        <v>4703.0</v>
      </c>
      <c r="K26" s="23">
        <v>8491.0</v>
      </c>
    </row>
    <row r="27">
      <c r="A27" s="7" t="s">
        <v>46</v>
      </c>
      <c r="B27" s="7" t="s">
        <v>31</v>
      </c>
      <c r="C27" s="8">
        <v>199.0</v>
      </c>
      <c r="D27" s="8">
        <v>699.0</v>
      </c>
      <c r="E27" s="19">
        <v>0.72</v>
      </c>
      <c r="F27" s="10">
        <v>4.2</v>
      </c>
      <c r="G27" s="11">
        <v>12153.0</v>
      </c>
      <c r="K27" s="23">
        <v>500.0</v>
      </c>
    </row>
    <row r="28">
      <c r="A28" s="7" t="s">
        <v>47</v>
      </c>
      <c r="B28" s="7" t="s">
        <v>37</v>
      </c>
      <c r="C28" s="8">
        <v>14999.0</v>
      </c>
      <c r="D28" s="8">
        <v>19999.0</v>
      </c>
      <c r="E28" s="19">
        <v>0.25</v>
      </c>
      <c r="F28" s="10">
        <v>4.2</v>
      </c>
      <c r="G28" s="11">
        <v>34899.0</v>
      </c>
      <c r="K28" s="23">
        <v>5000.0</v>
      </c>
    </row>
    <row r="29">
      <c r="A29" s="7" t="s">
        <v>48</v>
      </c>
      <c r="B29" s="7" t="s">
        <v>15</v>
      </c>
      <c r="C29" s="8">
        <v>299.0</v>
      </c>
      <c r="D29" s="8">
        <v>399.0</v>
      </c>
      <c r="E29" s="19">
        <v>0.25</v>
      </c>
      <c r="F29" s="10">
        <v>4.0</v>
      </c>
      <c r="G29" s="11">
        <v>2766.0</v>
      </c>
      <c r="K29" s="23">
        <v>100.0</v>
      </c>
    </row>
    <row r="30">
      <c r="A30" s="7" t="s">
        <v>49</v>
      </c>
      <c r="B30" s="7" t="s">
        <v>15</v>
      </c>
      <c r="C30" s="8">
        <v>970.0</v>
      </c>
      <c r="D30" s="8">
        <v>1999.0</v>
      </c>
      <c r="E30" s="19">
        <v>0.51</v>
      </c>
      <c r="F30" s="10">
        <v>4.4</v>
      </c>
      <c r="G30" s="10">
        <v>184.0</v>
      </c>
      <c r="K30" s="23">
        <v>1029.0</v>
      </c>
    </row>
    <row r="31">
      <c r="A31" s="7" t="s">
        <v>50</v>
      </c>
      <c r="B31" s="7" t="s">
        <v>15</v>
      </c>
      <c r="C31" s="8">
        <v>299.0</v>
      </c>
      <c r="D31" s="8">
        <v>999.0</v>
      </c>
      <c r="E31" s="19">
        <v>0.7</v>
      </c>
      <c r="F31" s="10">
        <v>4.3</v>
      </c>
      <c r="G31" s="11">
        <v>20850.0</v>
      </c>
      <c r="K31" s="23">
        <v>700.0</v>
      </c>
    </row>
    <row r="32">
      <c r="A32" s="7" t="s">
        <v>51</v>
      </c>
      <c r="B32" s="7" t="s">
        <v>15</v>
      </c>
      <c r="C32" s="8">
        <v>199.0</v>
      </c>
      <c r="D32" s="8">
        <v>750.0</v>
      </c>
      <c r="E32" s="19">
        <v>0.73</v>
      </c>
      <c r="F32" s="10">
        <v>4.5</v>
      </c>
      <c r="G32" s="11">
        <v>74976.0</v>
      </c>
      <c r="K32" s="23">
        <v>551.0</v>
      </c>
    </row>
    <row r="33">
      <c r="A33" s="7" t="s">
        <v>52</v>
      </c>
      <c r="B33" s="7" t="s">
        <v>15</v>
      </c>
      <c r="C33" s="8">
        <v>179.0</v>
      </c>
      <c r="D33" s="8">
        <v>499.0</v>
      </c>
      <c r="E33" s="19">
        <v>0.64</v>
      </c>
      <c r="F33" s="10">
        <v>4.0</v>
      </c>
      <c r="G33" s="11">
        <v>1934.0</v>
      </c>
      <c r="K33" s="23">
        <v>320.0</v>
      </c>
    </row>
    <row r="34">
      <c r="A34" s="7" t="s">
        <v>53</v>
      </c>
      <c r="B34" s="7" t="s">
        <v>15</v>
      </c>
      <c r="C34" s="8">
        <v>389.0</v>
      </c>
      <c r="D34" s="8">
        <v>1099.0</v>
      </c>
      <c r="E34" s="19">
        <v>0.65</v>
      </c>
      <c r="F34" s="10">
        <v>4.3</v>
      </c>
      <c r="G34" s="10">
        <v>974.0</v>
      </c>
      <c r="K34" s="23">
        <v>710.0</v>
      </c>
    </row>
    <row r="35">
      <c r="A35" s="7" t="s">
        <v>54</v>
      </c>
      <c r="B35" s="7" t="s">
        <v>15</v>
      </c>
      <c r="C35" s="8">
        <v>599.0</v>
      </c>
      <c r="D35" s="8">
        <v>599.0</v>
      </c>
      <c r="E35" s="19">
        <v>0.0</v>
      </c>
      <c r="F35" s="10">
        <v>4.3</v>
      </c>
      <c r="G35" s="10">
        <v>355.0</v>
      </c>
      <c r="K35" s="23">
        <v>0.0</v>
      </c>
    </row>
    <row r="36">
      <c r="A36" s="7" t="s">
        <v>55</v>
      </c>
      <c r="B36" s="7" t="s">
        <v>15</v>
      </c>
      <c r="C36" s="8">
        <v>199.0</v>
      </c>
      <c r="D36" s="8">
        <v>999.0</v>
      </c>
      <c r="E36" s="19">
        <v>0.8</v>
      </c>
      <c r="F36" s="10">
        <v>3.9</v>
      </c>
      <c r="G36" s="11">
        <v>1075.0</v>
      </c>
      <c r="K36" s="23">
        <v>800.0</v>
      </c>
    </row>
    <row r="37">
      <c r="A37" s="7" t="s">
        <v>56</v>
      </c>
      <c r="B37" s="7" t="s">
        <v>15</v>
      </c>
      <c r="C37" s="8">
        <v>99.0</v>
      </c>
      <c r="D37" s="8">
        <v>666.66</v>
      </c>
      <c r="E37" s="19">
        <v>0.85</v>
      </c>
      <c r="F37" s="10">
        <v>3.9</v>
      </c>
      <c r="G37" s="11">
        <v>24871.0</v>
      </c>
      <c r="K37" s="23">
        <v>567.66</v>
      </c>
    </row>
    <row r="38">
      <c r="A38" s="7" t="s">
        <v>57</v>
      </c>
      <c r="B38" s="7" t="s">
        <v>15</v>
      </c>
      <c r="C38" s="8">
        <v>899.0</v>
      </c>
      <c r="D38" s="8">
        <v>1900.0</v>
      </c>
      <c r="E38" s="19">
        <v>0.53</v>
      </c>
      <c r="F38" s="10">
        <v>4.4</v>
      </c>
      <c r="G38" s="11">
        <v>13552.0</v>
      </c>
      <c r="K38" s="23">
        <v>1001.0</v>
      </c>
    </row>
    <row r="39">
      <c r="A39" s="7" t="s">
        <v>58</v>
      </c>
      <c r="B39" s="7" t="s">
        <v>15</v>
      </c>
      <c r="C39" s="8">
        <v>199.0</v>
      </c>
      <c r="D39" s="8">
        <v>999.0</v>
      </c>
      <c r="E39" s="19">
        <v>0.8</v>
      </c>
      <c r="F39" s="10">
        <v>4.0</v>
      </c>
      <c r="G39" s="10">
        <v>576.0</v>
      </c>
      <c r="K39" s="23">
        <v>800.0</v>
      </c>
    </row>
    <row r="40">
      <c r="A40" s="7" t="s">
        <v>59</v>
      </c>
      <c r="B40" s="7" t="s">
        <v>37</v>
      </c>
      <c r="C40" s="8">
        <v>32999.0</v>
      </c>
      <c r="D40" s="8">
        <v>45999.0</v>
      </c>
      <c r="E40" s="19">
        <v>0.28</v>
      </c>
      <c r="F40" s="10">
        <v>4.2</v>
      </c>
      <c r="G40" s="11">
        <v>7298.0</v>
      </c>
      <c r="K40" s="23">
        <v>13000.0</v>
      </c>
    </row>
    <row r="41">
      <c r="A41" s="7" t="s">
        <v>60</v>
      </c>
      <c r="B41" s="7" t="s">
        <v>15</v>
      </c>
      <c r="C41" s="8">
        <v>970.0</v>
      </c>
      <c r="D41" s="8">
        <v>1999.0</v>
      </c>
      <c r="E41" s="19">
        <v>0.51</v>
      </c>
      <c r="F41" s="10">
        <v>4.2</v>
      </c>
      <c r="G41" s="10">
        <v>462.0</v>
      </c>
      <c r="K41" s="23">
        <v>1029.0</v>
      </c>
    </row>
    <row r="42">
      <c r="A42" s="7" t="s">
        <v>61</v>
      </c>
      <c r="B42" s="7" t="s">
        <v>15</v>
      </c>
      <c r="C42" s="8">
        <v>209.0</v>
      </c>
      <c r="D42" s="8">
        <v>695.0</v>
      </c>
      <c r="E42" s="19">
        <v>0.7</v>
      </c>
      <c r="F42" s="10">
        <v>4.5</v>
      </c>
      <c r="G42" s="7" t="s">
        <v>62</v>
      </c>
      <c r="K42" s="23">
        <v>486.0</v>
      </c>
    </row>
    <row r="43">
      <c r="A43" s="7" t="s">
        <v>63</v>
      </c>
      <c r="B43" s="7" t="s">
        <v>37</v>
      </c>
      <c r="C43" s="8">
        <v>19999.0</v>
      </c>
      <c r="D43" s="8">
        <v>34999.0</v>
      </c>
      <c r="E43" s="19">
        <v>0.43</v>
      </c>
      <c r="F43" s="10">
        <v>4.3</v>
      </c>
      <c r="G43" s="11">
        <v>27151.0</v>
      </c>
      <c r="K43" s="23">
        <v>15000.0</v>
      </c>
    </row>
    <row r="44">
      <c r="A44" s="7" t="s">
        <v>64</v>
      </c>
      <c r="B44" s="7" t="s">
        <v>15</v>
      </c>
      <c r="C44" s="8">
        <v>399.0</v>
      </c>
      <c r="D44" s="8">
        <v>1099.0</v>
      </c>
      <c r="E44" s="19">
        <v>0.64</v>
      </c>
      <c r="F44" s="10">
        <v>4.2</v>
      </c>
      <c r="G44" s="11">
        <v>24269.0</v>
      </c>
      <c r="K44" s="23">
        <v>700.0</v>
      </c>
    </row>
    <row r="45">
      <c r="A45" s="7" t="s">
        <v>65</v>
      </c>
      <c r="B45" s="7" t="s">
        <v>25</v>
      </c>
      <c r="C45" s="8">
        <v>999.0</v>
      </c>
      <c r="D45" s="8">
        <v>1599.0</v>
      </c>
      <c r="E45" s="19">
        <v>0.38</v>
      </c>
      <c r="F45" s="10">
        <v>4.3</v>
      </c>
      <c r="G45" s="11">
        <v>12093.0</v>
      </c>
      <c r="K45" s="23">
        <v>600.0</v>
      </c>
    </row>
    <row r="46">
      <c r="A46" s="7" t="s">
        <v>66</v>
      </c>
      <c r="B46" s="7" t="s">
        <v>15</v>
      </c>
      <c r="C46" s="8">
        <v>59.0</v>
      </c>
      <c r="D46" s="8">
        <v>199.0</v>
      </c>
      <c r="E46" s="19">
        <v>0.7</v>
      </c>
      <c r="F46" s="10">
        <v>4.0</v>
      </c>
      <c r="G46" s="11">
        <v>9378.0</v>
      </c>
      <c r="K46" s="23">
        <v>140.0</v>
      </c>
    </row>
    <row r="47">
      <c r="A47" s="7" t="s">
        <v>67</v>
      </c>
      <c r="B47" s="7" t="s">
        <v>15</v>
      </c>
      <c r="C47" s="8">
        <v>333.0</v>
      </c>
      <c r="D47" s="8">
        <v>999.0</v>
      </c>
      <c r="E47" s="19">
        <v>0.67</v>
      </c>
      <c r="F47" s="10">
        <v>3.3</v>
      </c>
      <c r="G47" s="11">
        <v>9792.0</v>
      </c>
      <c r="K47" s="23">
        <v>666.0</v>
      </c>
    </row>
    <row r="48">
      <c r="A48" s="7" t="s">
        <v>68</v>
      </c>
      <c r="B48" s="7" t="s">
        <v>25</v>
      </c>
      <c r="C48" s="8">
        <v>507.0</v>
      </c>
      <c r="D48" s="8">
        <v>1208.0</v>
      </c>
      <c r="E48" s="19">
        <v>0.58</v>
      </c>
      <c r="F48" s="10">
        <v>4.1</v>
      </c>
      <c r="G48" s="11">
        <v>8131.0</v>
      </c>
      <c r="K48" s="23">
        <v>701.0</v>
      </c>
    </row>
    <row r="49">
      <c r="A49" s="7" t="s">
        <v>69</v>
      </c>
      <c r="B49" s="7" t="s">
        <v>31</v>
      </c>
      <c r="C49" s="8">
        <v>309.0</v>
      </c>
      <c r="D49" s="8">
        <v>475.0</v>
      </c>
      <c r="E49" s="19">
        <v>0.35</v>
      </c>
      <c r="F49" s="10">
        <v>4.4</v>
      </c>
      <c r="G49" s="7" t="s">
        <v>32</v>
      </c>
      <c r="K49" s="23">
        <v>166.0</v>
      </c>
    </row>
    <row r="50">
      <c r="A50" s="7" t="s">
        <v>70</v>
      </c>
      <c r="B50" s="7" t="s">
        <v>71</v>
      </c>
      <c r="C50" s="8">
        <v>399.0</v>
      </c>
      <c r="D50" s="8">
        <v>999.0</v>
      </c>
      <c r="E50" s="19">
        <v>0.6</v>
      </c>
      <c r="F50" s="10">
        <v>3.6</v>
      </c>
      <c r="G50" s="10">
        <v>493.0</v>
      </c>
      <c r="K50" s="23">
        <v>600.0</v>
      </c>
    </row>
    <row r="51">
      <c r="A51" s="7" t="s">
        <v>72</v>
      </c>
      <c r="B51" s="7" t="s">
        <v>15</v>
      </c>
      <c r="C51" s="8">
        <v>199.0</v>
      </c>
      <c r="D51" s="8">
        <v>395.0</v>
      </c>
      <c r="E51" s="19">
        <v>0.5</v>
      </c>
      <c r="F51" s="10">
        <v>4.2</v>
      </c>
      <c r="G51" s="11">
        <v>92595.0</v>
      </c>
      <c r="K51" s="23">
        <v>196.0</v>
      </c>
    </row>
    <row r="52">
      <c r="A52" s="7" t="s">
        <v>73</v>
      </c>
      <c r="B52" s="7" t="s">
        <v>25</v>
      </c>
      <c r="C52" s="8">
        <v>1199.0</v>
      </c>
      <c r="D52" s="8">
        <v>2199.0</v>
      </c>
      <c r="E52" s="19">
        <v>0.45</v>
      </c>
      <c r="F52" s="10">
        <v>4.4</v>
      </c>
      <c r="G52" s="11">
        <v>24780.0</v>
      </c>
      <c r="K52" s="23">
        <v>1000.0</v>
      </c>
    </row>
    <row r="53">
      <c r="A53" s="7" t="s">
        <v>74</v>
      </c>
      <c r="B53" s="7" t="s">
        <v>15</v>
      </c>
      <c r="C53" s="8">
        <v>179.0</v>
      </c>
      <c r="D53" s="8">
        <v>500.0</v>
      </c>
      <c r="E53" s="19">
        <v>0.64</v>
      </c>
      <c r="F53" s="10">
        <v>4.2</v>
      </c>
      <c r="G53" s="11">
        <v>92595.0</v>
      </c>
      <c r="K53" s="23">
        <v>321.0</v>
      </c>
    </row>
    <row r="54">
      <c r="A54" s="7" t="s">
        <v>75</v>
      </c>
      <c r="B54" s="7" t="s">
        <v>15</v>
      </c>
      <c r="C54" s="8">
        <v>799.0</v>
      </c>
      <c r="D54" s="8">
        <v>2100.0</v>
      </c>
      <c r="E54" s="19">
        <v>0.62</v>
      </c>
      <c r="F54" s="10">
        <v>4.3</v>
      </c>
      <c r="G54" s="11">
        <v>8188.0</v>
      </c>
      <c r="K54" s="23">
        <v>1301.0</v>
      </c>
    </row>
    <row r="55">
      <c r="A55" s="7" t="s">
        <v>76</v>
      </c>
      <c r="B55" s="7" t="s">
        <v>77</v>
      </c>
      <c r="C55" s="8">
        <v>6999.0</v>
      </c>
      <c r="D55" s="8">
        <v>12999.0</v>
      </c>
      <c r="E55" s="19">
        <v>0.46</v>
      </c>
      <c r="F55" s="10">
        <v>4.2</v>
      </c>
      <c r="G55" s="11">
        <v>4003.0</v>
      </c>
      <c r="K55" s="23">
        <v>6000.0</v>
      </c>
    </row>
    <row r="56">
      <c r="A56" s="7" t="s">
        <v>78</v>
      </c>
      <c r="B56" s="7" t="s">
        <v>15</v>
      </c>
      <c r="C56" s="8">
        <v>199.0</v>
      </c>
      <c r="D56" s="8">
        <v>349.0</v>
      </c>
      <c r="E56" s="19">
        <v>0.43</v>
      </c>
      <c r="F56" s="10">
        <v>4.1</v>
      </c>
      <c r="G56" s="10">
        <v>314.0</v>
      </c>
      <c r="K56" s="23">
        <v>150.0</v>
      </c>
    </row>
    <row r="57">
      <c r="A57" s="7" t="s">
        <v>79</v>
      </c>
      <c r="B57" s="7" t="s">
        <v>71</v>
      </c>
      <c r="C57" s="8">
        <v>230.0</v>
      </c>
      <c r="D57" s="8">
        <v>499.0</v>
      </c>
      <c r="E57" s="19">
        <v>0.54</v>
      </c>
      <c r="F57" s="10">
        <v>3.7</v>
      </c>
      <c r="G57" s="11">
        <v>2960.0</v>
      </c>
      <c r="K57" s="23">
        <v>269.0</v>
      </c>
    </row>
    <row r="58">
      <c r="A58" s="7" t="s">
        <v>80</v>
      </c>
      <c r="B58" s="7" t="s">
        <v>25</v>
      </c>
      <c r="C58" s="8">
        <v>649.0</v>
      </c>
      <c r="D58" s="8">
        <v>1399.0</v>
      </c>
      <c r="E58" s="19">
        <v>0.54</v>
      </c>
      <c r="F58" s="10">
        <v>4.2</v>
      </c>
      <c r="G58" s="7" t="s">
        <v>26</v>
      </c>
      <c r="K58" s="23">
        <v>750.0</v>
      </c>
    </row>
    <row r="59">
      <c r="A59" s="7" t="s">
        <v>81</v>
      </c>
      <c r="B59" s="7" t="s">
        <v>37</v>
      </c>
      <c r="C59" s="8">
        <v>15999.0</v>
      </c>
      <c r="D59" s="8">
        <v>21999.0</v>
      </c>
      <c r="E59" s="19">
        <v>0.27</v>
      </c>
      <c r="F59" s="10">
        <v>4.2</v>
      </c>
      <c r="G59" s="11">
        <v>34899.0</v>
      </c>
      <c r="K59" s="23">
        <v>6000.0</v>
      </c>
    </row>
    <row r="60">
      <c r="A60" s="7" t="s">
        <v>82</v>
      </c>
      <c r="B60" s="7" t="s">
        <v>15</v>
      </c>
      <c r="C60" s="8">
        <v>348.0</v>
      </c>
      <c r="D60" s="8">
        <v>1499.0</v>
      </c>
      <c r="E60" s="19">
        <v>0.77</v>
      </c>
      <c r="F60" s="10">
        <v>4.2</v>
      </c>
      <c r="G60" s="10">
        <v>656.0</v>
      </c>
      <c r="K60" s="23">
        <v>1151.0</v>
      </c>
    </row>
    <row r="61">
      <c r="A61" s="7" t="s">
        <v>83</v>
      </c>
      <c r="B61" s="7" t="s">
        <v>15</v>
      </c>
      <c r="C61" s="8">
        <v>154.0</v>
      </c>
      <c r="D61" s="8">
        <v>349.0</v>
      </c>
      <c r="E61" s="19">
        <v>0.56</v>
      </c>
      <c r="F61" s="10">
        <v>4.3</v>
      </c>
      <c r="G61" s="11">
        <v>7064.0</v>
      </c>
      <c r="K61" s="23">
        <v>195.0</v>
      </c>
    </row>
    <row r="62">
      <c r="A62" s="7" t="s">
        <v>84</v>
      </c>
      <c r="B62" s="7" t="s">
        <v>71</v>
      </c>
      <c r="C62" s="8">
        <v>179.0</v>
      </c>
      <c r="D62" s="8">
        <v>799.0</v>
      </c>
      <c r="E62" s="19">
        <v>0.78</v>
      </c>
      <c r="F62" s="10">
        <v>3.7</v>
      </c>
      <c r="G62" s="11">
        <v>2201.0</v>
      </c>
      <c r="K62" s="23">
        <v>620.0</v>
      </c>
    </row>
    <row r="63">
      <c r="A63" s="7" t="s">
        <v>85</v>
      </c>
      <c r="B63" s="7" t="s">
        <v>37</v>
      </c>
      <c r="C63" s="8">
        <v>32990.0</v>
      </c>
      <c r="D63" s="8">
        <v>47900.0</v>
      </c>
      <c r="E63" s="19">
        <v>0.31</v>
      </c>
      <c r="F63" s="10">
        <v>4.3</v>
      </c>
      <c r="G63" s="11">
        <v>7109.0</v>
      </c>
      <c r="K63" s="23">
        <v>14910.0</v>
      </c>
    </row>
    <row r="64">
      <c r="A64" s="7" t="s">
        <v>86</v>
      </c>
      <c r="B64" s="7" t="s">
        <v>15</v>
      </c>
      <c r="C64" s="8">
        <v>139.0</v>
      </c>
      <c r="D64" s="8">
        <v>999.0</v>
      </c>
      <c r="E64" s="19">
        <v>0.86</v>
      </c>
      <c r="F64" s="10">
        <v>4.0</v>
      </c>
      <c r="G64" s="11">
        <v>1313.0</v>
      </c>
      <c r="K64" s="23">
        <v>860.0</v>
      </c>
    </row>
    <row r="65">
      <c r="A65" s="7" t="s">
        <v>87</v>
      </c>
      <c r="B65" s="7" t="s">
        <v>15</v>
      </c>
      <c r="C65" s="8">
        <v>329.0</v>
      </c>
      <c r="D65" s="8">
        <v>845.0</v>
      </c>
      <c r="E65" s="19">
        <v>0.61</v>
      </c>
      <c r="F65" s="10">
        <v>4.2</v>
      </c>
      <c r="G65" s="11">
        <v>29746.0</v>
      </c>
      <c r="K65" s="23">
        <v>516.0</v>
      </c>
    </row>
    <row r="66">
      <c r="A66" s="7" t="s">
        <v>88</v>
      </c>
      <c r="B66" s="7" t="s">
        <v>37</v>
      </c>
      <c r="C66" s="8">
        <v>13999.0</v>
      </c>
      <c r="D66" s="8">
        <v>24999.0</v>
      </c>
      <c r="E66" s="19">
        <v>0.44</v>
      </c>
      <c r="F66" s="10">
        <v>4.2</v>
      </c>
      <c r="G66" s="11">
        <v>45238.0</v>
      </c>
      <c r="K66" s="23">
        <v>11000.0</v>
      </c>
    </row>
    <row r="67">
      <c r="A67" s="7" t="s">
        <v>89</v>
      </c>
      <c r="B67" s="7" t="s">
        <v>31</v>
      </c>
      <c r="C67" s="8">
        <v>309.0</v>
      </c>
      <c r="D67" s="8">
        <v>1400.0</v>
      </c>
      <c r="E67" s="19">
        <v>0.78</v>
      </c>
      <c r="F67" s="10">
        <v>4.4</v>
      </c>
      <c r="G67" s="7" t="s">
        <v>32</v>
      </c>
      <c r="K67" s="23">
        <v>1091.0</v>
      </c>
    </row>
    <row r="68">
      <c r="A68" s="7" t="s">
        <v>90</v>
      </c>
      <c r="B68" s="7" t="s">
        <v>15</v>
      </c>
      <c r="C68" s="8">
        <v>263.0</v>
      </c>
      <c r="D68" s="8">
        <v>699.0</v>
      </c>
      <c r="E68" s="19">
        <v>0.62</v>
      </c>
      <c r="F68" s="10">
        <v>4.1</v>
      </c>
      <c r="G68" s="10">
        <v>450.0</v>
      </c>
      <c r="K68" s="23">
        <v>436.0</v>
      </c>
    </row>
    <row r="69">
      <c r="A69" s="7" t="s">
        <v>91</v>
      </c>
      <c r="B69" s="7" t="s">
        <v>77</v>
      </c>
      <c r="C69" s="8">
        <v>7999.0</v>
      </c>
      <c r="D69" s="8">
        <v>14990.0</v>
      </c>
      <c r="E69" s="19">
        <v>0.47</v>
      </c>
      <c r="F69" s="10">
        <v>4.3</v>
      </c>
      <c r="G69" s="10">
        <v>457.0</v>
      </c>
      <c r="K69" s="23">
        <v>6991.0</v>
      </c>
    </row>
    <row r="70">
      <c r="A70" s="7" t="s">
        <v>92</v>
      </c>
      <c r="B70" s="7" t="s">
        <v>93</v>
      </c>
      <c r="C70" s="8">
        <v>1599.0</v>
      </c>
      <c r="D70" s="8">
        <v>2999.0</v>
      </c>
      <c r="E70" s="19">
        <v>0.47</v>
      </c>
      <c r="F70" s="10">
        <v>4.2</v>
      </c>
      <c r="G70" s="11">
        <v>2727.0</v>
      </c>
      <c r="K70" s="23">
        <v>1400.0</v>
      </c>
    </row>
    <row r="71">
      <c r="A71" s="7" t="s">
        <v>94</v>
      </c>
      <c r="B71" s="7" t="s">
        <v>15</v>
      </c>
      <c r="C71" s="8">
        <v>219.0</v>
      </c>
      <c r="D71" s="8">
        <v>700.0</v>
      </c>
      <c r="E71" s="19">
        <v>0.69</v>
      </c>
      <c r="F71" s="10">
        <v>4.3</v>
      </c>
      <c r="G71" s="11">
        <v>20053.0</v>
      </c>
      <c r="K71" s="23">
        <v>481.0</v>
      </c>
    </row>
    <row r="72">
      <c r="A72" s="7" t="s">
        <v>95</v>
      </c>
      <c r="B72" s="7" t="s">
        <v>15</v>
      </c>
      <c r="C72" s="8">
        <v>349.0</v>
      </c>
      <c r="D72" s="8">
        <v>899.0</v>
      </c>
      <c r="E72" s="19">
        <v>0.61</v>
      </c>
      <c r="F72" s="10">
        <v>4.5</v>
      </c>
      <c r="G72" s="10">
        <v>149.0</v>
      </c>
      <c r="K72" s="23">
        <v>550.0</v>
      </c>
    </row>
    <row r="73">
      <c r="A73" s="7" t="s">
        <v>96</v>
      </c>
      <c r="B73" s="7" t="s">
        <v>15</v>
      </c>
      <c r="C73" s="8">
        <v>349.0</v>
      </c>
      <c r="D73" s="8">
        <v>599.0</v>
      </c>
      <c r="E73" s="19">
        <v>0.42</v>
      </c>
      <c r="F73" s="10">
        <v>4.1</v>
      </c>
      <c r="G73" s="10">
        <v>210.0</v>
      </c>
      <c r="K73" s="23">
        <v>250.0</v>
      </c>
    </row>
    <row r="74">
      <c r="A74" s="7" t="s">
        <v>97</v>
      </c>
      <c r="B74" s="7" t="s">
        <v>37</v>
      </c>
      <c r="C74" s="8">
        <v>26999.0</v>
      </c>
      <c r="D74" s="8">
        <v>42999.0</v>
      </c>
      <c r="E74" s="19">
        <v>0.37</v>
      </c>
      <c r="F74" s="10">
        <v>4.2</v>
      </c>
      <c r="G74" s="11">
        <v>45238.0</v>
      </c>
      <c r="K74" s="23">
        <v>16000.0</v>
      </c>
    </row>
    <row r="75">
      <c r="A75" s="7" t="s">
        <v>98</v>
      </c>
      <c r="B75" s="7" t="s">
        <v>15</v>
      </c>
      <c r="C75" s="8">
        <v>115.0</v>
      </c>
      <c r="D75" s="8">
        <v>499.0</v>
      </c>
      <c r="E75" s="19">
        <v>0.77</v>
      </c>
      <c r="F75" s="10">
        <v>4.0</v>
      </c>
      <c r="G75" s="11">
        <v>7732.0</v>
      </c>
      <c r="K75" s="23">
        <v>384.0</v>
      </c>
    </row>
    <row r="76">
      <c r="A76" s="7" t="s">
        <v>99</v>
      </c>
      <c r="B76" s="7" t="s">
        <v>15</v>
      </c>
      <c r="C76" s="8">
        <v>399.0</v>
      </c>
      <c r="D76" s="8">
        <v>999.0</v>
      </c>
      <c r="E76" s="19">
        <v>0.6</v>
      </c>
      <c r="F76" s="10">
        <v>4.1</v>
      </c>
      <c r="G76" s="11">
        <v>1780.0</v>
      </c>
      <c r="K76" s="23">
        <v>600.0</v>
      </c>
    </row>
    <row r="77">
      <c r="A77" s="7" t="s">
        <v>100</v>
      </c>
      <c r="B77" s="7" t="s">
        <v>15</v>
      </c>
      <c r="C77" s="8">
        <v>199.0</v>
      </c>
      <c r="D77" s="8">
        <v>499.0</v>
      </c>
      <c r="E77" s="19">
        <v>0.6</v>
      </c>
      <c r="F77" s="10">
        <v>4.1</v>
      </c>
      <c r="G77" s="10">
        <v>602.0</v>
      </c>
      <c r="K77" s="23">
        <v>300.0</v>
      </c>
    </row>
    <row r="78">
      <c r="A78" s="7" t="s">
        <v>101</v>
      </c>
      <c r="B78" s="7" t="s">
        <v>15</v>
      </c>
      <c r="C78" s="8">
        <v>179.0</v>
      </c>
      <c r="D78" s="8">
        <v>399.0</v>
      </c>
      <c r="E78" s="19">
        <v>0.55</v>
      </c>
      <c r="F78" s="10">
        <v>4.0</v>
      </c>
      <c r="G78" s="11">
        <v>1423.0</v>
      </c>
      <c r="K78" s="23">
        <v>220.0</v>
      </c>
    </row>
    <row r="79">
      <c r="A79" s="7" t="s">
        <v>102</v>
      </c>
      <c r="B79" s="7" t="s">
        <v>37</v>
      </c>
      <c r="C79" s="8">
        <v>10901.0</v>
      </c>
      <c r="D79" s="8">
        <v>30990.0</v>
      </c>
      <c r="E79" s="19">
        <v>0.65</v>
      </c>
      <c r="F79" s="10">
        <v>4.1</v>
      </c>
      <c r="G79" s="10">
        <v>398.0</v>
      </c>
      <c r="K79" s="23">
        <v>20089.0</v>
      </c>
    </row>
    <row r="80">
      <c r="A80" s="7" t="s">
        <v>103</v>
      </c>
      <c r="B80" s="7" t="s">
        <v>15</v>
      </c>
      <c r="C80" s="8">
        <v>209.0</v>
      </c>
      <c r="D80" s="8">
        <v>499.0</v>
      </c>
      <c r="E80" s="19">
        <v>0.58</v>
      </c>
      <c r="F80" s="10">
        <v>3.9</v>
      </c>
      <c r="G80" s="10">
        <v>536.0</v>
      </c>
      <c r="K80" s="23">
        <v>290.0</v>
      </c>
    </row>
    <row r="81">
      <c r="A81" s="7" t="s">
        <v>104</v>
      </c>
      <c r="B81" s="7" t="s">
        <v>71</v>
      </c>
      <c r="C81" s="8">
        <v>1434.0</v>
      </c>
      <c r="D81" s="8">
        <v>3999.0</v>
      </c>
      <c r="E81" s="19">
        <v>0.64</v>
      </c>
      <c r="F81" s="10">
        <v>4.0</v>
      </c>
      <c r="G81" s="10">
        <v>32.0</v>
      </c>
      <c r="K81" s="23">
        <v>2565.0</v>
      </c>
    </row>
    <row r="82">
      <c r="A82" s="7" t="s">
        <v>105</v>
      </c>
      <c r="B82" s="7" t="s">
        <v>15</v>
      </c>
      <c r="C82" s="8">
        <v>399.0</v>
      </c>
      <c r="D82" s="8">
        <v>1099.0</v>
      </c>
      <c r="E82" s="19">
        <v>0.64</v>
      </c>
      <c r="F82" s="10">
        <v>4.2</v>
      </c>
      <c r="G82" s="11">
        <v>24269.0</v>
      </c>
      <c r="K82" s="23">
        <v>700.0</v>
      </c>
    </row>
    <row r="83">
      <c r="A83" s="7" t="s">
        <v>106</v>
      </c>
      <c r="B83" s="7" t="s">
        <v>15</v>
      </c>
      <c r="C83" s="8">
        <v>139.0</v>
      </c>
      <c r="D83" s="8">
        <v>249.0</v>
      </c>
      <c r="E83" s="19">
        <v>0.44</v>
      </c>
      <c r="F83" s="10">
        <v>4.0</v>
      </c>
      <c r="G83" s="11">
        <v>9378.0</v>
      </c>
      <c r="K83" s="23">
        <v>110.0</v>
      </c>
    </row>
    <row r="84">
      <c r="A84" s="7" t="s">
        <v>107</v>
      </c>
      <c r="B84" s="7" t="s">
        <v>37</v>
      </c>
      <c r="C84" s="8">
        <v>7299.0</v>
      </c>
      <c r="D84" s="8">
        <v>19125.0</v>
      </c>
      <c r="E84" s="19">
        <v>0.62</v>
      </c>
      <c r="F84" s="10">
        <v>3.4</v>
      </c>
      <c r="G84" s="10">
        <v>902.0</v>
      </c>
      <c r="K84" s="23">
        <v>11826.0</v>
      </c>
    </row>
    <row r="85">
      <c r="A85" s="7" t="s">
        <v>108</v>
      </c>
      <c r="B85" s="7" t="s">
        <v>15</v>
      </c>
      <c r="C85" s="8">
        <v>299.0</v>
      </c>
      <c r="D85" s="8">
        <v>799.0</v>
      </c>
      <c r="E85" s="19">
        <v>0.63</v>
      </c>
      <c r="F85" s="10">
        <v>4.4</v>
      </c>
      <c r="G85" s="11">
        <v>28791.0</v>
      </c>
      <c r="K85" s="23">
        <v>500.0</v>
      </c>
    </row>
    <row r="86">
      <c r="A86" s="7" t="s">
        <v>109</v>
      </c>
      <c r="B86" s="7" t="s">
        <v>15</v>
      </c>
      <c r="C86" s="8">
        <v>325.0</v>
      </c>
      <c r="D86" s="8">
        <v>1299.0</v>
      </c>
      <c r="E86" s="19">
        <v>0.75</v>
      </c>
      <c r="F86" s="10">
        <v>4.2</v>
      </c>
      <c r="G86" s="11">
        <v>10576.0</v>
      </c>
      <c r="K86" s="23">
        <v>974.0</v>
      </c>
    </row>
    <row r="87">
      <c r="A87" s="7" t="s">
        <v>110</v>
      </c>
      <c r="B87" s="7" t="s">
        <v>37</v>
      </c>
      <c r="C87" s="8">
        <v>29999.0</v>
      </c>
      <c r="D87" s="8">
        <v>39999.0</v>
      </c>
      <c r="E87" s="19">
        <v>0.25</v>
      </c>
      <c r="F87" s="10">
        <v>4.2</v>
      </c>
      <c r="G87" s="11">
        <v>7298.0</v>
      </c>
      <c r="K87" s="23">
        <v>10000.0</v>
      </c>
    </row>
    <row r="88">
      <c r="A88" s="7" t="s">
        <v>111</v>
      </c>
      <c r="B88" s="7" t="s">
        <v>37</v>
      </c>
      <c r="C88" s="8">
        <v>27999.0</v>
      </c>
      <c r="D88" s="8">
        <v>40990.0</v>
      </c>
      <c r="E88" s="19">
        <v>0.32</v>
      </c>
      <c r="F88" s="10">
        <v>4.3</v>
      </c>
      <c r="G88" s="11">
        <v>4703.0</v>
      </c>
      <c r="K88" s="23">
        <v>12991.0</v>
      </c>
    </row>
    <row r="89">
      <c r="A89" s="7" t="s">
        <v>112</v>
      </c>
      <c r="B89" s="7" t="s">
        <v>37</v>
      </c>
      <c r="C89" s="8">
        <v>30990.0</v>
      </c>
      <c r="D89" s="8">
        <v>52900.0</v>
      </c>
      <c r="E89" s="19">
        <v>0.41</v>
      </c>
      <c r="F89" s="10">
        <v>4.3</v>
      </c>
      <c r="G89" s="11">
        <v>7109.0</v>
      </c>
      <c r="K89" s="23">
        <v>21910.0</v>
      </c>
    </row>
    <row r="90">
      <c r="A90" s="7" t="s">
        <v>113</v>
      </c>
      <c r="B90" s="7" t="s">
        <v>15</v>
      </c>
      <c r="C90" s="8">
        <v>199.0</v>
      </c>
      <c r="D90" s="8">
        <v>999.0</v>
      </c>
      <c r="E90" s="19">
        <v>0.8</v>
      </c>
      <c r="F90" s="10">
        <v>4.5</v>
      </c>
      <c r="G90" s="10">
        <v>127.0</v>
      </c>
      <c r="K90" s="23">
        <v>800.0</v>
      </c>
    </row>
    <row r="91">
      <c r="A91" s="7" t="s">
        <v>114</v>
      </c>
      <c r="B91" s="7" t="s">
        <v>15</v>
      </c>
      <c r="C91" s="8">
        <v>649.0</v>
      </c>
      <c r="D91" s="8">
        <v>1999.0</v>
      </c>
      <c r="E91" s="19">
        <v>0.68</v>
      </c>
      <c r="F91" s="10">
        <v>4.2</v>
      </c>
      <c r="G91" s="11">
        <v>24269.0</v>
      </c>
      <c r="K91" s="23">
        <v>1350.0</v>
      </c>
    </row>
    <row r="92">
      <c r="A92" s="7" t="s">
        <v>115</v>
      </c>
      <c r="B92" s="7" t="s">
        <v>25</v>
      </c>
      <c r="C92" s="8">
        <v>269.0</v>
      </c>
      <c r="D92" s="8">
        <v>800.0</v>
      </c>
      <c r="E92" s="19">
        <v>0.66</v>
      </c>
      <c r="F92" s="10">
        <v>3.6</v>
      </c>
      <c r="G92" s="11">
        <v>10134.0</v>
      </c>
      <c r="K92" s="23">
        <v>531.0</v>
      </c>
    </row>
    <row r="93">
      <c r="A93" s="7" t="s">
        <v>116</v>
      </c>
      <c r="B93" s="7" t="s">
        <v>37</v>
      </c>
      <c r="C93" s="8">
        <v>24999.0</v>
      </c>
      <c r="D93" s="8">
        <v>31999.0</v>
      </c>
      <c r="E93" s="19">
        <v>0.22</v>
      </c>
      <c r="F93" s="10">
        <v>4.2</v>
      </c>
      <c r="G93" s="11">
        <v>34899.0</v>
      </c>
      <c r="K93" s="23">
        <v>7000.0</v>
      </c>
    </row>
    <row r="94">
      <c r="A94" s="7" t="s">
        <v>117</v>
      </c>
      <c r="B94" s="7" t="s">
        <v>15</v>
      </c>
      <c r="C94" s="8">
        <v>299.0</v>
      </c>
      <c r="D94" s="8">
        <v>699.0</v>
      </c>
      <c r="E94" s="19">
        <v>0.57</v>
      </c>
      <c r="F94" s="10">
        <v>4.2</v>
      </c>
      <c r="G94" s="11">
        <v>94363.0</v>
      </c>
      <c r="K94" s="23">
        <v>400.0</v>
      </c>
    </row>
    <row r="95">
      <c r="A95" s="7" t="s">
        <v>118</v>
      </c>
      <c r="B95" s="7" t="s">
        <v>15</v>
      </c>
      <c r="C95" s="8">
        <v>199.0</v>
      </c>
      <c r="D95" s="8">
        <v>999.0</v>
      </c>
      <c r="E95" s="19">
        <v>0.8</v>
      </c>
      <c r="F95" s="10">
        <v>4.1</v>
      </c>
      <c r="G95" s="10">
        <v>425.0</v>
      </c>
      <c r="K95" s="23">
        <v>800.0</v>
      </c>
    </row>
    <row r="96">
      <c r="A96" s="7" t="s">
        <v>119</v>
      </c>
      <c r="B96" s="7" t="s">
        <v>37</v>
      </c>
      <c r="C96" s="8">
        <v>18990.0</v>
      </c>
      <c r="D96" s="8">
        <v>40990.0</v>
      </c>
      <c r="E96" s="19">
        <v>0.54</v>
      </c>
      <c r="F96" s="10">
        <v>4.2</v>
      </c>
      <c r="G96" s="11">
        <v>6659.0</v>
      </c>
      <c r="K96" s="23">
        <v>22000.0</v>
      </c>
    </row>
    <row r="97">
      <c r="A97" s="7" t="s">
        <v>120</v>
      </c>
      <c r="B97" s="7" t="s">
        <v>25</v>
      </c>
      <c r="C97" s="8">
        <v>290.0</v>
      </c>
      <c r="D97" s="8">
        <v>349.0</v>
      </c>
      <c r="E97" s="19">
        <v>0.17</v>
      </c>
      <c r="F97" s="10">
        <v>3.7</v>
      </c>
      <c r="G97" s="11">
        <v>1977.0</v>
      </c>
      <c r="K97" s="23">
        <v>59.0</v>
      </c>
    </row>
    <row r="98">
      <c r="A98" s="7" t="s">
        <v>121</v>
      </c>
      <c r="B98" s="7" t="s">
        <v>71</v>
      </c>
      <c r="C98" s="8">
        <v>249.0</v>
      </c>
      <c r="D98" s="8">
        <v>799.0</v>
      </c>
      <c r="E98" s="19">
        <v>0.69</v>
      </c>
      <c r="F98" s="10">
        <v>3.8</v>
      </c>
      <c r="G98" s="11">
        <v>1079.0</v>
      </c>
      <c r="K98" s="23">
        <v>550.0</v>
      </c>
    </row>
    <row r="99">
      <c r="A99" s="7" t="s">
        <v>122</v>
      </c>
      <c r="B99" s="7" t="s">
        <v>15</v>
      </c>
      <c r="C99" s="8">
        <v>345.0</v>
      </c>
      <c r="D99" s="8">
        <v>999.0</v>
      </c>
      <c r="E99" s="19">
        <v>0.65</v>
      </c>
      <c r="F99" s="10">
        <v>3.7</v>
      </c>
      <c r="G99" s="11">
        <v>1097.0</v>
      </c>
      <c r="K99" s="23">
        <v>654.0</v>
      </c>
    </row>
    <row r="100">
      <c r="A100" s="7" t="s">
        <v>123</v>
      </c>
      <c r="B100" s="7" t="s">
        <v>25</v>
      </c>
      <c r="C100" s="8">
        <v>1099.0</v>
      </c>
      <c r="D100" s="8">
        <v>1899.0</v>
      </c>
      <c r="E100" s="19">
        <v>0.42</v>
      </c>
      <c r="F100" s="10">
        <v>4.5</v>
      </c>
      <c r="G100" s="11">
        <v>22420.0</v>
      </c>
      <c r="K100" s="23">
        <v>800.0</v>
      </c>
    </row>
    <row r="101">
      <c r="A101" s="7" t="s">
        <v>124</v>
      </c>
      <c r="B101" s="7" t="s">
        <v>15</v>
      </c>
      <c r="C101" s="8">
        <v>719.0</v>
      </c>
      <c r="D101" s="8">
        <v>1499.0</v>
      </c>
      <c r="E101" s="19">
        <v>0.52</v>
      </c>
      <c r="F101" s="10">
        <v>4.1</v>
      </c>
      <c r="G101" s="11">
        <v>1045.0</v>
      </c>
      <c r="K101" s="23">
        <v>780.0</v>
      </c>
    </row>
    <row r="102">
      <c r="A102" s="7" t="s">
        <v>125</v>
      </c>
      <c r="B102" s="7" t="s">
        <v>71</v>
      </c>
      <c r="C102" s="8">
        <v>349.0</v>
      </c>
      <c r="D102" s="8">
        <v>1499.0</v>
      </c>
      <c r="E102" s="19">
        <v>0.77</v>
      </c>
      <c r="F102" s="10">
        <v>4.3</v>
      </c>
      <c r="G102" s="11">
        <v>4145.0</v>
      </c>
      <c r="K102" s="23">
        <v>1150.0</v>
      </c>
    </row>
    <row r="103">
      <c r="A103" s="7" t="s">
        <v>126</v>
      </c>
      <c r="B103" s="7" t="s">
        <v>15</v>
      </c>
      <c r="C103" s="8">
        <v>849.0</v>
      </c>
      <c r="D103" s="8">
        <v>1809.0</v>
      </c>
      <c r="E103" s="19">
        <v>0.53</v>
      </c>
      <c r="F103" s="10">
        <v>4.3</v>
      </c>
      <c r="G103" s="11">
        <v>6547.0</v>
      </c>
      <c r="K103" s="23">
        <v>960.0</v>
      </c>
    </row>
    <row r="104">
      <c r="A104" s="7" t="s">
        <v>127</v>
      </c>
      <c r="B104" s="7" t="s">
        <v>71</v>
      </c>
      <c r="C104" s="8">
        <v>299.0</v>
      </c>
      <c r="D104" s="8">
        <v>899.0</v>
      </c>
      <c r="E104" s="19">
        <v>0.67</v>
      </c>
      <c r="F104" s="10">
        <v>4.0</v>
      </c>
      <c r="G104" s="11">
        <v>1588.0</v>
      </c>
      <c r="K104" s="23">
        <v>600.0</v>
      </c>
    </row>
    <row r="105">
      <c r="A105" s="7" t="s">
        <v>128</v>
      </c>
      <c r="B105" s="7" t="s">
        <v>37</v>
      </c>
      <c r="C105" s="8">
        <v>21999.0</v>
      </c>
      <c r="D105" s="8">
        <v>29999.0</v>
      </c>
      <c r="E105" s="19">
        <v>0.27</v>
      </c>
      <c r="F105" s="10">
        <v>4.2</v>
      </c>
      <c r="G105" s="11">
        <v>32840.0</v>
      </c>
      <c r="K105" s="23">
        <v>8000.0</v>
      </c>
    </row>
    <row r="106">
      <c r="A106" s="7" t="s">
        <v>129</v>
      </c>
      <c r="B106" s="7" t="s">
        <v>15</v>
      </c>
      <c r="C106" s="8">
        <v>349.0</v>
      </c>
      <c r="D106" s="8">
        <v>999.0</v>
      </c>
      <c r="E106" s="19">
        <v>0.65</v>
      </c>
      <c r="F106" s="10">
        <v>4.2</v>
      </c>
      <c r="G106" s="11">
        <v>13120.0</v>
      </c>
      <c r="K106" s="23">
        <v>650.0</v>
      </c>
    </row>
    <row r="107">
      <c r="A107" s="7" t="s">
        <v>130</v>
      </c>
      <c r="B107" s="7" t="s">
        <v>15</v>
      </c>
      <c r="C107" s="8">
        <v>399.0</v>
      </c>
      <c r="D107" s="8">
        <v>999.0</v>
      </c>
      <c r="E107" s="19">
        <v>0.6</v>
      </c>
      <c r="F107" s="10">
        <v>4.3</v>
      </c>
      <c r="G107" s="11">
        <v>2806.0</v>
      </c>
      <c r="K107" s="23">
        <v>600.0</v>
      </c>
    </row>
    <row r="108">
      <c r="A108" s="7" t="s">
        <v>131</v>
      </c>
      <c r="B108" s="7" t="s">
        <v>15</v>
      </c>
      <c r="C108" s="8">
        <v>449.0</v>
      </c>
      <c r="D108" s="8">
        <v>1299.0</v>
      </c>
      <c r="E108" s="19">
        <v>0.65</v>
      </c>
      <c r="F108" s="10">
        <v>4.2</v>
      </c>
      <c r="G108" s="11">
        <v>24269.0</v>
      </c>
      <c r="K108" s="23">
        <v>850.0</v>
      </c>
    </row>
    <row r="109">
      <c r="A109" s="7" t="s">
        <v>132</v>
      </c>
      <c r="B109" s="7" t="s">
        <v>15</v>
      </c>
      <c r="C109" s="8">
        <v>299.0</v>
      </c>
      <c r="D109" s="8">
        <v>999.0</v>
      </c>
      <c r="E109" s="19">
        <v>0.7</v>
      </c>
      <c r="F109" s="10">
        <v>4.3</v>
      </c>
      <c r="G109" s="10">
        <v>766.0</v>
      </c>
      <c r="K109" s="23">
        <v>700.0</v>
      </c>
    </row>
    <row r="110">
      <c r="A110" s="7" t="s">
        <v>133</v>
      </c>
      <c r="B110" s="7" t="s">
        <v>37</v>
      </c>
      <c r="C110" s="8">
        <v>37999.0</v>
      </c>
      <c r="D110" s="8">
        <v>65000.0</v>
      </c>
      <c r="E110" s="19">
        <v>0.42</v>
      </c>
      <c r="F110" s="10">
        <v>4.3</v>
      </c>
      <c r="G110" s="11">
        <v>3587.0</v>
      </c>
      <c r="K110" s="23">
        <v>27001.0</v>
      </c>
    </row>
    <row r="111">
      <c r="A111" s="7" t="s">
        <v>134</v>
      </c>
      <c r="B111" s="7" t="s">
        <v>15</v>
      </c>
      <c r="C111" s="8">
        <v>99.0</v>
      </c>
      <c r="D111" s="8">
        <v>800.0</v>
      </c>
      <c r="E111" s="19">
        <v>0.88</v>
      </c>
      <c r="F111" s="10">
        <v>3.9</v>
      </c>
      <c r="G111" s="11">
        <v>24871.0</v>
      </c>
      <c r="K111" s="23">
        <v>701.0</v>
      </c>
    </row>
    <row r="112">
      <c r="A112" s="7" t="s">
        <v>135</v>
      </c>
      <c r="B112" s="7" t="s">
        <v>77</v>
      </c>
      <c r="C112" s="8">
        <v>7390.0</v>
      </c>
      <c r="D112" s="8">
        <v>20000.0</v>
      </c>
      <c r="E112" s="19">
        <v>0.63</v>
      </c>
      <c r="F112" s="10">
        <v>4.1</v>
      </c>
      <c r="G112" s="11">
        <v>2581.0</v>
      </c>
      <c r="K112" s="23">
        <v>12610.0</v>
      </c>
    </row>
    <row r="113">
      <c r="A113" s="7" t="s">
        <v>136</v>
      </c>
      <c r="B113" s="7" t="s">
        <v>15</v>
      </c>
      <c r="C113" s="8">
        <v>273.1</v>
      </c>
      <c r="D113" s="8">
        <v>999.0</v>
      </c>
      <c r="E113" s="19">
        <v>0.73</v>
      </c>
      <c r="F113" s="10">
        <v>4.3</v>
      </c>
      <c r="G113" s="11">
        <v>20850.0</v>
      </c>
      <c r="K113" s="23">
        <v>725.9</v>
      </c>
    </row>
    <row r="114">
      <c r="A114" s="7" t="s">
        <v>137</v>
      </c>
      <c r="B114" s="7" t="s">
        <v>37</v>
      </c>
      <c r="C114" s="8">
        <v>15990.0</v>
      </c>
      <c r="D114" s="8">
        <v>23990.0</v>
      </c>
      <c r="E114" s="19">
        <v>0.33</v>
      </c>
      <c r="F114" s="10">
        <v>4.3</v>
      </c>
      <c r="G114" s="11">
        <v>1035.0</v>
      </c>
      <c r="K114" s="23">
        <v>8000.0</v>
      </c>
    </row>
    <row r="115">
      <c r="A115" s="7" t="s">
        <v>138</v>
      </c>
      <c r="B115" s="7" t="s">
        <v>15</v>
      </c>
      <c r="C115" s="8">
        <v>399.0</v>
      </c>
      <c r="D115" s="8">
        <v>999.0</v>
      </c>
      <c r="E115" s="19">
        <v>0.6</v>
      </c>
      <c r="F115" s="10">
        <v>4.1</v>
      </c>
      <c r="G115" s="11">
        <v>1780.0</v>
      </c>
      <c r="K115" s="23">
        <v>600.0</v>
      </c>
    </row>
    <row r="116">
      <c r="A116" s="7" t="s">
        <v>139</v>
      </c>
      <c r="B116" s="7" t="s">
        <v>71</v>
      </c>
      <c r="C116" s="8">
        <v>399.0</v>
      </c>
      <c r="D116" s="8">
        <v>1999.0</v>
      </c>
      <c r="E116" s="19">
        <v>0.8</v>
      </c>
      <c r="F116" s="10">
        <v>4.5</v>
      </c>
      <c r="G116" s="10">
        <v>505.0</v>
      </c>
      <c r="K116" s="23">
        <v>1600.0</v>
      </c>
    </row>
    <row r="117">
      <c r="A117" s="7" t="s">
        <v>140</v>
      </c>
      <c r="B117" s="7" t="s">
        <v>15</v>
      </c>
      <c r="C117" s="8">
        <v>210.0</v>
      </c>
      <c r="D117" s="8">
        <v>399.0</v>
      </c>
      <c r="E117" s="19">
        <v>0.47</v>
      </c>
      <c r="F117" s="10">
        <v>4.1</v>
      </c>
      <c r="G117" s="11">
        <v>1717.0</v>
      </c>
      <c r="K117" s="23">
        <v>189.0</v>
      </c>
    </row>
    <row r="118">
      <c r="A118" s="7" t="s">
        <v>141</v>
      </c>
      <c r="B118" s="7" t="s">
        <v>71</v>
      </c>
      <c r="C118" s="8">
        <v>1299.0</v>
      </c>
      <c r="D118" s="8">
        <v>1999.0</v>
      </c>
      <c r="E118" s="19">
        <v>0.35</v>
      </c>
      <c r="F118" s="10">
        <v>3.6</v>
      </c>
      <c r="G118" s="10">
        <v>590.0</v>
      </c>
      <c r="K118" s="23">
        <v>700.0</v>
      </c>
    </row>
    <row r="119">
      <c r="A119" s="7" t="s">
        <v>142</v>
      </c>
      <c r="B119" s="7" t="s">
        <v>15</v>
      </c>
      <c r="C119" s="8">
        <v>347.0</v>
      </c>
      <c r="D119" s="8">
        <v>999.0</v>
      </c>
      <c r="E119" s="19">
        <v>0.65</v>
      </c>
      <c r="F119" s="10">
        <v>3.5</v>
      </c>
      <c r="G119" s="11">
        <v>1121.0</v>
      </c>
      <c r="K119" s="23">
        <v>652.0</v>
      </c>
    </row>
    <row r="120">
      <c r="A120" s="7" t="s">
        <v>143</v>
      </c>
      <c r="B120" s="7" t="s">
        <v>15</v>
      </c>
      <c r="C120" s="8">
        <v>149.0</v>
      </c>
      <c r="D120" s="8">
        <v>999.0</v>
      </c>
      <c r="E120" s="19">
        <v>0.85</v>
      </c>
      <c r="F120" s="10">
        <v>4.0</v>
      </c>
      <c r="G120" s="11">
        <v>1313.0</v>
      </c>
      <c r="K120" s="23">
        <v>850.0</v>
      </c>
    </row>
    <row r="121">
      <c r="A121" s="7" t="s">
        <v>144</v>
      </c>
      <c r="B121" s="7" t="s">
        <v>15</v>
      </c>
      <c r="C121" s="8">
        <v>228.0</v>
      </c>
      <c r="D121" s="8">
        <v>899.0</v>
      </c>
      <c r="E121" s="19">
        <v>0.75</v>
      </c>
      <c r="F121" s="10">
        <v>3.8</v>
      </c>
      <c r="G121" s="10">
        <v>132.0</v>
      </c>
      <c r="K121" s="23">
        <v>671.0</v>
      </c>
    </row>
    <row r="122">
      <c r="A122" s="7" t="s">
        <v>145</v>
      </c>
      <c r="B122" s="7" t="s">
        <v>15</v>
      </c>
      <c r="C122" s="8">
        <v>1599.0</v>
      </c>
      <c r="D122" s="8">
        <v>1999.0</v>
      </c>
      <c r="E122" s="19">
        <v>0.2</v>
      </c>
      <c r="F122" s="10">
        <v>4.4</v>
      </c>
      <c r="G122" s="11">
        <v>1951.0</v>
      </c>
      <c r="K122" s="23">
        <v>400.0</v>
      </c>
    </row>
    <row r="123">
      <c r="A123" s="7" t="s">
        <v>146</v>
      </c>
      <c r="B123" s="7" t="s">
        <v>71</v>
      </c>
      <c r="C123" s="8">
        <v>1499.0</v>
      </c>
      <c r="D123" s="8">
        <v>3999.0</v>
      </c>
      <c r="E123" s="19">
        <v>0.63</v>
      </c>
      <c r="F123" s="10">
        <v>3.7</v>
      </c>
      <c r="G123" s="10">
        <v>37.0</v>
      </c>
      <c r="K123" s="23">
        <v>2500.0</v>
      </c>
    </row>
    <row r="124">
      <c r="A124" s="7" t="s">
        <v>147</v>
      </c>
      <c r="B124" s="7" t="s">
        <v>37</v>
      </c>
      <c r="C124" s="8">
        <v>8499.0</v>
      </c>
      <c r="D124" s="8">
        <v>15999.0</v>
      </c>
      <c r="E124" s="19">
        <v>0.47</v>
      </c>
      <c r="F124" s="10">
        <v>4.3</v>
      </c>
      <c r="G124" s="10">
        <v>592.0</v>
      </c>
      <c r="K124" s="23">
        <v>7500.0</v>
      </c>
    </row>
    <row r="125">
      <c r="A125" s="7" t="s">
        <v>148</v>
      </c>
      <c r="B125" s="7" t="s">
        <v>37</v>
      </c>
      <c r="C125" s="8">
        <v>20990.0</v>
      </c>
      <c r="D125" s="8">
        <v>44990.0</v>
      </c>
      <c r="E125" s="19">
        <v>0.53</v>
      </c>
      <c r="F125" s="10">
        <v>4.1</v>
      </c>
      <c r="G125" s="11">
        <v>1259.0</v>
      </c>
      <c r="K125" s="23">
        <v>24000.0</v>
      </c>
    </row>
    <row r="126">
      <c r="A126" s="7" t="s">
        <v>149</v>
      </c>
      <c r="B126" s="7" t="s">
        <v>37</v>
      </c>
      <c r="C126" s="8">
        <v>32999.0</v>
      </c>
      <c r="D126" s="8">
        <v>44999.0</v>
      </c>
      <c r="E126" s="19">
        <v>0.27</v>
      </c>
      <c r="F126" s="10">
        <v>4.2</v>
      </c>
      <c r="G126" s="11">
        <v>45238.0</v>
      </c>
      <c r="K126" s="23">
        <v>12000.0</v>
      </c>
    </row>
    <row r="127">
      <c r="A127" s="7" t="s">
        <v>150</v>
      </c>
      <c r="B127" s="7" t="s">
        <v>31</v>
      </c>
      <c r="C127" s="8">
        <v>799.0</v>
      </c>
      <c r="D127" s="8">
        <v>1700.0</v>
      </c>
      <c r="E127" s="19">
        <v>0.53</v>
      </c>
      <c r="F127" s="10">
        <v>4.1</v>
      </c>
      <c r="G127" s="11">
        <v>28638.0</v>
      </c>
      <c r="K127" s="23">
        <v>901.0</v>
      </c>
    </row>
    <row r="128">
      <c r="A128" s="7" t="s">
        <v>151</v>
      </c>
      <c r="B128" s="7" t="s">
        <v>31</v>
      </c>
      <c r="C128" s="8">
        <v>229.0</v>
      </c>
      <c r="D128" s="8">
        <v>595.0</v>
      </c>
      <c r="E128" s="19">
        <v>0.62</v>
      </c>
      <c r="F128" s="10">
        <v>4.3</v>
      </c>
      <c r="G128" s="11">
        <v>12835.0</v>
      </c>
      <c r="K128" s="23">
        <v>366.0</v>
      </c>
    </row>
    <row r="129">
      <c r="A129" s="7" t="s">
        <v>152</v>
      </c>
      <c r="B129" s="7" t="s">
        <v>37</v>
      </c>
      <c r="C129" s="8">
        <v>9999.0</v>
      </c>
      <c r="D129" s="8">
        <v>27990.0</v>
      </c>
      <c r="E129" s="19">
        <v>0.64</v>
      </c>
      <c r="F129" s="10">
        <v>4.2</v>
      </c>
      <c r="G129" s="11">
        <v>1269.0</v>
      </c>
      <c r="K129" s="23">
        <v>17991.0</v>
      </c>
    </row>
    <row r="130">
      <c r="A130" s="7" t="s">
        <v>153</v>
      </c>
      <c r="B130" s="7" t="s">
        <v>71</v>
      </c>
      <c r="C130" s="8">
        <v>349.0</v>
      </c>
      <c r="D130" s="8">
        <v>599.0</v>
      </c>
      <c r="E130" s="19">
        <v>0.42</v>
      </c>
      <c r="F130" s="10">
        <v>4.2</v>
      </c>
      <c r="G130" s="10">
        <v>284.0</v>
      </c>
      <c r="K130" s="23">
        <v>250.0</v>
      </c>
    </row>
    <row r="131">
      <c r="A131" s="7" t="s">
        <v>154</v>
      </c>
      <c r="B131" s="7" t="s">
        <v>155</v>
      </c>
      <c r="C131" s="8">
        <v>489.0</v>
      </c>
      <c r="D131" s="8">
        <v>1200.0</v>
      </c>
      <c r="E131" s="19">
        <v>0.59</v>
      </c>
      <c r="F131" s="10">
        <v>4.4</v>
      </c>
      <c r="G131" s="11">
        <v>69538.0</v>
      </c>
      <c r="K131" s="23">
        <v>711.0</v>
      </c>
    </row>
    <row r="132">
      <c r="A132" s="7" t="s">
        <v>156</v>
      </c>
      <c r="B132" s="7" t="s">
        <v>37</v>
      </c>
      <c r="C132" s="8">
        <v>23999.0</v>
      </c>
      <c r="D132" s="8">
        <v>34990.0</v>
      </c>
      <c r="E132" s="19">
        <v>0.31</v>
      </c>
      <c r="F132" s="10">
        <v>4.3</v>
      </c>
      <c r="G132" s="11">
        <v>4703.0</v>
      </c>
      <c r="K132" s="23">
        <v>10991.0</v>
      </c>
    </row>
    <row r="133">
      <c r="A133" s="7" t="s">
        <v>157</v>
      </c>
      <c r="B133" s="7" t="s">
        <v>15</v>
      </c>
      <c r="C133" s="8">
        <v>399.0</v>
      </c>
      <c r="D133" s="8">
        <v>999.0</v>
      </c>
      <c r="E133" s="19">
        <v>0.6</v>
      </c>
      <c r="F133" s="10">
        <v>4.3</v>
      </c>
      <c r="G133" s="11">
        <v>2806.0</v>
      </c>
      <c r="K133" s="23">
        <v>600.0</v>
      </c>
    </row>
    <row r="134">
      <c r="A134" s="7" t="s">
        <v>158</v>
      </c>
      <c r="B134" s="7" t="s">
        <v>159</v>
      </c>
      <c r="C134" s="8">
        <v>349.0</v>
      </c>
      <c r="D134" s="8">
        <v>1299.0</v>
      </c>
      <c r="E134" s="19">
        <v>0.73</v>
      </c>
      <c r="F134" s="10">
        <v>4.0</v>
      </c>
      <c r="G134" s="11">
        <v>3295.0</v>
      </c>
      <c r="K134" s="23">
        <v>950.0</v>
      </c>
    </row>
    <row r="135">
      <c r="A135" s="7" t="s">
        <v>160</v>
      </c>
      <c r="B135" s="7" t="s">
        <v>15</v>
      </c>
      <c r="C135" s="8">
        <v>179.0</v>
      </c>
      <c r="D135" s="8">
        <v>299.0</v>
      </c>
      <c r="E135" s="19">
        <v>0.4</v>
      </c>
      <c r="F135" s="10">
        <v>3.9</v>
      </c>
      <c r="G135" s="10">
        <v>81.0</v>
      </c>
      <c r="K135" s="23">
        <v>120.0</v>
      </c>
    </row>
    <row r="136">
      <c r="A136" s="7" t="s">
        <v>161</v>
      </c>
      <c r="B136" s="7" t="s">
        <v>15</v>
      </c>
      <c r="C136" s="8">
        <v>689.0</v>
      </c>
      <c r="D136" s="8">
        <v>1500.0</v>
      </c>
      <c r="E136" s="19">
        <v>0.54</v>
      </c>
      <c r="F136" s="10">
        <v>4.2</v>
      </c>
      <c r="G136" s="11">
        <v>42301.0</v>
      </c>
      <c r="K136" s="23">
        <v>811.0</v>
      </c>
    </row>
    <row r="137">
      <c r="A137" s="7" t="s">
        <v>162</v>
      </c>
      <c r="B137" s="7" t="s">
        <v>37</v>
      </c>
      <c r="C137" s="8">
        <v>30990.0</v>
      </c>
      <c r="D137" s="8">
        <v>49990.0</v>
      </c>
      <c r="E137" s="19">
        <v>0.38</v>
      </c>
      <c r="F137" s="10">
        <v>4.3</v>
      </c>
      <c r="G137" s="11">
        <v>1376.0</v>
      </c>
      <c r="K137" s="23">
        <v>19000.0</v>
      </c>
    </row>
    <row r="138">
      <c r="A138" s="7" t="s">
        <v>163</v>
      </c>
      <c r="B138" s="7" t="s">
        <v>15</v>
      </c>
      <c r="C138" s="8">
        <v>249.0</v>
      </c>
      <c r="D138" s="8">
        <v>931.0</v>
      </c>
      <c r="E138" s="19">
        <v>0.73</v>
      </c>
      <c r="F138" s="10">
        <v>3.9</v>
      </c>
      <c r="G138" s="11">
        <v>1075.0</v>
      </c>
      <c r="K138" s="23">
        <v>682.0</v>
      </c>
    </row>
    <row r="139">
      <c r="A139" s="7" t="s">
        <v>164</v>
      </c>
      <c r="B139" s="7" t="s">
        <v>31</v>
      </c>
      <c r="C139" s="8">
        <v>999.0</v>
      </c>
      <c r="D139" s="8">
        <v>2399.0</v>
      </c>
      <c r="E139" s="19">
        <v>0.58</v>
      </c>
      <c r="F139" s="10">
        <v>4.6</v>
      </c>
      <c r="G139" s="11">
        <v>3664.0</v>
      </c>
      <c r="K139" s="23">
        <v>1400.0</v>
      </c>
    </row>
    <row r="140">
      <c r="A140" s="7" t="s">
        <v>165</v>
      </c>
      <c r="B140" s="7" t="s">
        <v>71</v>
      </c>
      <c r="C140" s="8">
        <v>399.0</v>
      </c>
      <c r="D140" s="8">
        <v>399.0</v>
      </c>
      <c r="E140" s="19">
        <v>0.0</v>
      </c>
      <c r="F140" s="10">
        <v>3.9</v>
      </c>
      <c r="G140" s="11">
        <v>1951.0</v>
      </c>
      <c r="K140" s="23">
        <v>0.0</v>
      </c>
    </row>
    <row r="141">
      <c r="A141" s="7" t="s">
        <v>166</v>
      </c>
      <c r="B141" s="7" t="s">
        <v>15</v>
      </c>
      <c r="C141" s="8">
        <v>349.0</v>
      </c>
      <c r="D141" s="8">
        <v>699.0</v>
      </c>
      <c r="E141" s="19">
        <v>0.5</v>
      </c>
      <c r="F141" s="10">
        <v>4.3</v>
      </c>
      <c r="G141" s="11">
        <v>20850.0</v>
      </c>
      <c r="K141" s="23">
        <v>350.0</v>
      </c>
    </row>
    <row r="142">
      <c r="A142" s="7" t="s">
        <v>167</v>
      </c>
      <c r="B142" s="7" t="s">
        <v>15</v>
      </c>
      <c r="C142" s="8">
        <v>399.0</v>
      </c>
      <c r="D142" s="8">
        <v>1099.0</v>
      </c>
      <c r="E142" s="19">
        <v>0.64</v>
      </c>
      <c r="F142" s="10">
        <v>4.1</v>
      </c>
      <c r="G142" s="11">
        <v>2685.0</v>
      </c>
      <c r="K142" s="23">
        <v>700.0</v>
      </c>
    </row>
    <row r="143">
      <c r="A143" s="7" t="s">
        <v>168</v>
      </c>
      <c r="B143" s="7" t="s">
        <v>25</v>
      </c>
      <c r="C143" s="8">
        <v>1699.0</v>
      </c>
      <c r="D143" s="8">
        <v>2999.0</v>
      </c>
      <c r="E143" s="19">
        <v>0.43</v>
      </c>
      <c r="F143" s="10">
        <v>4.4</v>
      </c>
      <c r="G143" s="11">
        <v>24780.0</v>
      </c>
      <c r="K143" s="23">
        <v>1300.0</v>
      </c>
    </row>
    <row r="144">
      <c r="A144" s="7" t="s">
        <v>169</v>
      </c>
      <c r="B144" s="7" t="s">
        <v>71</v>
      </c>
      <c r="C144" s="8">
        <v>655.0</v>
      </c>
      <c r="D144" s="8">
        <v>1099.0</v>
      </c>
      <c r="E144" s="19">
        <v>0.4</v>
      </c>
      <c r="F144" s="10">
        <v>3.2</v>
      </c>
      <c r="G144" s="10">
        <v>285.0</v>
      </c>
      <c r="K144" s="23">
        <v>444.0</v>
      </c>
    </row>
    <row r="145">
      <c r="A145" s="7" t="s">
        <v>170</v>
      </c>
      <c r="B145" s="7" t="s">
        <v>25</v>
      </c>
      <c r="C145" s="8">
        <v>749.0</v>
      </c>
      <c r="D145" s="8">
        <v>1339.0</v>
      </c>
      <c r="E145" s="19">
        <v>0.44</v>
      </c>
      <c r="F145" s="10">
        <v>4.2</v>
      </c>
      <c r="G145" s="7" t="s">
        <v>171</v>
      </c>
      <c r="K145" s="23">
        <v>590.0</v>
      </c>
    </row>
    <row r="146">
      <c r="A146" s="7" t="s">
        <v>172</v>
      </c>
      <c r="B146" s="7" t="s">
        <v>37</v>
      </c>
      <c r="C146" s="8">
        <v>9999.0</v>
      </c>
      <c r="D146" s="8">
        <v>12999.0</v>
      </c>
      <c r="E146" s="19">
        <v>0.23</v>
      </c>
      <c r="F146" s="10">
        <v>4.2</v>
      </c>
      <c r="G146" s="11">
        <v>6088.0</v>
      </c>
      <c r="K146" s="23">
        <v>3000.0</v>
      </c>
    </row>
    <row r="147">
      <c r="A147" s="7" t="s">
        <v>173</v>
      </c>
      <c r="B147" s="7" t="s">
        <v>71</v>
      </c>
      <c r="C147" s="8">
        <v>195.0</v>
      </c>
      <c r="D147" s="8">
        <v>499.0</v>
      </c>
      <c r="E147" s="19">
        <v>0.61</v>
      </c>
      <c r="F147" s="10">
        <v>3.7</v>
      </c>
      <c r="G147" s="11">
        <v>1383.0</v>
      </c>
      <c r="K147" s="23">
        <v>304.0</v>
      </c>
    </row>
    <row r="148">
      <c r="A148" s="7" t="s">
        <v>174</v>
      </c>
      <c r="B148" s="7" t="s">
        <v>15</v>
      </c>
      <c r="C148" s="8">
        <v>999.0</v>
      </c>
      <c r="D148" s="8">
        <v>2100.0</v>
      </c>
      <c r="E148" s="19">
        <v>0.52</v>
      </c>
      <c r="F148" s="10">
        <v>4.5</v>
      </c>
      <c r="G148" s="11">
        <v>5492.0</v>
      </c>
      <c r="K148" s="23">
        <v>1101.0</v>
      </c>
    </row>
    <row r="149">
      <c r="A149" s="7" t="s">
        <v>175</v>
      </c>
      <c r="B149" s="7" t="s">
        <v>15</v>
      </c>
      <c r="C149" s="8">
        <v>499.0</v>
      </c>
      <c r="D149" s="8">
        <v>899.0</v>
      </c>
      <c r="E149" s="19">
        <v>0.44</v>
      </c>
      <c r="F149" s="10">
        <v>4.2</v>
      </c>
      <c r="G149" s="10">
        <v>919.0</v>
      </c>
      <c r="K149" s="23">
        <v>400.0</v>
      </c>
    </row>
    <row r="150">
      <c r="A150" s="7" t="s">
        <v>176</v>
      </c>
      <c r="B150" s="7" t="s">
        <v>177</v>
      </c>
      <c r="C150" s="8">
        <v>416.0</v>
      </c>
      <c r="D150" s="8">
        <v>599.0</v>
      </c>
      <c r="E150" s="19">
        <v>0.31</v>
      </c>
      <c r="F150" s="10">
        <v>4.2</v>
      </c>
      <c r="G150" s="11">
        <v>30023.0</v>
      </c>
      <c r="K150" s="23">
        <v>183.0</v>
      </c>
    </row>
    <row r="151">
      <c r="A151" s="7" t="s">
        <v>178</v>
      </c>
      <c r="B151" s="7" t="s">
        <v>15</v>
      </c>
      <c r="C151" s="8">
        <v>368.0</v>
      </c>
      <c r="D151" s="8">
        <v>699.0</v>
      </c>
      <c r="E151" s="19">
        <v>0.47</v>
      </c>
      <c r="F151" s="10">
        <v>4.2</v>
      </c>
      <c r="G151" s="10">
        <v>387.0</v>
      </c>
      <c r="K151" s="23">
        <v>331.0</v>
      </c>
    </row>
    <row r="152">
      <c r="A152" s="7" t="s">
        <v>179</v>
      </c>
      <c r="B152" s="7" t="s">
        <v>37</v>
      </c>
      <c r="C152" s="8">
        <v>29990.0</v>
      </c>
      <c r="D152" s="8">
        <v>65000.0</v>
      </c>
      <c r="E152" s="19">
        <v>0.54</v>
      </c>
      <c r="F152" s="10">
        <v>4.1</v>
      </c>
      <c r="G152" s="10">
        <v>211.0</v>
      </c>
      <c r="K152" s="23">
        <v>35010.0</v>
      </c>
    </row>
    <row r="153">
      <c r="A153" s="7" t="s">
        <v>180</v>
      </c>
      <c r="B153" s="7" t="s">
        <v>15</v>
      </c>
      <c r="C153" s="8">
        <v>339.0</v>
      </c>
      <c r="D153" s="8">
        <v>1099.0</v>
      </c>
      <c r="E153" s="19">
        <v>0.69</v>
      </c>
      <c r="F153" s="10">
        <v>4.3</v>
      </c>
      <c r="G153" s="10">
        <v>974.0</v>
      </c>
      <c r="K153" s="23">
        <v>760.0</v>
      </c>
    </row>
    <row r="154">
      <c r="A154" s="7" t="s">
        <v>181</v>
      </c>
      <c r="B154" s="7" t="s">
        <v>37</v>
      </c>
      <c r="C154" s="8">
        <v>15490.0</v>
      </c>
      <c r="D154" s="8">
        <v>20900.0</v>
      </c>
      <c r="E154" s="19">
        <v>0.26</v>
      </c>
      <c r="F154" s="10">
        <v>4.3</v>
      </c>
      <c r="G154" s="11">
        <v>16299.0</v>
      </c>
      <c r="K154" s="23">
        <v>5410.0</v>
      </c>
    </row>
    <row r="155">
      <c r="A155" s="7" t="s">
        <v>182</v>
      </c>
      <c r="B155" s="7" t="s">
        <v>15</v>
      </c>
      <c r="C155" s="8">
        <v>499.0</v>
      </c>
      <c r="D155" s="8">
        <v>1299.0</v>
      </c>
      <c r="E155" s="19">
        <v>0.62</v>
      </c>
      <c r="F155" s="10">
        <v>4.3</v>
      </c>
      <c r="G155" s="11">
        <v>30411.0</v>
      </c>
      <c r="K155" s="23">
        <v>800.0</v>
      </c>
    </row>
    <row r="156">
      <c r="A156" s="7" t="s">
        <v>183</v>
      </c>
      <c r="B156" s="7" t="s">
        <v>25</v>
      </c>
      <c r="C156" s="8">
        <v>249.0</v>
      </c>
      <c r="D156" s="8">
        <v>399.0</v>
      </c>
      <c r="E156" s="19">
        <v>0.38</v>
      </c>
      <c r="F156" s="10">
        <v>3.4</v>
      </c>
      <c r="G156" s="11">
        <v>4642.0</v>
      </c>
      <c r="K156" s="23">
        <v>150.0</v>
      </c>
    </row>
    <row r="157">
      <c r="A157" s="7" t="s">
        <v>184</v>
      </c>
      <c r="B157" s="7" t="s">
        <v>71</v>
      </c>
      <c r="C157" s="8">
        <v>399.0</v>
      </c>
      <c r="D157" s="8">
        <v>799.0</v>
      </c>
      <c r="E157" s="19">
        <v>0.5</v>
      </c>
      <c r="F157" s="10">
        <v>4.3</v>
      </c>
      <c r="G157" s="10">
        <v>12.0</v>
      </c>
      <c r="K157" s="23">
        <v>400.0</v>
      </c>
    </row>
    <row r="158">
      <c r="A158" s="7" t="s">
        <v>185</v>
      </c>
      <c r="B158" s="7" t="s">
        <v>15</v>
      </c>
      <c r="C158" s="8">
        <v>1499.0</v>
      </c>
      <c r="D158" s="8">
        <v>1999.0</v>
      </c>
      <c r="E158" s="19">
        <v>0.25</v>
      </c>
      <c r="F158" s="10">
        <v>4.4</v>
      </c>
      <c r="G158" s="11">
        <v>1951.0</v>
      </c>
      <c r="K158" s="23">
        <v>500.0</v>
      </c>
    </row>
    <row r="159">
      <c r="A159" s="7" t="s">
        <v>186</v>
      </c>
      <c r="B159" s="7" t="s">
        <v>187</v>
      </c>
      <c r="C159" s="8">
        <v>9490.0</v>
      </c>
      <c r="D159" s="8">
        <v>15990.0</v>
      </c>
      <c r="E159" s="19">
        <v>0.41</v>
      </c>
      <c r="F159" s="10">
        <v>3.9</v>
      </c>
      <c r="G159" s="11">
        <v>10480.0</v>
      </c>
      <c r="K159" s="23">
        <v>6500.0</v>
      </c>
    </row>
    <row r="160">
      <c r="A160" s="7" t="s">
        <v>188</v>
      </c>
      <c r="B160" s="7" t="s">
        <v>31</v>
      </c>
      <c r="C160" s="8">
        <v>637.0</v>
      </c>
      <c r="D160" s="8">
        <v>1499.0</v>
      </c>
      <c r="E160" s="19">
        <v>0.58</v>
      </c>
      <c r="F160" s="10">
        <v>4.1</v>
      </c>
      <c r="G160" s="10">
        <v>24.0</v>
      </c>
      <c r="K160" s="23">
        <v>862.0</v>
      </c>
    </row>
    <row r="161">
      <c r="A161" s="7" t="s">
        <v>189</v>
      </c>
      <c r="B161" s="7" t="s">
        <v>71</v>
      </c>
      <c r="C161" s="8">
        <v>399.0</v>
      </c>
      <c r="D161" s="8">
        <v>899.0</v>
      </c>
      <c r="E161" s="19">
        <v>0.56</v>
      </c>
      <c r="F161" s="10">
        <v>3.9</v>
      </c>
      <c r="G161" s="10">
        <v>254.0</v>
      </c>
      <c r="K161" s="23">
        <v>500.0</v>
      </c>
    </row>
    <row r="162">
      <c r="A162" s="7" t="s">
        <v>190</v>
      </c>
      <c r="B162" s="7" t="s">
        <v>177</v>
      </c>
      <c r="C162" s="8">
        <v>1089.0</v>
      </c>
      <c r="D162" s="8">
        <v>1600.0</v>
      </c>
      <c r="E162" s="19">
        <v>0.32</v>
      </c>
      <c r="F162" s="10">
        <v>4.0</v>
      </c>
      <c r="G162" s="11">
        <v>3565.0</v>
      </c>
      <c r="K162" s="23">
        <v>511.0</v>
      </c>
    </row>
    <row r="163">
      <c r="A163" s="7" t="s">
        <v>191</v>
      </c>
      <c r="B163" s="7" t="s">
        <v>15</v>
      </c>
      <c r="C163" s="8">
        <v>339.0</v>
      </c>
      <c r="D163" s="8">
        <v>999.0</v>
      </c>
      <c r="E163" s="19">
        <v>0.66</v>
      </c>
      <c r="F163" s="10">
        <v>4.3</v>
      </c>
      <c r="G163" s="11">
        <v>6255.0</v>
      </c>
      <c r="K163" s="23">
        <v>660.0</v>
      </c>
    </row>
    <row r="164">
      <c r="A164" s="7" t="s">
        <v>192</v>
      </c>
      <c r="B164" s="7" t="s">
        <v>15</v>
      </c>
      <c r="C164" s="8">
        <v>149.0</v>
      </c>
      <c r="D164" s="8">
        <v>499.0</v>
      </c>
      <c r="E164" s="19">
        <v>0.7</v>
      </c>
      <c r="F164" s="10">
        <v>4.0</v>
      </c>
      <c r="G164" s="11">
        <v>7732.0</v>
      </c>
      <c r="K164" s="23">
        <v>350.0</v>
      </c>
    </row>
    <row r="165">
      <c r="A165" s="7" t="s">
        <v>193</v>
      </c>
      <c r="B165" s="7" t="s">
        <v>15</v>
      </c>
      <c r="C165" s="8">
        <v>149.0</v>
      </c>
      <c r="D165" s="8">
        <v>399.0</v>
      </c>
      <c r="E165" s="19">
        <v>0.63</v>
      </c>
      <c r="F165" s="10">
        <v>3.9</v>
      </c>
      <c r="G165" s="10">
        <v>57.0</v>
      </c>
      <c r="K165" s="23">
        <v>250.0</v>
      </c>
    </row>
    <row r="166">
      <c r="A166" s="7" t="s">
        <v>194</v>
      </c>
      <c r="B166" s="7" t="s">
        <v>15</v>
      </c>
      <c r="C166" s="8">
        <v>599.0</v>
      </c>
      <c r="D166" s="8">
        <v>849.0</v>
      </c>
      <c r="E166" s="19">
        <v>0.29</v>
      </c>
      <c r="F166" s="10">
        <v>4.5</v>
      </c>
      <c r="G166" s="10">
        <v>577.0</v>
      </c>
      <c r="K166" s="23">
        <v>250.0</v>
      </c>
    </row>
    <row r="167">
      <c r="A167" s="7" t="s">
        <v>195</v>
      </c>
      <c r="B167" s="7" t="s">
        <v>71</v>
      </c>
      <c r="C167" s="8">
        <v>299.0</v>
      </c>
      <c r="D167" s="8">
        <v>1199.0</v>
      </c>
      <c r="E167" s="19">
        <v>0.75</v>
      </c>
      <c r="F167" s="10">
        <v>3.9</v>
      </c>
      <c r="G167" s="11">
        <v>1193.0</v>
      </c>
      <c r="K167" s="23">
        <v>900.0</v>
      </c>
    </row>
    <row r="168">
      <c r="A168" s="7" t="s">
        <v>196</v>
      </c>
      <c r="B168" s="7" t="s">
        <v>15</v>
      </c>
      <c r="C168" s="8">
        <v>399.0</v>
      </c>
      <c r="D168" s="8">
        <v>1299.0</v>
      </c>
      <c r="E168" s="19">
        <v>0.69</v>
      </c>
      <c r="F168" s="10">
        <v>4.2</v>
      </c>
      <c r="G168" s="11">
        <v>13120.0</v>
      </c>
      <c r="K168" s="23">
        <v>900.0</v>
      </c>
    </row>
    <row r="169">
      <c r="A169" s="7" t="s">
        <v>197</v>
      </c>
      <c r="B169" s="7" t="s">
        <v>71</v>
      </c>
      <c r="C169" s="8">
        <v>339.0</v>
      </c>
      <c r="D169" s="8">
        <v>1999.0</v>
      </c>
      <c r="E169" s="19">
        <v>0.83</v>
      </c>
      <c r="F169" s="10">
        <v>4.0</v>
      </c>
      <c r="G169" s="10">
        <v>343.0</v>
      </c>
      <c r="K169" s="23">
        <v>1660.0</v>
      </c>
    </row>
    <row r="170">
      <c r="A170" s="7" t="s">
        <v>198</v>
      </c>
      <c r="B170" s="7" t="s">
        <v>37</v>
      </c>
      <c r="C170" s="8">
        <v>12499.0</v>
      </c>
      <c r="D170" s="8">
        <v>22990.0</v>
      </c>
      <c r="E170" s="19">
        <v>0.46</v>
      </c>
      <c r="F170" s="10">
        <v>4.3</v>
      </c>
      <c r="G170" s="11">
        <v>1611.0</v>
      </c>
      <c r="K170" s="23">
        <v>10491.0</v>
      </c>
    </row>
    <row r="171">
      <c r="A171" s="7" t="s">
        <v>199</v>
      </c>
      <c r="B171" s="7" t="s">
        <v>15</v>
      </c>
      <c r="C171" s="8">
        <v>249.0</v>
      </c>
      <c r="D171" s="8">
        <v>399.0</v>
      </c>
      <c r="E171" s="19">
        <v>0.38</v>
      </c>
      <c r="F171" s="10">
        <v>4.0</v>
      </c>
      <c r="G171" s="11">
        <v>6558.0</v>
      </c>
      <c r="K171" s="23">
        <v>150.0</v>
      </c>
    </row>
    <row r="172">
      <c r="A172" s="7" t="s">
        <v>200</v>
      </c>
      <c r="B172" s="7" t="s">
        <v>25</v>
      </c>
      <c r="C172" s="8">
        <v>1399.0</v>
      </c>
      <c r="D172" s="8">
        <v>2499.0</v>
      </c>
      <c r="E172" s="19">
        <v>0.44</v>
      </c>
      <c r="F172" s="10">
        <v>4.4</v>
      </c>
      <c r="G172" s="11">
        <v>23169.0</v>
      </c>
      <c r="K172" s="23">
        <v>1100.0</v>
      </c>
    </row>
    <row r="173">
      <c r="A173" s="7" t="s">
        <v>201</v>
      </c>
      <c r="B173" s="7" t="s">
        <v>37</v>
      </c>
      <c r="C173" s="8">
        <v>32999.0</v>
      </c>
      <c r="D173" s="8">
        <v>47990.0</v>
      </c>
      <c r="E173" s="19">
        <v>0.31</v>
      </c>
      <c r="F173" s="10">
        <v>4.3</v>
      </c>
      <c r="G173" s="11">
        <v>4703.0</v>
      </c>
      <c r="K173" s="23">
        <v>14991.0</v>
      </c>
    </row>
    <row r="174">
      <c r="A174" s="7" t="s">
        <v>202</v>
      </c>
      <c r="B174" s="7" t="s">
        <v>15</v>
      </c>
      <c r="C174" s="8">
        <v>149.0</v>
      </c>
      <c r="D174" s="8">
        <v>399.0</v>
      </c>
      <c r="E174" s="19">
        <v>0.63</v>
      </c>
      <c r="F174" s="10">
        <v>4.0</v>
      </c>
      <c r="G174" s="11">
        <v>1423.0</v>
      </c>
      <c r="K174" s="23">
        <v>250.0</v>
      </c>
    </row>
    <row r="175">
      <c r="A175" s="7" t="s">
        <v>203</v>
      </c>
      <c r="B175" s="7" t="s">
        <v>15</v>
      </c>
      <c r="C175" s="8">
        <v>325.0</v>
      </c>
      <c r="D175" s="8">
        <v>999.0</v>
      </c>
      <c r="E175" s="19">
        <v>0.67</v>
      </c>
      <c r="F175" s="10">
        <v>4.3</v>
      </c>
      <c r="G175" s="11">
        <v>2651.0</v>
      </c>
      <c r="K175" s="23">
        <v>674.0</v>
      </c>
    </row>
    <row r="176">
      <c r="A176" s="7" t="s">
        <v>204</v>
      </c>
      <c r="B176" s="7" t="s">
        <v>15</v>
      </c>
      <c r="C176" s="8">
        <v>399.0</v>
      </c>
      <c r="D176" s="8">
        <v>1999.0</v>
      </c>
      <c r="E176" s="19">
        <v>0.8</v>
      </c>
      <c r="F176" s="10">
        <v>5.0</v>
      </c>
      <c r="G176" s="10">
        <v>5.0</v>
      </c>
      <c r="K176" s="23">
        <v>1600.0</v>
      </c>
    </row>
    <row r="177">
      <c r="A177" s="7" t="s">
        <v>205</v>
      </c>
      <c r="B177" s="7" t="s">
        <v>25</v>
      </c>
      <c r="C177" s="8">
        <v>199.0</v>
      </c>
      <c r="D177" s="8">
        <v>499.0</v>
      </c>
      <c r="E177" s="19">
        <v>0.6</v>
      </c>
      <c r="F177" s="10">
        <v>3.7</v>
      </c>
      <c r="G177" s="10">
        <v>612.0</v>
      </c>
      <c r="K177" s="23">
        <v>300.0</v>
      </c>
    </row>
    <row r="178">
      <c r="A178" s="7" t="s">
        <v>206</v>
      </c>
      <c r="B178" s="7" t="s">
        <v>15</v>
      </c>
      <c r="C178" s="8">
        <v>88.0</v>
      </c>
      <c r="D178" s="8">
        <v>299.0</v>
      </c>
      <c r="E178" s="19">
        <v>0.71</v>
      </c>
      <c r="F178" s="10">
        <v>4.0</v>
      </c>
      <c r="G178" s="11">
        <v>9378.0</v>
      </c>
      <c r="K178" s="23">
        <v>211.0</v>
      </c>
    </row>
    <row r="179">
      <c r="A179" s="7" t="s">
        <v>207</v>
      </c>
      <c r="B179" s="7" t="s">
        <v>15</v>
      </c>
      <c r="C179" s="8">
        <v>399.0</v>
      </c>
      <c r="D179" s="8">
        <v>1099.0</v>
      </c>
      <c r="E179" s="19">
        <v>0.64</v>
      </c>
      <c r="F179" s="10">
        <v>4.1</v>
      </c>
      <c r="G179" s="11">
        <v>2685.0</v>
      </c>
      <c r="K179" s="23">
        <v>700.0</v>
      </c>
    </row>
    <row r="180">
      <c r="A180" s="7" t="s">
        <v>208</v>
      </c>
      <c r="B180" s="7" t="s">
        <v>15</v>
      </c>
      <c r="C180" s="8">
        <v>57.89</v>
      </c>
      <c r="D180" s="8">
        <v>199.0</v>
      </c>
      <c r="E180" s="19">
        <v>0.71</v>
      </c>
      <c r="F180" s="10">
        <v>4.0</v>
      </c>
      <c r="G180" s="11">
        <v>9378.0</v>
      </c>
      <c r="K180" s="23">
        <v>141.11</v>
      </c>
    </row>
    <row r="181">
      <c r="A181" s="7" t="s">
        <v>209</v>
      </c>
      <c r="B181" s="7" t="s">
        <v>71</v>
      </c>
      <c r="C181" s="8">
        <v>799.0</v>
      </c>
      <c r="D181" s="8">
        <v>1999.0</v>
      </c>
      <c r="E181" s="19">
        <v>0.6</v>
      </c>
      <c r="F181" s="10">
        <v>3.3</v>
      </c>
      <c r="G181" s="10">
        <v>576.0</v>
      </c>
      <c r="K181" s="23">
        <v>1200.0</v>
      </c>
    </row>
    <row r="182">
      <c r="A182" s="7" t="s">
        <v>210</v>
      </c>
      <c r="B182" s="7" t="s">
        <v>71</v>
      </c>
      <c r="C182" s="8">
        <v>205.0</v>
      </c>
      <c r="D182" s="8">
        <v>499.0</v>
      </c>
      <c r="E182" s="19">
        <v>0.59</v>
      </c>
      <c r="F182" s="10">
        <v>3.8</v>
      </c>
      <c r="G182" s="10">
        <v>313.0</v>
      </c>
      <c r="K182" s="23">
        <v>294.0</v>
      </c>
    </row>
    <row r="183">
      <c r="A183" s="7" t="s">
        <v>211</v>
      </c>
      <c r="B183" s="7" t="s">
        <v>15</v>
      </c>
      <c r="C183" s="8">
        <v>299.0</v>
      </c>
      <c r="D183" s="8">
        <v>699.0</v>
      </c>
      <c r="E183" s="19">
        <v>0.57</v>
      </c>
      <c r="F183" s="10">
        <v>4.1</v>
      </c>
      <c r="G183" s="11">
        <v>2957.0</v>
      </c>
      <c r="K183" s="23">
        <v>400.0</v>
      </c>
    </row>
    <row r="184">
      <c r="A184" s="7" t="s">
        <v>212</v>
      </c>
      <c r="B184" s="7" t="s">
        <v>15</v>
      </c>
      <c r="C184" s="8">
        <v>849.0</v>
      </c>
      <c r="D184" s="8">
        <v>999.0</v>
      </c>
      <c r="E184" s="19">
        <v>0.15</v>
      </c>
      <c r="F184" s="10">
        <v>4.1</v>
      </c>
      <c r="G184" s="11">
        <v>6736.0</v>
      </c>
      <c r="K184" s="23">
        <v>150.0</v>
      </c>
    </row>
    <row r="185">
      <c r="A185" s="7" t="s">
        <v>213</v>
      </c>
      <c r="B185" s="7" t="s">
        <v>15</v>
      </c>
      <c r="C185" s="8">
        <v>949.0</v>
      </c>
      <c r="D185" s="8">
        <v>1999.0</v>
      </c>
      <c r="E185" s="19">
        <v>0.53</v>
      </c>
      <c r="F185" s="10">
        <v>4.4</v>
      </c>
      <c r="G185" s="11">
        <v>13552.0</v>
      </c>
      <c r="K185" s="23">
        <v>1050.0</v>
      </c>
    </row>
    <row r="186">
      <c r="A186" s="7" t="s">
        <v>214</v>
      </c>
      <c r="B186" s="7" t="s">
        <v>15</v>
      </c>
      <c r="C186" s="8">
        <v>499.0</v>
      </c>
      <c r="D186" s="8">
        <v>1200.0</v>
      </c>
      <c r="E186" s="19">
        <v>0.58</v>
      </c>
      <c r="F186" s="10">
        <v>4.3</v>
      </c>
      <c r="G186" s="11">
        <v>5451.0</v>
      </c>
      <c r="K186" s="23">
        <v>701.0</v>
      </c>
    </row>
    <row r="187">
      <c r="A187" s="7" t="s">
        <v>215</v>
      </c>
      <c r="B187" s="7" t="s">
        <v>15</v>
      </c>
      <c r="C187" s="8">
        <v>299.0</v>
      </c>
      <c r="D187" s="8">
        <v>485.0</v>
      </c>
      <c r="E187" s="19">
        <v>0.38</v>
      </c>
      <c r="F187" s="10">
        <v>4.3</v>
      </c>
      <c r="G187" s="11">
        <v>10911.0</v>
      </c>
      <c r="K187" s="23">
        <v>186.0</v>
      </c>
    </row>
    <row r="188">
      <c r="A188" s="7" t="s">
        <v>216</v>
      </c>
      <c r="B188" s="7" t="s">
        <v>15</v>
      </c>
      <c r="C188" s="8">
        <v>949.0</v>
      </c>
      <c r="D188" s="8">
        <v>1999.0</v>
      </c>
      <c r="E188" s="19">
        <v>0.53</v>
      </c>
      <c r="F188" s="10">
        <v>4.4</v>
      </c>
      <c r="G188" s="11">
        <v>13552.0</v>
      </c>
      <c r="K188" s="23">
        <v>1050.0</v>
      </c>
    </row>
    <row r="189">
      <c r="A189" s="7" t="s">
        <v>217</v>
      </c>
      <c r="B189" s="7" t="s">
        <v>15</v>
      </c>
      <c r="C189" s="8">
        <v>379.0</v>
      </c>
      <c r="D189" s="8">
        <v>1099.0</v>
      </c>
      <c r="E189" s="19">
        <v>0.66</v>
      </c>
      <c r="F189" s="10">
        <v>4.3</v>
      </c>
      <c r="G189" s="11">
        <v>2806.0</v>
      </c>
      <c r="K189" s="23">
        <v>720.0</v>
      </c>
    </row>
    <row r="190">
      <c r="A190" s="7" t="s">
        <v>218</v>
      </c>
      <c r="B190" s="7" t="s">
        <v>37</v>
      </c>
      <c r="C190" s="8">
        <v>8990.0</v>
      </c>
      <c r="D190" s="8">
        <v>18990.0</v>
      </c>
      <c r="E190" s="19">
        <v>0.53</v>
      </c>
      <c r="F190" s="10">
        <v>3.9</v>
      </c>
      <c r="G190" s="10">
        <v>350.0</v>
      </c>
      <c r="K190" s="23">
        <v>10000.0</v>
      </c>
    </row>
    <row r="191">
      <c r="A191" s="7" t="s">
        <v>219</v>
      </c>
      <c r="B191" s="7" t="s">
        <v>177</v>
      </c>
      <c r="C191" s="8">
        <v>486.0</v>
      </c>
      <c r="D191" s="8">
        <v>1999.0</v>
      </c>
      <c r="E191" s="19">
        <v>0.76</v>
      </c>
      <c r="F191" s="10">
        <v>4.2</v>
      </c>
      <c r="G191" s="11">
        <v>30023.0</v>
      </c>
      <c r="K191" s="23">
        <v>1513.0</v>
      </c>
    </row>
    <row r="192">
      <c r="A192" s="7" t="s">
        <v>220</v>
      </c>
      <c r="B192" s="7" t="s">
        <v>77</v>
      </c>
      <c r="C192" s="8">
        <v>5699.0</v>
      </c>
      <c r="D192" s="8">
        <v>11000.0</v>
      </c>
      <c r="E192" s="19">
        <v>0.48</v>
      </c>
      <c r="F192" s="10">
        <v>4.2</v>
      </c>
      <c r="G192" s="11">
        <v>4003.0</v>
      </c>
      <c r="K192" s="23">
        <v>5301.0</v>
      </c>
    </row>
    <row r="193">
      <c r="A193" s="7" t="s">
        <v>221</v>
      </c>
      <c r="B193" s="7" t="s">
        <v>15</v>
      </c>
      <c r="C193" s="8">
        <v>709.0</v>
      </c>
      <c r="D193" s="8">
        <v>1999.0</v>
      </c>
      <c r="E193" s="19">
        <v>0.65</v>
      </c>
      <c r="F193" s="10">
        <v>4.1</v>
      </c>
      <c r="G193" s="7" t="s">
        <v>222</v>
      </c>
      <c r="K193" s="23">
        <v>1290.0</v>
      </c>
    </row>
    <row r="194">
      <c r="A194" s="7" t="s">
        <v>223</v>
      </c>
      <c r="B194" s="7" t="s">
        <v>37</v>
      </c>
      <c r="C194" s="8">
        <v>47990.0</v>
      </c>
      <c r="D194" s="8">
        <v>70900.0</v>
      </c>
      <c r="E194" s="19">
        <v>0.32</v>
      </c>
      <c r="F194" s="10">
        <v>4.3</v>
      </c>
      <c r="G194" s="11">
        <v>7109.0</v>
      </c>
      <c r="K194" s="23">
        <v>22910.0</v>
      </c>
    </row>
    <row r="195">
      <c r="A195" s="7" t="s">
        <v>224</v>
      </c>
      <c r="B195" s="7" t="s">
        <v>71</v>
      </c>
      <c r="C195" s="8">
        <v>299.0</v>
      </c>
      <c r="D195" s="8">
        <v>1199.0</v>
      </c>
      <c r="E195" s="19">
        <v>0.75</v>
      </c>
      <c r="F195" s="10">
        <v>3.7</v>
      </c>
      <c r="G195" s="10">
        <v>490.0</v>
      </c>
      <c r="K195" s="23">
        <v>900.0</v>
      </c>
    </row>
    <row r="196">
      <c r="A196" s="7" t="s">
        <v>225</v>
      </c>
      <c r="B196" s="7" t="s">
        <v>15</v>
      </c>
      <c r="C196" s="8">
        <v>320.0</v>
      </c>
      <c r="D196" s="8">
        <v>599.0</v>
      </c>
      <c r="E196" s="19">
        <v>0.47</v>
      </c>
      <c r="F196" s="10">
        <v>4.1</v>
      </c>
      <c r="G196" s="10">
        <v>491.0</v>
      </c>
      <c r="K196" s="23">
        <v>279.0</v>
      </c>
    </row>
    <row r="197">
      <c r="A197" s="7" t="s">
        <v>226</v>
      </c>
      <c r="B197" s="7" t="s">
        <v>15</v>
      </c>
      <c r="C197" s="8">
        <v>139.0</v>
      </c>
      <c r="D197" s="8">
        <v>549.0</v>
      </c>
      <c r="E197" s="19">
        <v>0.75</v>
      </c>
      <c r="F197" s="10">
        <v>3.9</v>
      </c>
      <c r="G197" s="10">
        <v>61.0</v>
      </c>
      <c r="K197" s="23">
        <v>410.0</v>
      </c>
    </row>
    <row r="198">
      <c r="A198" s="7" t="s">
        <v>227</v>
      </c>
      <c r="B198" s="7" t="s">
        <v>15</v>
      </c>
      <c r="C198" s="8">
        <v>129.0</v>
      </c>
      <c r="D198" s="8">
        <v>249.0</v>
      </c>
      <c r="E198" s="19">
        <v>0.48</v>
      </c>
      <c r="F198" s="10">
        <v>4.0</v>
      </c>
      <c r="G198" s="11">
        <v>9378.0</v>
      </c>
      <c r="K198" s="23">
        <v>120.0</v>
      </c>
    </row>
    <row r="199">
      <c r="A199" s="7" t="s">
        <v>228</v>
      </c>
      <c r="B199" s="7" t="s">
        <v>37</v>
      </c>
      <c r="C199" s="8">
        <v>24999.0</v>
      </c>
      <c r="D199" s="8">
        <v>35999.0</v>
      </c>
      <c r="E199" s="19">
        <v>0.31</v>
      </c>
      <c r="F199" s="10">
        <v>4.2</v>
      </c>
      <c r="G199" s="11">
        <v>32840.0</v>
      </c>
      <c r="K199" s="23">
        <v>11000.0</v>
      </c>
    </row>
    <row r="200">
      <c r="A200" s="7" t="s">
        <v>229</v>
      </c>
      <c r="B200" s="7" t="s">
        <v>15</v>
      </c>
      <c r="C200" s="8">
        <v>999.0</v>
      </c>
      <c r="D200" s="8">
        <v>1699.0</v>
      </c>
      <c r="E200" s="19">
        <v>0.41</v>
      </c>
      <c r="F200" s="10">
        <v>4.4</v>
      </c>
      <c r="G200" s="11">
        <v>7318.0</v>
      </c>
      <c r="K200" s="23">
        <v>700.0</v>
      </c>
    </row>
    <row r="201">
      <c r="A201" s="7" t="s">
        <v>230</v>
      </c>
      <c r="B201" s="7" t="s">
        <v>15</v>
      </c>
      <c r="C201" s="8">
        <v>225.0</v>
      </c>
      <c r="D201" s="8">
        <v>499.0</v>
      </c>
      <c r="E201" s="19">
        <v>0.55</v>
      </c>
      <c r="F201" s="10">
        <v>4.1</v>
      </c>
      <c r="G201" s="10">
        <v>789.0</v>
      </c>
      <c r="K201" s="23">
        <v>274.0</v>
      </c>
    </row>
    <row r="202">
      <c r="A202" s="7" t="s">
        <v>231</v>
      </c>
      <c r="B202" s="7" t="s">
        <v>71</v>
      </c>
      <c r="C202" s="8">
        <v>547.0</v>
      </c>
      <c r="D202" s="8">
        <v>2999.0</v>
      </c>
      <c r="E202" s="19">
        <v>0.82</v>
      </c>
      <c r="F202" s="10">
        <v>4.3</v>
      </c>
      <c r="G202" s="10">
        <v>407.0</v>
      </c>
      <c r="K202" s="23">
        <v>2452.0</v>
      </c>
    </row>
    <row r="203">
      <c r="A203" s="7" t="s">
        <v>232</v>
      </c>
      <c r="B203" s="7" t="s">
        <v>15</v>
      </c>
      <c r="C203" s="8">
        <v>259.0</v>
      </c>
      <c r="D203" s="8">
        <v>699.0</v>
      </c>
      <c r="E203" s="19">
        <v>0.63</v>
      </c>
      <c r="F203" s="10">
        <v>3.8</v>
      </c>
      <c r="G203" s="11">
        <v>2399.0</v>
      </c>
      <c r="K203" s="23">
        <v>440.0</v>
      </c>
    </row>
    <row r="204">
      <c r="A204" s="7" t="s">
        <v>233</v>
      </c>
      <c r="B204" s="7" t="s">
        <v>71</v>
      </c>
      <c r="C204" s="8">
        <v>239.0</v>
      </c>
      <c r="D204" s="8">
        <v>699.0</v>
      </c>
      <c r="E204" s="19">
        <v>0.66</v>
      </c>
      <c r="F204" s="10">
        <v>4.4</v>
      </c>
      <c r="G204" s="11">
        <v>2640.0</v>
      </c>
      <c r="K204" s="23">
        <v>460.0</v>
      </c>
    </row>
    <row r="205">
      <c r="A205" s="7" t="s">
        <v>234</v>
      </c>
      <c r="B205" s="7" t="s">
        <v>71</v>
      </c>
      <c r="C205" s="8">
        <v>349.0</v>
      </c>
      <c r="D205" s="8">
        <v>999.0</v>
      </c>
      <c r="E205" s="19">
        <v>0.65</v>
      </c>
      <c r="F205" s="10">
        <v>4.0</v>
      </c>
      <c r="G205" s="10">
        <v>839.0</v>
      </c>
      <c r="K205" s="23">
        <v>650.0</v>
      </c>
    </row>
    <row r="206">
      <c r="A206" s="7" t="s">
        <v>235</v>
      </c>
      <c r="B206" s="7" t="s">
        <v>31</v>
      </c>
      <c r="C206" s="8">
        <v>467.0</v>
      </c>
      <c r="D206" s="8">
        <v>599.0</v>
      </c>
      <c r="E206" s="19">
        <v>0.22</v>
      </c>
      <c r="F206" s="10">
        <v>4.4</v>
      </c>
      <c r="G206" s="11">
        <v>44054.0</v>
      </c>
      <c r="K206" s="23">
        <v>132.0</v>
      </c>
    </row>
    <row r="207">
      <c r="A207" s="7" t="s">
        <v>236</v>
      </c>
      <c r="B207" s="7" t="s">
        <v>15</v>
      </c>
      <c r="C207" s="8">
        <v>449.0</v>
      </c>
      <c r="D207" s="8">
        <v>599.0</v>
      </c>
      <c r="E207" s="19">
        <v>0.25</v>
      </c>
      <c r="F207" s="10">
        <v>4.0</v>
      </c>
      <c r="G207" s="11">
        <v>3231.0</v>
      </c>
      <c r="K207" s="23">
        <v>150.0</v>
      </c>
    </row>
    <row r="208">
      <c r="A208" s="7" t="s">
        <v>237</v>
      </c>
      <c r="B208" s="7" t="s">
        <v>37</v>
      </c>
      <c r="C208" s="8">
        <v>11990.0</v>
      </c>
      <c r="D208" s="8">
        <v>31990.0</v>
      </c>
      <c r="E208" s="19">
        <v>0.63</v>
      </c>
      <c r="F208" s="10">
        <v>4.2</v>
      </c>
      <c r="G208" s="10">
        <v>64.0</v>
      </c>
      <c r="K208" s="23">
        <v>20000.0</v>
      </c>
    </row>
    <row r="209">
      <c r="A209" s="7" t="s">
        <v>238</v>
      </c>
      <c r="B209" s="7" t="s">
        <v>15</v>
      </c>
      <c r="C209" s="8">
        <v>350.0</v>
      </c>
      <c r="D209" s="8">
        <v>599.0</v>
      </c>
      <c r="E209" s="19">
        <v>0.42</v>
      </c>
      <c r="F209" s="10">
        <v>3.9</v>
      </c>
      <c r="G209" s="11">
        <v>8314.0</v>
      </c>
      <c r="K209" s="23">
        <v>249.0</v>
      </c>
    </row>
    <row r="210">
      <c r="A210" s="7" t="s">
        <v>239</v>
      </c>
      <c r="B210" s="7" t="s">
        <v>15</v>
      </c>
      <c r="C210" s="8">
        <v>252.0</v>
      </c>
      <c r="D210" s="8">
        <v>999.0</v>
      </c>
      <c r="E210" s="19">
        <v>0.75</v>
      </c>
      <c r="F210" s="10">
        <v>3.7</v>
      </c>
      <c r="G210" s="11">
        <v>2249.0</v>
      </c>
      <c r="K210" s="23">
        <v>747.0</v>
      </c>
    </row>
    <row r="211">
      <c r="A211" s="7" t="s">
        <v>240</v>
      </c>
      <c r="B211" s="7" t="s">
        <v>71</v>
      </c>
      <c r="C211" s="8">
        <v>204.0</v>
      </c>
      <c r="D211" s="8">
        <v>599.0</v>
      </c>
      <c r="E211" s="19">
        <v>0.66</v>
      </c>
      <c r="F211" s="10">
        <v>3.6</v>
      </c>
      <c r="G211" s="10">
        <v>339.0</v>
      </c>
      <c r="K211" s="23">
        <v>395.0</v>
      </c>
    </row>
    <row r="212">
      <c r="A212" s="7" t="s">
        <v>241</v>
      </c>
      <c r="B212" s="7" t="s">
        <v>187</v>
      </c>
      <c r="C212" s="8">
        <v>6490.0</v>
      </c>
      <c r="D212" s="8">
        <v>9990.0</v>
      </c>
      <c r="E212" s="19">
        <v>0.35</v>
      </c>
      <c r="F212" s="10">
        <v>4.0</v>
      </c>
      <c r="G212" s="10">
        <v>27.0</v>
      </c>
      <c r="K212" s="23">
        <v>3500.0</v>
      </c>
    </row>
    <row r="213">
      <c r="A213" s="7" t="s">
        <v>242</v>
      </c>
      <c r="B213" s="7" t="s">
        <v>71</v>
      </c>
      <c r="C213" s="8">
        <v>235.0</v>
      </c>
      <c r="D213" s="8">
        <v>599.0</v>
      </c>
      <c r="E213" s="19">
        <v>0.61</v>
      </c>
      <c r="F213" s="10">
        <v>3.5</v>
      </c>
      <c r="G213" s="10">
        <v>197.0</v>
      </c>
      <c r="K213" s="23">
        <v>364.0</v>
      </c>
    </row>
    <row r="214">
      <c r="A214" s="7" t="s">
        <v>243</v>
      </c>
      <c r="B214" s="7" t="s">
        <v>15</v>
      </c>
      <c r="C214" s="8">
        <v>299.0</v>
      </c>
      <c r="D214" s="8">
        <v>800.0</v>
      </c>
      <c r="E214" s="19">
        <v>0.63</v>
      </c>
      <c r="F214" s="10">
        <v>4.5</v>
      </c>
      <c r="G214" s="11">
        <v>74977.0</v>
      </c>
      <c r="K214" s="23">
        <v>501.0</v>
      </c>
    </row>
    <row r="215">
      <c r="A215" s="7" t="s">
        <v>244</v>
      </c>
      <c r="B215" s="7" t="s">
        <v>15</v>
      </c>
      <c r="C215" s="8">
        <v>799.0</v>
      </c>
      <c r="D215" s="8">
        <v>1999.0</v>
      </c>
      <c r="E215" s="19">
        <v>0.6</v>
      </c>
      <c r="F215" s="10">
        <v>4.2</v>
      </c>
      <c r="G215" s="11">
        <v>8583.0</v>
      </c>
      <c r="K215" s="23">
        <v>1200.0</v>
      </c>
    </row>
    <row r="216">
      <c r="A216" s="7" t="s">
        <v>245</v>
      </c>
      <c r="B216" s="7" t="s">
        <v>71</v>
      </c>
      <c r="C216" s="8">
        <v>299.0</v>
      </c>
      <c r="D216" s="8">
        <v>999.0</v>
      </c>
      <c r="E216" s="19">
        <v>0.7</v>
      </c>
      <c r="F216" s="10">
        <v>3.8</v>
      </c>
      <c r="G216" s="10">
        <v>928.0</v>
      </c>
      <c r="K216" s="23">
        <v>700.0</v>
      </c>
    </row>
    <row r="217">
      <c r="A217" s="7" t="s">
        <v>246</v>
      </c>
      <c r="B217" s="7" t="s">
        <v>77</v>
      </c>
      <c r="C217" s="8">
        <v>6999.0</v>
      </c>
      <c r="D217" s="8">
        <v>16990.0</v>
      </c>
      <c r="E217" s="19">
        <v>0.59</v>
      </c>
      <c r="F217" s="10">
        <v>3.8</v>
      </c>
      <c r="G217" s="10">
        <v>110.0</v>
      </c>
      <c r="K217" s="23">
        <v>9991.0</v>
      </c>
    </row>
    <row r="218">
      <c r="A218" s="7" t="s">
        <v>247</v>
      </c>
      <c r="B218" s="7" t="s">
        <v>37</v>
      </c>
      <c r="C218" s="8">
        <v>42999.0</v>
      </c>
      <c r="D218" s="8">
        <v>59999.0</v>
      </c>
      <c r="E218" s="19">
        <v>0.28</v>
      </c>
      <c r="F218" s="10">
        <v>4.1</v>
      </c>
      <c r="G218" s="11">
        <v>6753.0</v>
      </c>
      <c r="K218" s="23">
        <v>17000.0</v>
      </c>
    </row>
    <row r="219">
      <c r="A219" s="7" t="s">
        <v>248</v>
      </c>
      <c r="B219" s="7" t="s">
        <v>31</v>
      </c>
      <c r="C219" s="8">
        <v>173.0</v>
      </c>
      <c r="D219" s="8">
        <v>999.0</v>
      </c>
      <c r="E219" s="19">
        <v>0.83</v>
      </c>
      <c r="F219" s="10">
        <v>4.3</v>
      </c>
      <c r="G219" s="11">
        <v>1237.0</v>
      </c>
      <c r="K219" s="23">
        <v>826.0</v>
      </c>
    </row>
    <row r="220">
      <c r="A220" s="7" t="s">
        <v>249</v>
      </c>
      <c r="B220" s="7" t="s">
        <v>250</v>
      </c>
      <c r="C220" s="8">
        <v>209.0</v>
      </c>
      <c r="D220" s="8">
        <v>600.0</v>
      </c>
      <c r="E220" s="19">
        <v>0.65</v>
      </c>
      <c r="F220" s="10">
        <v>4.4</v>
      </c>
      <c r="G220" s="11">
        <v>18872.0</v>
      </c>
      <c r="K220" s="23">
        <v>391.0</v>
      </c>
    </row>
    <row r="221">
      <c r="A221" s="7" t="s">
        <v>251</v>
      </c>
      <c r="B221" s="7" t="s">
        <v>15</v>
      </c>
      <c r="C221" s="8">
        <v>848.99</v>
      </c>
      <c r="D221" s="8">
        <v>1490.0</v>
      </c>
      <c r="E221" s="19">
        <v>0.43</v>
      </c>
      <c r="F221" s="10">
        <v>3.9</v>
      </c>
      <c r="G221" s="10">
        <v>356.0</v>
      </c>
      <c r="K221" s="23">
        <v>641.01</v>
      </c>
    </row>
    <row r="222">
      <c r="A222" s="7" t="s">
        <v>252</v>
      </c>
      <c r="B222" s="7" t="s">
        <v>15</v>
      </c>
      <c r="C222" s="8">
        <v>649.0</v>
      </c>
      <c r="D222" s="8">
        <v>1999.0</v>
      </c>
      <c r="E222" s="19">
        <v>0.68</v>
      </c>
      <c r="F222" s="10">
        <v>4.2</v>
      </c>
      <c r="G222" s="11">
        <v>24269.0</v>
      </c>
      <c r="K222" s="23">
        <v>1350.0</v>
      </c>
    </row>
    <row r="223">
      <c r="A223" s="7" t="s">
        <v>253</v>
      </c>
      <c r="B223" s="7" t="s">
        <v>71</v>
      </c>
      <c r="C223" s="8">
        <v>299.0</v>
      </c>
      <c r="D223" s="8">
        <v>899.0</v>
      </c>
      <c r="E223" s="19">
        <v>0.67</v>
      </c>
      <c r="F223" s="10">
        <v>3.8</v>
      </c>
      <c r="G223" s="10">
        <v>425.0</v>
      </c>
      <c r="K223" s="23">
        <v>600.0</v>
      </c>
    </row>
    <row r="224">
      <c r="A224" s="7" t="s">
        <v>254</v>
      </c>
      <c r="B224" s="7" t="s">
        <v>93</v>
      </c>
      <c r="C224" s="8">
        <v>399.0</v>
      </c>
      <c r="D224" s="8">
        <v>799.0</v>
      </c>
      <c r="E224" s="19">
        <v>0.5</v>
      </c>
      <c r="F224" s="10">
        <v>4.1</v>
      </c>
      <c r="G224" s="11">
        <v>1161.0</v>
      </c>
      <c r="K224" s="23">
        <v>400.0</v>
      </c>
    </row>
    <row r="225">
      <c r="A225" s="7" t="s">
        <v>255</v>
      </c>
      <c r="B225" s="7" t="s">
        <v>15</v>
      </c>
      <c r="C225" s="8">
        <v>249.0</v>
      </c>
      <c r="D225" s="8">
        <v>499.0</v>
      </c>
      <c r="E225" s="19">
        <v>0.5</v>
      </c>
      <c r="F225" s="10">
        <v>4.1</v>
      </c>
      <c r="G225" s="11">
        <v>1508.0</v>
      </c>
      <c r="K225" s="23">
        <v>250.0</v>
      </c>
    </row>
    <row r="226">
      <c r="A226" s="7" t="s">
        <v>256</v>
      </c>
      <c r="B226" s="7" t="s">
        <v>257</v>
      </c>
      <c r="C226" s="8">
        <v>1249.0</v>
      </c>
      <c r="D226" s="8">
        <v>2299.0</v>
      </c>
      <c r="E226" s="19">
        <v>0.46</v>
      </c>
      <c r="F226" s="10">
        <v>4.3</v>
      </c>
      <c r="G226" s="11">
        <v>7636.0</v>
      </c>
      <c r="K226" s="23">
        <v>1050.0</v>
      </c>
    </row>
    <row r="227">
      <c r="A227" s="7" t="s">
        <v>258</v>
      </c>
      <c r="B227" s="7" t="s">
        <v>71</v>
      </c>
      <c r="C227" s="8">
        <v>213.0</v>
      </c>
      <c r="D227" s="8">
        <v>499.0</v>
      </c>
      <c r="E227" s="19">
        <v>0.57</v>
      </c>
      <c r="F227" s="10">
        <v>3.7</v>
      </c>
      <c r="G227" s="10">
        <v>246.0</v>
      </c>
      <c r="K227" s="23">
        <v>286.0</v>
      </c>
    </row>
    <row r="228">
      <c r="A228" s="7" t="s">
        <v>259</v>
      </c>
      <c r="B228" s="7" t="s">
        <v>71</v>
      </c>
      <c r="C228" s="8">
        <v>209.0</v>
      </c>
      <c r="D228" s="8">
        <v>499.0</v>
      </c>
      <c r="E228" s="19">
        <v>0.58</v>
      </c>
      <c r="F228" s="10">
        <v>4.0</v>
      </c>
      <c r="G228" s="10">
        <v>479.0</v>
      </c>
      <c r="K228" s="23">
        <v>290.0</v>
      </c>
    </row>
    <row r="229">
      <c r="A229" s="7" t="s">
        <v>260</v>
      </c>
      <c r="B229" s="7" t="s">
        <v>31</v>
      </c>
      <c r="C229" s="8">
        <v>598.0</v>
      </c>
      <c r="D229" s="8">
        <v>4999.0</v>
      </c>
      <c r="E229" s="19">
        <v>0.88</v>
      </c>
      <c r="F229" s="10">
        <v>4.2</v>
      </c>
      <c r="G229" s="10">
        <v>910.0</v>
      </c>
      <c r="K229" s="23">
        <v>4401.0</v>
      </c>
    </row>
    <row r="230">
      <c r="A230" s="7" t="s">
        <v>261</v>
      </c>
      <c r="B230" s="7" t="s">
        <v>15</v>
      </c>
      <c r="C230" s="8">
        <v>799.0</v>
      </c>
      <c r="D230" s="8">
        <v>1749.0</v>
      </c>
      <c r="E230" s="19">
        <v>0.54</v>
      </c>
      <c r="F230" s="10">
        <v>4.1</v>
      </c>
      <c r="G230" s="11">
        <v>5626.0</v>
      </c>
      <c r="K230" s="23">
        <v>950.0</v>
      </c>
    </row>
    <row r="231">
      <c r="A231" s="7" t="s">
        <v>262</v>
      </c>
      <c r="B231" s="7" t="s">
        <v>15</v>
      </c>
      <c r="C231" s="8">
        <v>159.0</v>
      </c>
      <c r="D231" s="8">
        <v>595.0</v>
      </c>
      <c r="E231" s="19">
        <v>0.73</v>
      </c>
      <c r="F231" s="10">
        <v>4.3</v>
      </c>
      <c r="G231" s="11">
        <v>14184.0</v>
      </c>
      <c r="K231" s="23">
        <v>436.0</v>
      </c>
    </row>
    <row r="232">
      <c r="A232" s="7" t="s">
        <v>263</v>
      </c>
      <c r="B232" s="7" t="s">
        <v>264</v>
      </c>
      <c r="C232" s="8">
        <v>499.0</v>
      </c>
      <c r="D232" s="8">
        <v>1100.0</v>
      </c>
      <c r="E232" s="19">
        <v>0.55</v>
      </c>
      <c r="F232" s="10">
        <v>4.4</v>
      </c>
      <c r="G232" s="11">
        <v>25177.0</v>
      </c>
      <c r="K232" s="23">
        <v>601.0</v>
      </c>
    </row>
    <row r="233">
      <c r="A233" s="7" t="s">
        <v>265</v>
      </c>
      <c r="B233" s="7" t="s">
        <v>37</v>
      </c>
      <c r="C233" s="8">
        <v>31999.0</v>
      </c>
      <c r="D233" s="8">
        <v>49999.0</v>
      </c>
      <c r="E233" s="19">
        <v>0.36</v>
      </c>
      <c r="F233" s="10">
        <v>4.3</v>
      </c>
      <c r="G233" s="11">
        <v>21252.0</v>
      </c>
      <c r="K233" s="23">
        <v>18000.0</v>
      </c>
    </row>
    <row r="234">
      <c r="A234" s="7" t="s">
        <v>266</v>
      </c>
      <c r="B234" s="7" t="s">
        <v>37</v>
      </c>
      <c r="C234" s="8">
        <v>32990.0</v>
      </c>
      <c r="D234" s="8">
        <v>56790.0</v>
      </c>
      <c r="E234" s="19">
        <v>0.42</v>
      </c>
      <c r="F234" s="10">
        <v>4.3</v>
      </c>
      <c r="G234" s="10">
        <v>567.0</v>
      </c>
      <c r="K234" s="23">
        <v>23800.0</v>
      </c>
    </row>
    <row r="235">
      <c r="A235" s="7" t="s">
        <v>267</v>
      </c>
      <c r="B235" s="7" t="s">
        <v>71</v>
      </c>
      <c r="C235" s="8">
        <v>299.0</v>
      </c>
      <c r="D235" s="8">
        <v>1199.0</v>
      </c>
      <c r="E235" s="19">
        <v>0.75</v>
      </c>
      <c r="F235" s="10">
        <v>3.5</v>
      </c>
      <c r="G235" s="10">
        <v>466.0</v>
      </c>
      <c r="K235" s="23">
        <v>900.0</v>
      </c>
    </row>
    <row r="236">
      <c r="A236" s="7" t="s">
        <v>268</v>
      </c>
      <c r="B236" s="7" t="s">
        <v>15</v>
      </c>
      <c r="C236" s="8">
        <v>128.31</v>
      </c>
      <c r="D236" s="8">
        <v>549.0</v>
      </c>
      <c r="E236" s="19">
        <v>0.77</v>
      </c>
      <c r="F236" s="10">
        <v>3.9</v>
      </c>
      <c r="G236" s="10">
        <v>61.0</v>
      </c>
      <c r="K236" s="23">
        <v>420.69</v>
      </c>
    </row>
    <row r="237">
      <c r="A237" s="7" t="s">
        <v>269</v>
      </c>
      <c r="B237" s="7" t="s">
        <v>15</v>
      </c>
      <c r="C237" s="8">
        <v>599.0</v>
      </c>
      <c r="D237" s="8">
        <v>849.0</v>
      </c>
      <c r="E237" s="19">
        <v>0.29</v>
      </c>
      <c r="F237" s="10">
        <v>4.5</v>
      </c>
      <c r="G237" s="10">
        <v>474.0</v>
      </c>
      <c r="K237" s="23">
        <v>250.0</v>
      </c>
    </row>
    <row r="238">
      <c r="A238" s="7" t="s">
        <v>270</v>
      </c>
      <c r="B238" s="7" t="s">
        <v>71</v>
      </c>
      <c r="C238" s="8">
        <v>399.0</v>
      </c>
      <c r="D238" s="8">
        <v>899.0</v>
      </c>
      <c r="E238" s="19">
        <v>0.56</v>
      </c>
      <c r="F238" s="10">
        <v>3.4</v>
      </c>
      <c r="G238" s="10">
        <v>431.0</v>
      </c>
      <c r="K238" s="23">
        <v>500.0</v>
      </c>
    </row>
    <row r="239">
      <c r="A239" s="7" t="s">
        <v>271</v>
      </c>
      <c r="B239" s="7" t="s">
        <v>15</v>
      </c>
      <c r="C239" s="8">
        <v>449.0</v>
      </c>
      <c r="D239" s="8">
        <v>1099.0</v>
      </c>
      <c r="E239" s="19">
        <v>0.59</v>
      </c>
      <c r="F239" s="10">
        <v>4.0</v>
      </c>
      <c r="G239" s="10">
        <v>242.0</v>
      </c>
      <c r="K239" s="23">
        <v>650.0</v>
      </c>
    </row>
    <row r="240">
      <c r="A240" s="7" t="s">
        <v>272</v>
      </c>
      <c r="B240" s="7" t="s">
        <v>15</v>
      </c>
      <c r="C240" s="8">
        <v>254.0</v>
      </c>
      <c r="D240" s="8">
        <v>799.0</v>
      </c>
      <c r="E240" s="19">
        <v>0.68</v>
      </c>
      <c r="F240" s="10">
        <v>4.0</v>
      </c>
      <c r="G240" s="11">
        <v>2905.0</v>
      </c>
      <c r="K240" s="23">
        <v>545.0</v>
      </c>
    </row>
    <row r="241">
      <c r="A241" s="7" t="s">
        <v>273</v>
      </c>
      <c r="B241" s="7" t="s">
        <v>274</v>
      </c>
      <c r="C241" s="8">
        <v>399.0</v>
      </c>
      <c r="D241" s="8">
        <v>795.0</v>
      </c>
      <c r="E241" s="19">
        <v>0.5</v>
      </c>
      <c r="F241" s="10">
        <v>4.4</v>
      </c>
      <c r="G241" s="11">
        <v>12091.0</v>
      </c>
      <c r="K241" s="23">
        <v>396.0</v>
      </c>
    </row>
    <row r="242">
      <c r="A242" s="7" t="s">
        <v>275</v>
      </c>
      <c r="B242" s="7" t="s">
        <v>15</v>
      </c>
      <c r="C242" s="8">
        <v>179.0</v>
      </c>
      <c r="D242" s="8">
        <v>399.0</v>
      </c>
      <c r="E242" s="19">
        <v>0.55</v>
      </c>
      <c r="F242" s="10">
        <v>4.0</v>
      </c>
      <c r="G242" s="11">
        <v>1423.0</v>
      </c>
      <c r="K242" s="23">
        <v>220.0</v>
      </c>
    </row>
    <row r="243">
      <c r="A243" s="7" t="s">
        <v>276</v>
      </c>
      <c r="B243" s="7" t="s">
        <v>15</v>
      </c>
      <c r="C243" s="8">
        <v>339.0</v>
      </c>
      <c r="D243" s="8">
        <v>999.0</v>
      </c>
      <c r="E243" s="19">
        <v>0.66</v>
      </c>
      <c r="F243" s="10">
        <v>4.3</v>
      </c>
      <c r="G243" s="11">
        <v>6255.0</v>
      </c>
      <c r="K243" s="23">
        <v>660.0</v>
      </c>
    </row>
    <row r="244">
      <c r="A244" s="7" t="s">
        <v>277</v>
      </c>
      <c r="B244" s="7" t="s">
        <v>93</v>
      </c>
      <c r="C244" s="8">
        <v>399.0</v>
      </c>
      <c r="D244" s="8">
        <v>999.0</v>
      </c>
      <c r="E244" s="19">
        <v>0.6</v>
      </c>
      <c r="F244" s="10">
        <v>4.0</v>
      </c>
      <c r="G244" s="11">
        <v>1236.0</v>
      </c>
      <c r="K244" s="23">
        <v>600.0</v>
      </c>
    </row>
    <row r="245">
      <c r="A245" s="7" t="s">
        <v>278</v>
      </c>
      <c r="B245" s="7" t="s">
        <v>71</v>
      </c>
      <c r="C245" s="8">
        <v>199.0</v>
      </c>
      <c r="D245" s="8">
        <v>399.0</v>
      </c>
      <c r="E245" s="19">
        <v>0.5</v>
      </c>
      <c r="F245" s="10">
        <v>4.2</v>
      </c>
      <c r="G245" s="11">
        <v>1335.0</v>
      </c>
      <c r="K245" s="23">
        <v>200.0</v>
      </c>
    </row>
    <row r="246">
      <c r="A246" s="7" t="s">
        <v>279</v>
      </c>
      <c r="B246" s="7" t="s">
        <v>71</v>
      </c>
      <c r="C246" s="8">
        <v>349.0</v>
      </c>
      <c r="D246" s="8">
        <v>1999.0</v>
      </c>
      <c r="E246" s="19">
        <v>0.83</v>
      </c>
      <c r="F246" s="10">
        <v>3.8</v>
      </c>
      <c r="G246" s="10">
        <v>197.0</v>
      </c>
      <c r="K246" s="23">
        <v>1650.0</v>
      </c>
    </row>
    <row r="247">
      <c r="A247" s="7" t="s">
        <v>280</v>
      </c>
      <c r="B247" s="7" t="s">
        <v>15</v>
      </c>
      <c r="C247" s="8">
        <v>299.0</v>
      </c>
      <c r="D247" s="8">
        <v>798.0</v>
      </c>
      <c r="E247" s="19">
        <v>0.63</v>
      </c>
      <c r="F247" s="10">
        <v>4.4</v>
      </c>
      <c r="G247" s="11">
        <v>28791.0</v>
      </c>
      <c r="K247" s="23">
        <v>499.0</v>
      </c>
    </row>
    <row r="248">
      <c r="A248" s="7" t="s">
        <v>281</v>
      </c>
      <c r="B248" s="7" t="s">
        <v>15</v>
      </c>
      <c r="C248" s="8">
        <v>89.0</v>
      </c>
      <c r="D248" s="8">
        <v>800.0</v>
      </c>
      <c r="E248" s="19">
        <v>0.89</v>
      </c>
      <c r="F248" s="10">
        <v>3.9</v>
      </c>
      <c r="G248" s="11">
        <v>1075.0</v>
      </c>
      <c r="K248" s="23">
        <v>711.0</v>
      </c>
    </row>
    <row r="249">
      <c r="A249" s="7" t="s">
        <v>282</v>
      </c>
      <c r="B249" s="7" t="s">
        <v>15</v>
      </c>
      <c r="C249" s="8">
        <v>549.0</v>
      </c>
      <c r="D249" s="8">
        <v>995.0</v>
      </c>
      <c r="E249" s="19">
        <v>0.45</v>
      </c>
      <c r="F249" s="10">
        <v>4.2</v>
      </c>
      <c r="G249" s="11">
        <v>29746.0</v>
      </c>
      <c r="K249" s="23">
        <v>446.0</v>
      </c>
    </row>
    <row r="250">
      <c r="A250" s="7" t="s">
        <v>283</v>
      </c>
      <c r="B250" s="7" t="s">
        <v>15</v>
      </c>
      <c r="C250" s="8">
        <v>129.0</v>
      </c>
      <c r="D250" s="8">
        <v>1000.0</v>
      </c>
      <c r="E250" s="19">
        <v>0.87</v>
      </c>
      <c r="F250" s="10">
        <v>3.9</v>
      </c>
      <c r="G250" s="10">
        <v>295.0</v>
      </c>
      <c r="K250" s="23">
        <v>871.0</v>
      </c>
    </row>
    <row r="251">
      <c r="A251" s="7" t="s">
        <v>284</v>
      </c>
      <c r="B251" s="7" t="s">
        <v>37</v>
      </c>
      <c r="C251" s="8">
        <v>77990.0</v>
      </c>
      <c r="D251" s="8" t="s">
        <v>285</v>
      </c>
      <c r="E251" s="19">
        <v>0.44</v>
      </c>
      <c r="F251" s="10">
        <v>4.7</v>
      </c>
      <c r="G251" s="11">
        <v>5935.0</v>
      </c>
      <c r="K251" s="23" t="e">
        <v>#VALUE!</v>
      </c>
    </row>
    <row r="252">
      <c r="A252" s="7" t="s">
        <v>286</v>
      </c>
      <c r="B252" s="7" t="s">
        <v>71</v>
      </c>
      <c r="C252" s="8">
        <v>349.0</v>
      </c>
      <c r="D252" s="8">
        <v>799.0</v>
      </c>
      <c r="E252" s="19">
        <v>0.56</v>
      </c>
      <c r="F252" s="10">
        <v>3.6</v>
      </c>
      <c r="G252" s="10">
        <v>323.0</v>
      </c>
      <c r="K252" s="23">
        <v>450.0</v>
      </c>
    </row>
    <row r="253">
      <c r="A253" s="7" t="s">
        <v>287</v>
      </c>
      <c r="B253" s="7" t="s">
        <v>71</v>
      </c>
      <c r="C253" s="8">
        <v>499.0</v>
      </c>
      <c r="D253" s="8">
        <v>899.0</v>
      </c>
      <c r="E253" s="19">
        <v>0.44</v>
      </c>
      <c r="F253" s="10">
        <v>3.7</v>
      </c>
      <c r="G253" s="10">
        <v>185.0</v>
      </c>
      <c r="K253" s="23">
        <v>400.0</v>
      </c>
    </row>
    <row r="254">
      <c r="A254" s="7" t="s">
        <v>288</v>
      </c>
      <c r="B254" s="7" t="s">
        <v>15</v>
      </c>
      <c r="C254" s="8">
        <v>299.0</v>
      </c>
      <c r="D254" s="8">
        <v>799.0</v>
      </c>
      <c r="E254" s="19">
        <v>0.63</v>
      </c>
      <c r="F254" s="10">
        <v>4.2</v>
      </c>
      <c r="G254" s="11">
        <v>2117.0</v>
      </c>
      <c r="K254" s="23">
        <v>500.0</v>
      </c>
    </row>
    <row r="255">
      <c r="A255" s="7" t="s">
        <v>289</v>
      </c>
      <c r="B255" s="7" t="s">
        <v>15</v>
      </c>
      <c r="C255" s="8">
        <v>182.0</v>
      </c>
      <c r="D255" s="8">
        <v>599.0</v>
      </c>
      <c r="E255" s="19">
        <v>0.7</v>
      </c>
      <c r="F255" s="10">
        <v>4.0</v>
      </c>
      <c r="G255" s="11">
        <v>9378.0</v>
      </c>
      <c r="K255" s="23">
        <v>417.0</v>
      </c>
    </row>
    <row r="256">
      <c r="A256" s="7" t="s">
        <v>290</v>
      </c>
      <c r="B256" s="7" t="s">
        <v>93</v>
      </c>
      <c r="C256" s="8">
        <v>96.0</v>
      </c>
      <c r="D256" s="8">
        <v>399.0</v>
      </c>
      <c r="E256" s="19">
        <v>0.76</v>
      </c>
      <c r="F256" s="10">
        <v>3.6</v>
      </c>
      <c r="G256" s="11">
        <v>1796.0</v>
      </c>
      <c r="K256" s="23">
        <v>303.0</v>
      </c>
    </row>
    <row r="257">
      <c r="A257" s="7" t="s">
        <v>291</v>
      </c>
      <c r="B257" s="7" t="s">
        <v>37</v>
      </c>
      <c r="C257" s="8">
        <v>54990.0</v>
      </c>
      <c r="D257" s="8">
        <v>85000.0</v>
      </c>
      <c r="E257" s="19">
        <v>0.35</v>
      </c>
      <c r="F257" s="10">
        <v>4.3</v>
      </c>
      <c r="G257" s="11">
        <v>3587.0</v>
      </c>
      <c r="K257" s="23">
        <v>30010.0</v>
      </c>
    </row>
    <row r="258">
      <c r="A258" s="7" t="s">
        <v>292</v>
      </c>
      <c r="B258" s="7" t="s">
        <v>155</v>
      </c>
      <c r="C258" s="8">
        <v>439.0</v>
      </c>
      <c r="D258" s="8">
        <v>758.0</v>
      </c>
      <c r="E258" s="19">
        <v>0.42</v>
      </c>
      <c r="F258" s="10">
        <v>4.2</v>
      </c>
      <c r="G258" s="11">
        <v>4296.0</v>
      </c>
      <c r="K258" s="23">
        <v>319.0</v>
      </c>
    </row>
    <row r="259">
      <c r="A259" s="7" t="s">
        <v>293</v>
      </c>
      <c r="B259" s="7" t="s">
        <v>15</v>
      </c>
      <c r="C259" s="8">
        <v>299.0</v>
      </c>
      <c r="D259" s="8">
        <v>999.0</v>
      </c>
      <c r="E259" s="19">
        <v>0.7</v>
      </c>
      <c r="F259" s="10">
        <v>4.3</v>
      </c>
      <c r="G259" s="11">
        <v>2651.0</v>
      </c>
      <c r="K259" s="23">
        <v>700.0</v>
      </c>
    </row>
    <row r="260">
      <c r="A260" s="7" t="s">
        <v>294</v>
      </c>
      <c r="B260" s="7" t="s">
        <v>15</v>
      </c>
      <c r="C260" s="8">
        <v>299.0</v>
      </c>
      <c r="D260" s="8">
        <v>799.0</v>
      </c>
      <c r="E260" s="19">
        <v>0.63</v>
      </c>
      <c r="F260" s="10">
        <v>4.2</v>
      </c>
      <c r="G260" s="11">
        <v>94363.0</v>
      </c>
      <c r="K260" s="23">
        <v>500.0</v>
      </c>
    </row>
    <row r="261">
      <c r="A261" s="7" t="s">
        <v>295</v>
      </c>
      <c r="B261" s="7" t="s">
        <v>15</v>
      </c>
      <c r="C261" s="8">
        <v>789.0</v>
      </c>
      <c r="D261" s="8">
        <v>1999.0</v>
      </c>
      <c r="E261" s="19">
        <v>0.61</v>
      </c>
      <c r="F261" s="10">
        <v>4.2</v>
      </c>
      <c r="G261" s="11">
        <v>34540.0</v>
      </c>
      <c r="K261" s="23">
        <v>1210.0</v>
      </c>
    </row>
    <row r="262">
      <c r="A262" s="7" t="s">
        <v>296</v>
      </c>
      <c r="B262" s="7" t="s">
        <v>31</v>
      </c>
      <c r="C262" s="8">
        <v>299.0</v>
      </c>
      <c r="D262" s="8">
        <v>700.0</v>
      </c>
      <c r="E262" s="19">
        <v>0.57</v>
      </c>
      <c r="F262" s="10">
        <v>4.4</v>
      </c>
      <c r="G262" s="11">
        <v>8714.0</v>
      </c>
      <c r="K262" s="23">
        <v>401.0</v>
      </c>
    </row>
    <row r="263">
      <c r="A263" s="7" t="s">
        <v>297</v>
      </c>
      <c r="B263" s="7" t="s">
        <v>15</v>
      </c>
      <c r="C263" s="8">
        <v>325.0</v>
      </c>
      <c r="D263" s="8">
        <v>1099.0</v>
      </c>
      <c r="E263" s="19">
        <v>0.7</v>
      </c>
      <c r="F263" s="10">
        <v>4.2</v>
      </c>
      <c r="G263" s="11">
        <v>10576.0</v>
      </c>
      <c r="K263" s="23">
        <v>774.0</v>
      </c>
    </row>
    <row r="264">
      <c r="A264" s="7" t="s">
        <v>298</v>
      </c>
      <c r="B264" s="7" t="s">
        <v>15</v>
      </c>
      <c r="C264" s="8">
        <v>1299.0</v>
      </c>
      <c r="D264" s="8">
        <v>1999.0</v>
      </c>
      <c r="E264" s="19">
        <v>0.35</v>
      </c>
      <c r="F264" s="10">
        <v>4.4</v>
      </c>
      <c r="G264" s="11">
        <v>7318.0</v>
      </c>
      <c r="K264" s="23">
        <v>700.0</v>
      </c>
    </row>
    <row r="265">
      <c r="A265" s="7" t="s">
        <v>299</v>
      </c>
      <c r="B265" s="7" t="s">
        <v>71</v>
      </c>
      <c r="C265" s="8">
        <v>790.0</v>
      </c>
      <c r="D265" s="8">
        <v>1999.0</v>
      </c>
      <c r="E265" s="19">
        <v>0.6</v>
      </c>
      <c r="F265" s="10">
        <v>3.0</v>
      </c>
      <c r="G265" s="10">
        <v>103.0</v>
      </c>
      <c r="K265" s="23">
        <v>1209.0</v>
      </c>
    </row>
    <row r="266">
      <c r="A266" s="7" t="s">
        <v>300</v>
      </c>
      <c r="B266" s="7" t="s">
        <v>301</v>
      </c>
      <c r="C266" s="8">
        <v>4699.0</v>
      </c>
      <c r="D266" s="8">
        <v>4699.0</v>
      </c>
      <c r="E266" s="19">
        <v>0.0</v>
      </c>
      <c r="F266" s="10">
        <v>4.5</v>
      </c>
      <c r="G266" s="10">
        <v>224.0</v>
      </c>
      <c r="K266" s="23">
        <v>0.0</v>
      </c>
    </row>
    <row r="267">
      <c r="A267" s="7" t="s">
        <v>302</v>
      </c>
      <c r="B267" s="7" t="s">
        <v>37</v>
      </c>
      <c r="C267" s="8">
        <v>18999.0</v>
      </c>
      <c r="D267" s="8">
        <v>24990.0</v>
      </c>
      <c r="E267" s="19">
        <v>0.24</v>
      </c>
      <c r="F267" s="10">
        <v>4.3</v>
      </c>
      <c r="G267" s="11">
        <v>4702.0</v>
      </c>
      <c r="K267" s="23">
        <v>5991.0</v>
      </c>
    </row>
    <row r="268">
      <c r="A268" s="7" t="s">
        <v>303</v>
      </c>
      <c r="B268" s="7" t="s">
        <v>15</v>
      </c>
      <c r="C268" s="8">
        <v>199.0</v>
      </c>
      <c r="D268" s="8">
        <v>999.0</v>
      </c>
      <c r="E268" s="19">
        <v>0.8</v>
      </c>
      <c r="F268" s="10">
        <v>4.2</v>
      </c>
      <c r="G268" s="10">
        <v>85.0</v>
      </c>
      <c r="K268" s="23">
        <v>800.0</v>
      </c>
    </row>
    <row r="269">
      <c r="A269" s="7" t="s">
        <v>304</v>
      </c>
      <c r="B269" s="7" t="s">
        <v>31</v>
      </c>
      <c r="C269" s="8">
        <v>269.0</v>
      </c>
      <c r="D269" s="8">
        <v>650.0</v>
      </c>
      <c r="E269" s="19">
        <v>0.59</v>
      </c>
      <c r="F269" s="10">
        <v>4.4</v>
      </c>
      <c r="G269" s="11">
        <v>35877.0</v>
      </c>
      <c r="K269" s="23">
        <v>381.0</v>
      </c>
    </row>
    <row r="270">
      <c r="A270" s="7" t="s">
        <v>305</v>
      </c>
      <c r="B270" s="7" t="s">
        <v>306</v>
      </c>
      <c r="C270" s="8">
        <v>1990.0</v>
      </c>
      <c r="D270" s="8">
        <v>3100.0</v>
      </c>
      <c r="E270" s="19">
        <v>0.36</v>
      </c>
      <c r="F270" s="10">
        <v>4.0</v>
      </c>
      <c r="G270" s="10">
        <v>897.0</v>
      </c>
      <c r="K270" s="23">
        <v>1110.0</v>
      </c>
    </row>
    <row r="271">
      <c r="A271" s="7" t="s">
        <v>307</v>
      </c>
      <c r="B271" s="7" t="s">
        <v>308</v>
      </c>
      <c r="C271" s="8">
        <v>2299.0</v>
      </c>
      <c r="D271" s="8">
        <v>3999.0</v>
      </c>
      <c r="E271" s="19">
        <v>0.43</v>
      </c>
      <c r="F271" s="10">
        <v>3.8</v>
      </c>
      <c r="G271" s="10">
        <v>282.0</v>
      </c>
      <c r="K271" s="23">
        <v>1700.0</v>
      </c>
    </row>
    <row r="272">
      <c r="A272" s="7" t="s">
        <v>309</v>
      </c>
      <c r="B272" s="7" t="s">
        <v>37</v>
      </c>
      <c r="C272" s="8">
        <v>35999.0</v>
      </c>
      <c r="D272" s="8">
        <v>49990.0</v>
      </c>
      <c r="E272" s="19">
        <v>0.28</v>
      </c>
      <c r="F272" s="10">
        <v>4.3</v>
      </c>
      <c r="G272" s="11">
        <v>1611.0</v>
      </c>
      <c r="K272" s="23">
        <v>13991.0</v>
      </c>
    </row>
    <row r="273">
      <c r="A273" s="7" t="s">
        <v>310</v>
      </c>
      <c r="B273" s="7" t="s">
        <v>71</v>
      </c>
      <c r="C273" s="8">
        <v>349.0</v>
      </c>
      <c r="D273" s="8">
        <v>999.0</v>
      </c>
      <c r="E273" s="19">
        <v>0.65</v>
      </c>
      <c r="F273" s="10">
        <v>4.2</v>
      </c>
      <c r="G273" s="10">
        <v>513.0</v>
      </c>
      <c r="K273" s="23">
        <v>650.0</v>
      </c>
    </row>
    <row r="274">
      <c r="A274" s="7" t="s">
        <v>311</v>
      </c>
      <c r="B274" s="7" t="s">
        <v>15</v>
      </c>
      <c r="C274" s="8">
        <v>719.0</v>
      </c>
      <c r="D274" s="8">
        <v>1499.0</v>
      </c>
      <c r="E274" s="19">
        <v>0.52</v>
      </c>
      <c r="F274" s="10">
        <v>4.1</v>
      </c>
      <c r="G274" s="11">
        <v>1045.0</v>
      </c>
      <c r="K274" s="23">
        <v>780.0</v>
      </c>
    </row>
    <row r="275">
      <c r="A275" s="7" t="s">
        <v>312</v>
      </c>
      <c r="B275" s="7" t="s">
        <v>37</v>
      </c>
      <c r="C275" s="8">
        <v>8999.0</v>
      </c>
      <c r="D275" s="8">
        <v>18999.0</v>
      </c>
      <c r="E275" s="19">
        <v>0.53</v>
      </c>
      <c r="F275" s="10">
        <v>4.0</v>
      </c>
      <c r="G275" s="11">
        <v>6347.0</v>
      </c>
      <c r="K275" s="23">
        <v>10000.0</v>
      </c>
    </row>
    <row r="276">
      <c r="A276" s="7" t="s">
        <v>313</v>
      </c>
      <c r="B276" s="7" t="s">
        <v>257</v>
      </c>
      <c r="C276" s="8">
        <v>917.0</v>
      </c>
      <c r="D276" s="8">
        <v>2299.0</v>
      </c>
      <c r="E276" s="19">
        <v>0.6</v>
      </c>
      <c r="F276" s="10">
        <v>4.2</v>
      </c>
      <c r="G276" s="11">
        <v>3300.0</v>
      </c>
      <c r="K276" s="23">
        <v>1382.0</v>
      </c>
    </row>
    <row r="277">
      <c r="A277" s="7" t="s">
        <v>314</v>
      </c>
      <c r="B277" s="7" t="s">
        <v>71</v>
      </c>
      <c r="C277" s="8">
        <v>399.0</v>
      </c>
      <c r="D277" s="8">
        <v>999.0</v>
      </c>
      <c r="E277" s="19">
        <v>0.6</v>
      </c>
      <c r="F277" s="10">
        <v>3.3</v>
      </c>
      <c r="G277" s="10">
        <v>23.0</v>
      </c>
      <c r="K277" s="23">
        <v>600.0</v>
      </c>
    </row>
    <row r="278">
      <c r="A278" s="7" t="s">
        <v>315</v>
      </c>
      <c r="B278" s="7" t="s">
        <v>37</v>
      </c>
      <c r="C278" s="8">
        <v>45999.0</v>
      </c>
      <c r="D278" s="8">
        <v>69900.0</v>
      </c>
      <c r="E278" s="19">
        <v>0.34</v>
      </c>
      <c r="F278" s="10">
        <v>4.3</v>
      </c>
      <c r="G278" s="11">
        <v>7109.0</v>
      </c>
      <c r="K278" s="23">
        <v>23901.0</v>
      </c>
    </row>
    <row r="279">
      <c r="A279" s="7" t="s">
        <v>316</v>
      </c>
      <c r="B279" s="7" t="s">
        <v>15</v>
      </c>
      <c r="C279" s="8">
        <v>119.0</v>
      </c>
      <c r="D279" s="8">
        <v>299.0</v>
      </c>
      <c r="E279" s="19">
        <v>0.6</v>
      </c>
      <c r="F279" s="10">
        <v>3.8</v>
      </c>
      <c r="G279" s="10">
        <v>51.0</v>
      </c>
      <c r="K279" s="23">
        <v>180.0</v>
      </c>
    </row>
    <row r="280">
      <c r="A280" s="7" t="s">
        <v>317</v>
      </c>
      <c r="B280" s="7" t="s">
        <v>37</v>
      </c>
      <c r="C280" s="8">
        <v>21999.0</v>
      </c>
      <c r="D280" s="8">
        <v>29999.0</v>
      </c>
      <c r="E280" s="19">
        <v>0.27</v>
      </c>
      <c r="F280" s="10">
        <v>4.2</v>
      </c>
      <c r="G280" s="11">
        <v>32840.0</v>
      </c>
      <c r="K280" s="23">
        <v>8000.0</v>
      </c>
    </row>
    <row r="281">
      <c r="A281" s="7" t="s">
        <v>318</v>
      </c>
      <c r="B281" s="7" t="s">
        <v>71</v>
      </c>
      <c r="C281" s="8">
        <v>299.0</v>
      </c>
      <c r="D281" s="8">
        <v>599.0</v>
      </c>
      <c r="E281" s="19">
        <v>0.5</v>
      </c>
      <c r="F281" s="10">
        <v>3.7</v>
      </c>
      <c r="G281" s="10">
        <v>708.0</v>
      </c>
      <c r="K281" s="23">
        <v>300.0</v>
      </c>
    </row>
    <row r="282">
      <c r="A282" s="7" t="s">
        <v>319</v>
      </c>
      <c r="B282" s="7" t="s">
        <v>37</v>
      </c>
      <c r="C282" s="8">
        <v>21990.0</v>
      </c>
      <c r="D282" s="8">
        <v>34990.0</v>
      </c>
      <c r="E282" s="19">
        <v>0.37</v>
      </c>
      <c r="F282" s="10">
        <v>4.3</v>
      </c>
      <c r="G282" s="11">
        <v>1657.0</v>
      </c>
      <c r="K282" s="23">
        <v>13000.0</v>
      </c>
    </row>
    <row r="283">
      <c r="A283" s="7" t="s">
        <v>320</v>
      </c>
      <c r="B283" s="7" t="s">
        <v>15</v>
      </c>
      <c r="C283" s="8">
        <v>417.44</v>
      </c>
      <c r="D283" s="8">
        <v>670.0</v>
      </c>
      <c r="E283" s="19">
        <v>0.38</v>
      </c>
      <c r="F283" s="10">
        <v>3.9</v>
      </c>
      <c r="G283" s="10">
        <v>523.0</v>
      </c>
      <c r="K283" s="23">
        <v>252.56</v>
      </c>
    </row>
    <row r="284">
      <c r="A284" s="7" t="s">
        <v>321</v>
      </c>
      <c r="B284" s="7" t="s">
        <v>15</v>
      </c>
      <c r="C284" s="8">
        <v>199.0</v>
      </c>
      <c r="D284" s="8">
        <v>999.0</v>
      </c>
      <c r="E284" s="19">
        <v>0.8</v>
      </c>
      <c r="F284" s="10">
        <v>3.0</v>
      </c>
      <c r="G284" s="7"/>
      <c r="K284" s="23">
        <v>800.0</v>
      </c>
    </row>
    <row r="285">
      <c r="A285" s="7" t="s">
        <v>322</v>
      </c>
      <c r="B285" s="7" t="s">
        <v>37</v>
      </c>
      <c r="C285" s="8">
        <v>47990.0</v>
      </c>
      <c r="D285" s="8">
        <v>79990.0</v>
      </c>
      <c r="E285" s="19">
        <v>0.4</v>
      </c>
      <c r="F285" s="10">
        <v>4.3</v>
      </c>
      <c r="G285" s="11">
        <v>1376.0</v>
      </c>
      <c r="K285" s="23">
        <v>32000.0</v>
      </c>
    </row>
    <row r="286">
      <c r="A286" s="7" t="s">
        <v>323</v>
      </c>
      <c r="B286" s="7" t="s">
        <v>71</v>
      </c>
      <c r="C286" s="8">
        <v>215.0</v>
      </c>
      <c r="D286" s="8">
        <v>499.0</v>
      </c>
      <c r="E286" s="19">
        <v>0.57</v>
      </c>
      <c r="F286" s="10">
        <v>3.5</v>
      </c>
      <c r="G286" s="10">
        <v>121.0</v>
      </c>
      <c r="K286" s="23">
        <v>284.0</v>
      </c>
    </row>
    <row r="287">
      <c r="A287" s="7" t="s">
        <v>324</v>
      </c>
      <c r="B287" s="7" t="s">
        <v>15</v>
      </c>
      <c r="C287" s="8">
        <v>99.0</v>
      </c>
      <c r="D287" s="8">
        <v>800.0</v>
      </c>
      <c r="E287" s="19">
        <v>0.88</v>
      </c>
      <c r="F287" s="10">
        <v>3.9</v>
      </c>
      <c r="G287" s="11">
        <v>1075.0</v>
      </c>
      <c r="K287" s="23">
        <v>701.0</v>
      </c>
    </row>
    <row r="288">
      <c r="A288" s="7" t="s">
        <v>325</v>
      </c>
      <c r="B288" s="7" t="s">
        <v>37</v>
      </c>
      <c r="C288" s="8">
        <v>18999.0</v>
      </c>
      <c r="D288" s="8">
        <v>35000.0</v>
      </c>
      <c r="E288" s="19">
        <v>0.46</v>
      </c>
      <c r="F288" s="10">
        <v>4.0</v>
      </c>
      <c r="G288" s="11">
        <v>1001.0</v>
      </c>
      <c r="K288" s="23">
        <v>16001.0</v>
      </c>
    </row>
    <row r="289">
      <c r="A289" s="7" t="s">
        <v>326</v>
      </c>
      <c r="B289" s="7" t="s">
        <v>15</v>
      </c>
      <c r="C289" s="8">
        <v>249.0</v>
      </c>
      <c r="D289" s="8">
        <v>999.0</v>
      </c>
      <c r="E289" s="19">
        <v>0.75</v>
      </c>
      <c r="F289" s="10">
        <v>4.3</v>
      </c>
      <c r="G289" s="10">
        <v>112.0</v>
      </c>
      <c r="K289" s="23">
        <v>750.0</v>
      </c>
    </row>
    <row r="290">
      <c r="A290" s="7" t="s">
        <v>327</v>
      </c>
      <c r="B290" s="7" t="s">
        <v>77</v>
      </c>
      <c r="C290" s="8">
        <v>7999.0</v>
      </c>
      <c r="D290" s="8">
        <v>15999.0</v>
      </c>
      <c r="E290" s="19">
        <v>0.5</v>
      </c>
      <c r="F290" s="10">
        <v>3.8</v>
      </c>
      <c r="G290" s="11">
        <v>3022.0</v>
      </c>
      <c r="K290" s="23">
        <v>8000.0</v>
      </c>
    </row>
    <row r="291">
      <c r="A291" s="7" t="s">
        <v>328</v>
      </c>
      <c r="B291" s="7" t="s">
        <v>15</v>
      </c>
      <c r="C291" s="8">
        <v>649.0</v>
      </c>
      <c r="D291" s="8">
        <v>1600.0</v>
      </c>
      <c r="E291" s="19">
        <v>0.59</v>
      </c>
      <c r="F291" s="10">
        <v>4.3</v>
      </c>
      <c r="G291" s="11">
        <v>5451.0</v>
      </c>
      <c r="K291" s="23">
        <v>951.0</v>
      </c>
    </row>
    <row r="292">
      <c r="A292" s="7" t="s">
        <v>104</v>
      </c>
      <c r="B292" s="7" t="s">
        <v>71</v>
      </c>
      <c r="C292" s="8">
        <v>1289.0</v>
      </c>
      <c r="D292" s="8">
        <v>2499.0</v>
      </c>
      <c r="E292" s="19">
        <v>0.48</v>
      </c>
      <c r="F292" s="10">
        <v>3.3</v>
      </c>
      <c r="G292" s="10">
        <v>73.0</v>
      </c>
      <c r="K292" s="23">
        <v>1210.0</v>
      </c>
    </row>
    <row r="293">
      <c r="A293" s="7" t="s">
        <v>329</v>
      </c>
      <c r="B293" s="7" t="s">
        <v>31</v>
      </c>
      <c r="C293" s="8">
        <v>609.0</v>
      </c>
      <c r="D293" s="8">
        <v>1500.0</v>
      </c>
      <c r="E293" s="19">
        <v>0.59</v>
      </c>
      <c r="F293" s="10">
        <v>4.5</v>
      </c>
      <c r="G293" s="11">
        <v>1029.0</v>
      </c>
      <c r="K293" s="23">
        <v>891.0</v>
      </c>
    </row>
    <row r="294">
      <c r="A294" s="7" t="s">
        <v>330</v>
      </c>
      <c r="B294" s="7" t="s">
        <v>37</v>
      </c>
      <c r="C294" s="8">
        <v>32990.0</v>
      </c>
      <c r="D294" s="8">
        <v>54990.0</v>
      </c>
      <c r="E294" s="19">
        <v>0.4</v>
      </c>
      <c r="F294" s="10">
        <v>4.1</v>
      </c>
      <c r="G294" s="11">
        <v>1555.0</v>
      </c>
      <c r="K294" s="23">
        <v>22000.0</v>
      </c>
    </row>
    <row r="295">
      <c r="A295" s="7" t="s">
        <v>331</v>
      </c>
      <c r="B295" s="7" t="s">
        <v>31</v>
      </c>
      <c r="C295" s="8">
        <v>599.0</v>
      </c>
      <c r="D295" s="8">
        <v>1999.0</v>
      </c>
      <c r="E295" s="19">
        <v>0.7</v>
      </c>
      <c r="F295" s="10">
        <v>4.2</v>
      </c>
      <c r="G295" s="10">
        <v>47.0</v>
      </c>
      <c r="K295" s="23">
        <v>1400.0</v>
      </c>
    </row>
    <row r="296">
      <c r="A296" s="7" t="s">
        <v>332</v>
      </c>
      <c r="B296" s="7" t="s">
        <v>15</v>
      </c>
      <c r="C296" s="8">
        <v>349.0</v>
      </c>
      <c r="D296" s="8">
        <v>899.0</v>
      </c>
      <c r="E296" s="19">
        <v>0.61</v>
      </c>
      <c r="F296" s="10">
        <v>4.1</v>
      </c>
      <c r="G296" s="11">
        <v>14896.0</v>
      </c>
      <c r="K296" s="23">
        <v>550.0</v>
      </c>
    </row>
    <row r="297">
      <c r="A297" s="7" t="s">
        <v>333</v>
      </c>
      <c r="B297" s="7" t="s">
        <v>37</v>
      </c>
      <c r="C297" s="8">
        <v>29999.0</v>
      </c>
      <c r="D297" s="8">
        <v>50999.0</v>
      </c>
      <c r="E297" s="19">
        <v>0.41</v>
      </c>
      <c r="F297" s="10">
        <v>4.4</v>
      </c>
      <c r="G297" s="11">
        <v>1712.0</v>
      </c>
      <c r="K297" s="23">
        <v>21000.0</v>
      </c>
    </row>
    <row r="298">
      <c r="A298" s="7" t="s">
        <v>278</v>
      </c>
      <c r="B298" s="7" t="s">
        <v>71</v>
      </c>
      <c r="C298" s="8">
        <v>199.0</v>
      </c>
      <c r="D298" s="8">
        <v>399.0</v>
      </c>
      <c r="E298" s="19">
        <v>0.5</v>
      </c>
      <c r="F298" s="10">
        <v>4.2</v>
      </c>
      <c r="G298" s="11">
        <v>1335.0</v>
      </c>
      <c r="K298" s="23">
        <v>200.0</v>
      </c>
    </row>
    <row r="299">
      <c r="A299" s="7" t="s">
        <v>334</v>
      </c>
      <c r="B299" s="7" t="s">
        <v>71</v>
      </c>
      <c r="C299" s="8">
        <v>349.0</v>
      </c>
      <c r="D299" s="8">
        <v>699.0</v>
      </c>
      <c r="E299" s="19">
        <v>0.5</v>
      </c>
      <c r="F299" s="10">
        <v>3.9</v>
      </c>
      <c r="G299" s="10">
        <v>214.0</v>
      </c>
      <c r="K299" s="23">
        <v>350.0</v>
      </c>
    </row>
    <row r="300">
      <c r="A300" s="7" t="s">
        <v>335</v>
      </c>
      <c r="B300" s="7" t="s">
        <v>93</v>
      </c>
      <c r="C300" s="8">
        <v>1850.0</v>
      </c>
      <c r="D300" s="8">
        <v>4500.0</v>
      </c>
      <c r="E300" s="19">
        <v>0.59</v>
      </c>
      <c r="F300" s="10">
        <v>4.0</v>
      </c>
      <c r="G300" s="10">
        <v>184.0</v>
      </c>
      <c r="K300" s="23">
        <v>2650.0</v>
      </c>
    </row>
    <row r="301">
      <c r="A301" s="7" t="s">
        <v>336</v>
      </c>
      <c r="B301" s="7" t="s">
        <v>187</v>
      </c>
      <c r="C301" s="8">
        <v>13990.0</v>
      </c>
      <c r="D301" s="8">
        <v>28900.0</v>
      </c>
      <c r="E301" s="19">
        <v>0.52</v>
      </c>
      <c r="F301" s="10">
        <v>4.5</v>
      </c>
      <c r="G301" s="10">
        <v>7.0</v>
      </c>
      <c r="K301" s="23">
        <v>14910.0</v>
      </c>
    </row>
    <row r="302">
      <c r="A302" s="7" t="s">
        <v>337</v>
      </c>
      <c r="B302" s="7" t="s">
        <v>15</v>
      </c>
      <c r="C302" s="8">
        <v>129.0</v>
      </c>
      <c r="D302" s="8">
        <v>449.0</v>
      </c>
      <c r="E302" s="19">
        <v>0.71</v>
      </c>
      <c r="F302" s="10">
        <v>3.7</v>
      </c>
      <c r="G302" s="10">
        <v>41.0</v>
      </c>
      <c r="K302" s="23">
        <v>320.0</v>
      </c>
    </row>
    <row r="303">
      <c r="A303" s="7" t="s">
        <v>338</v>
      </c>
      <c r="B303" s="7" t="s">
        <v>31</v>
      </c>
      <c r="C303" s="8">
        <v>379.0</v>
      </c>
      <c r="D303" s="8">
        <v>999.0</v>
      </c>
      <c r="E303" s="19">
        <v>0.62</v>
      </c>
      <c r="F303" s="10">
        <v>4.2</v>
      </c>
      <c r="G303" s="11">
        <v>12153.0</v>
      </c>
      <c r="K303" s="23">
        <v>620.0</v>
      </c>
    </row>
    <row r="304">
      <c r="A304" s="7" t="s">
        <v>339</v>
      </c>
      <c r="B304" s="7" t="s">
        <v>31</v>
      </c>
      <c r="C304" s="8">
        <v>185.0</v>
      </c>
      <c r="D304" s="8">
        <v>499.0</v>
      </c>
      <c r="E304" s="19">
        <v>0.63</v>
      </c>
      <c r="F304" s="10">
        <v>4.2</v>
      </c>
      <c r="G304" s="10">
        <v>25.0</v>
      </c>
      <c r="K304" s="23">
        <v>314.0</v>
      </c>
    </row>
    <row r="305">
      <c r="A305" s="7" t="s">
        <v>340</v>
      </c>
      <c r="B305" s="7" t="s">
        <v>25</v>
      </c>
      <c r="C305" s="8">
        <v>218.0</v>
      </c>
      <c r="D305" s="8">
        <v>999.0</v>
      </c>
      <c r="E305" s="19">
        <v>0.78</v>
      </c>
      <c r="F305" s="10">
        <v>4.2</v>
      </c>
      <c r="G305" s="10">
        <v>163.0</v>
      </c>
      <c r="K305" s="23">
        <v>781.0</v>
      </c>
    </row>
    <row r="306">
      <c r="A306" s="7" t="s">
        <v>341</v>
      </c>
      <c r="B306" s="7" t="s">
        <v>15</v>
      </c>
      <c r="C306" s="8">
        <v>199.0</v>
      </c>
      <c r="D306" s="8">
        <v>999.0</v>
      </c>
      <c r="E306" s="19">
        <v>0.8</v>
      </c>
      <c r="F306" s="10">
        <v>4.3</v>
      </c>
      <c r="G306" s="10">
        <v>87.0</v>
      </c>
      <c r="K306" s="23">
        <v>800.0</v>
      </c>
    </row>
    <row r="307">
      <c r="A307" s="7" t="s">
        <v>342</v>
      </c>
      <c r="B307" s="7" t="s">
        <v>31</v>
      </c>
      <c r="C307" s="8">
        <v>499.0</v>
      </c>
      <c r="D307" s="8">
        <v>900.0</v>
      </c>
      <c r="E307" s="19">
        <v>0.45</v>
      </c>
      <c r="F307" s="10">
        <v>4.4</v>
      </c>
      <c r="G307" s="11">
        <v>2165.0</v>
      </c>
      <c r="K307" s="23">
        <v>401.0</v>
      </c>
    </row>
    <row r="308">
      <c r="A308" s="7" t="s">
        <v>343</v>
      </c>
      <c r="B308" s="7" t="s">
        <v>37</v>
      </c>
      <c r="C308" s="8">
        <v>26999.0</v>
      </c>
      <c r="D308" s="8">
        <v>42999.0</v>
      </c>
      <c r="E308" s="19">
        <v>0.37</v>
      </c>
      <c r="F308" s="10">
        <v>4.2</v>
      </c>
      <c r="G308" s="11">
        <v>1510.0</v>
      </c>
      <c r="K308" s="23">
        <v>16000.0</v>
      </c>
    </row>
    <row r="309">
      <c r="A309" s="7" t="s">
        <v>344</v>
      </c>
      <c r="B309" s="7" t="s">
        <v>93</v>
      </c>
      <c r="C309" s="8">
        <v>893.0</v>
      </c>
      <c r="D309" s="8">
        <v>1052.0</v>
      </c>
      <c r="E309" s="19">
        <v>0.15</v>
      </c>
      <c r="F309" s="10">
        <v>4.3</v>
      </c>
      <c r="G309" s="10">
        <v>106.0</v>
      </c>
      <c r="K309" s="23">
        <v>159.0</v>
      </c>
    </row>
    <row r="310">
      <c r="A310" s="7" t="s">
        <v>345</v>
      </c>
      <c r="B310" s="7" t="s">
        <v>37</v>
      </c>
      <c r="C310" s="8">
        <v>10990.0</v>
      </c>
      <c r="D310" s="8">
        <v>19990.0</v>
      </c>
      <c r="E310" s="19">
        <v>0.45</v>
      </c>
      <c r="F310" s="10">
        <v>3.7</v>
      </c>
      <c r="G310" s="10">
        <v>129.0</v>
      </c>
      <c r="K310" s="23">
        <v>9000.0</v>
      </c>
    </row>
    <row r="311">
      <c r="A311" s="7" t="s">
        <v>346</v>
      </c>
      <c r="B311" s="7" t="s">
        <v>15</v>
      </c>
      <c r="C311" s="8">
        <v>379.0</v>
      </c>
      <c r="D311" s="8">
        <v>1099.0</v>
      </c>
      <c r="E311" s="19">
        <v>0.66</v>
      </c>
      <c r="F311" s="10">
        <v>4.3</v>
      </c>
      <c r="G311" s="11">
        <v>3049.0</v>
      </c>
      <c r="K311" s="23">
        <v>720.0</v>
      </c>
    </row>
    <row r="312">
      <c r="A312" s="7" t="s">
        <v>347</v>
      </c>
      <c r="B312" s="7" t="s">
        <v>37</v>
      </c>
      <c r="C312" s="8">
        <v>16999.0</v>
      </c>
      <c r="D312" s="8">
        <v>25999.0</v>
      </c>
      <c r="E312" s="19">
        <v>0.35</v>
      </c>
      <c r="F312" s="10">
        <v>4.2</v>
      </c>
      <c r="G312" s="11">
        <v>32840.0</v>
      </c>
      <c r="K312" s="23">
        <v>9000.0</v>
      </c>
    </row>
    <row r="313">
      <c r="A313" s="7" t="s">
        <v>348</v>
      </c>
      <c r="B313" s="7" t="s">
        <v>31</v>
      </c>
      <c r="C313" s="8">
        <v>699.0</v>
      </c>
      <c r="D313" s="8">
        <v>1899.0</v>
      </c>
      <c r="E313" s="19">
        <v>0.63</v>
      </c>
      <c r="F313" s="10">
        <v>4.4</v>
      </c>
      <c r="G313" s="10">
        <v>390.0</v>
      </c>
      <c r="K313" s="23">
        <v>1200.0</v>
      </c>
    </row>
    <row r="314">
      <c r="A314" s="7" t="s">
        <v>349</v>
      </c>
      <c r="B314" s="7" t="s">
        <v>350</v>
      </c>
      <c r="C314" s="8">
        <v>2699.0</v>
      </c>
      <c r="D314" s="8">
        <v>3500.0</v>
      </c>
      <c r="E314" s="19">
        <v>0.23</v>
      </c>
      <c r="F314" s="10">
        <v>3.5</v>
      </c>
      <c r="G314" s="10">
        <v>621.0</v>
      </c>
      <c r="K314" s="23">
        <v>801.0</v>
      </c>
    </row>
    <row r="315">
      <c r="A315" s="7" t="s">
        <v>351</v>
      </c>
      <c r="B315" s="7" t="s">
        <v>15</v>
      </c>
      <c r="C315" s="8">
        <v>129.0</v>
      </c>
      <c r="D315" s="8">
        <v>599.0</v>
      </c>
      <c r="E315" s="19">
        <v>0.78</v>
      </c>
      <c r="F315" s="10">
        <v>4.1</v>
      </c>
      <c r="G315" s="10">
        <v>265.0</v>
      </c>
      <c r="K315" s="23">
        <v>470.0</v>
      </c>
    </row>
    <row r="316">
      <c r="A316" s="7" t="s">
        <v>352</v>
      </c>
      <c r="B316" s="7" t="s">
        <v>15</v>
      </c>
      <c r="C316" s="8">
        <v>389.0</v>
      </c>
      <c r="D316" s="8">
        <v>999.0</v>
      </c>
      <c r="E316" s="19">
        <v>0.61</v>
      </c>
      <c r="F316" s="10">
        <v>4.3</v>
      </c>
      <c r="G316" s="10">
        <v>838.0</v>
      </c>
      <c r="K316" s="23">
        <v>610.0</v>
      </c>
    </row>
    <row r="317">
      <c r="A317" s="7" t="s">
        <v>353</v>
      </c>
      <c r="B317" s="7" t="s">
        <v>71</v>
      </c>
      <c r="C317" s="8">
        <v>246.0</v>
      </c>
      <c r="D317" s="8">
        <v>600.0</v>
      </c>
      <c r="E317" s="19">
        <v>0.59</v>
      </c>
      <c r="F317" s="10">
        <v>4.2</v>
      </c>
      <c r="G317" s="10">
        <v>143.0</v>
      </c>
      <c r="K317" s="23">
        <v>354.0</v>
      </c>
    </row>
    <row r="318">
      <c r="A318" s="7" t="s">
        <v>354</v>
      </c>
      <c r="B318" s="7" t="s">
        <v>15</v>
      </c>
      <c r="C318" s="8">
        <v>299.0</v>
      </c>
      <c r="D318" s="8">
        <v>799.0</v>
      </c>
      <c r="E318" s="19">
        <v>0.63</v>
      </c>
      <c r="F318" s="10">
        <v>4.0</v>
      </c>
      <c r="G318" s="10">
        <v>151.0</v>
      </c>
      <c r="K318" s="23">
        <v>500.0</v>
      </c>
    </row>
    <row r="319">
      <c r="A319" s="7" t="s">
        <v>355</v>
      </c>
      <c r="B319" s="7" t="s">
        <v>71</v>
      </c>
      <c r="C319" s="8">
        <v>247.0</v>
      </c>
      <c r="D319" s="8">
        <v>399.0</v>
      </c>
      <c r="E319" s="19">
        <v>0.38</v>
      </c>
      <c r="F319" s="10">
        <v>3.9</v>
      </c>
      <c r="G319" s="10">
        <v>200.0</v>
      </c>
      <c r="K319" s="23">
        <v>152.0</v>
      </c>
    </row>
    <row r="320">
      <c r="A320" s="7" t="s">
        <v>356</v>
      </c>
      <c r="B320" s="7" t="s">
        <v>71</v>
      </c>
      <c r="C320" s="8">
        <v>1369.0</v>
      </c>
      <c r="D320" s="8">
        <v>2999.0</v>
      </c>
      <c r="E320" s="19">
        <v>0.54</v>
      </c>
      <c r="F320" s="10">
        <v>3.3</v>
      </c>
      <c r="G320" s="10">
        <v>227.0</v>
      </c>
      <c r="K320" s="23">
        <v>1630.0</v>
      </c>
    </row>
    <row r="321">
      <c r="A321" s="7" t="s">
        <v>357</v>
      </c>
      <c r="B321" s="7" t="s">
        <v>71</v>
      </c>
      <c r="C321" s="8">
        <v>199.0</v>
      </c>
      <c r="D321" s="8">
        <v>499.0</v>
      </c>
      <c r="E321" s="19">
        <v>0.6</v>
      </c>
      <c r="F321" s="10">
        <v>3.8</v>
      </c>
      <c r="G321" s="10">
        <v>538.0</v>
      </c>
      <c r="K321" s="23">
        <v>300.0</v>
      </c>
    </row>
    <row r="322">
      <c r="A322" s="7" t="s">
        <v>358</v>
      </c>
      <c r="B322" s="7" t="s">
        <v>31</v>
      </c>
      <c r="C322" s="8">
        <v>299.0</v>
      </c>
      <c r="D322" s="8">
        <v>599.0</v>
      </c>
      <c r="E322" s="19">
        <v>0.5</v>
      </c>
      <c r="F322" s="10">
        <v>4.0</v>
      </c>
      <c r="G322" s="10">
        <v>171.0</v>
      </c>
      <c r="K322" s="23">
        <v>300.0</v>
      </c>
    </row>
    <row r="323">
      <c r="A323" s="7" t="s">
        <v>359</v>
      </c>
      <c r="B323" s="7" t="s">
        <v>37</v>
      </c>
      <c r="C323" s="8">
        <v>14999.0</v>
      </c>
      <c r="D323" s="8">
        <v>14999.0</v>
      </c>
      <c r="E323" s="19">
        <v>0.0</v>
      </c>
      <c r="F323" s="10">
        <v>4.3</v>
      </c>
      <c r="G323" s="11">
        <v>27508.0</v>
      </c>
      <c r="K323" s="23">
        <v>0.0</v>
      </c>
    </row>
    <row r="324">
      <c r="A324" s="7" t="s">
        <v>360</v>
      </c>
      <c r="B324" s="7" t="s">
        <v>15</v>
      </c>
      <c r="C324" s="8">
        <v>299.0</v>
      </c>
      <c r="D324" s="8">
        <v>699.0</v>
      </c>
      <c r="E324" s="19">
        <v>0.57</v>
      </c>
      <c r="F324" s="10">
        <v>3.9</v>
      </c>
      <c r="G324" s="11">
        <v>1454.0</v>
      </c>
      <c r="K324" s="23">
        <v>400.0</v>
      </c>
    </row>
    <row r="325">
      <c r="A325" s="7" t="s">
        <v>361</v>
      </c>
      <c r="B325" s="7" t="s">
        <v>37</v>
      </c>
      <c r="C325" s="8">
        <v>24990.0</v>
      </c>
      <c r="D325" s="8">
        <v>51990.0</v>
      </c>
      <c r="E325" s="19">
        <v>0.52</v>
      </c>
      <c r="F325" s="10">
        <v>4.2</v>
      </c>
      <c r="G325" s="11">
        <v>2951.0</v>
      </c>
      <c r="K325" s="23">
        <v>27000.0</v>
      </c>
    </row>
    <row r="326">
      <c r="A326" s="7" t="s">
        <v>362</v>
      </c>
      <c r="B326" s="7" t="s">
        <v>15</v>
      </c>
      <c r="C326" s="8">
        <v>249.0</v>
      </c>
      <c r="D326" s="8">
        <v>999.0</v>
      </c>
      <c r="E326" s="19">
        <v>0.75</v>
      </c>
      <c r="F326" s="10">
        <v>5.0</v>
      </c>
      <c r="G326" s="7"/>
      <c r="K326" s="23">
        <v>750.0</v>
      </c>
    </row>
    <row r="327">
      <c r="A327" s="7" t="s">
        <v>363</v>
      </c>
      <c r="B327" s="7" t="s">
        <v>37</v>
      </c>
      <c r="C327" s="8">
        <v>61999.0</v>
      </c>
      <c r="D327" s="8">
        <v>69999.0</v>
      </c>
      <c r="E327" s="19">
        <v>0.11</v>
      </c>
      <c r="F327" s="10">
        <v>4.1</v>
      </c>
      <c r="G327" s="11">
        <v>6753.0</v>
      </c>
      <c r="K327" s="23">
        <v>8000.0</v>
      </c>
    </row>
    <row r="328">
      <c r="A328" s="7" t="s">
        <v>364</v>
      </c>
      <c r="B328" s="7" t="s">
        <v>37</v>
      </c>
      <c r="C328" s="8">
        <v>24499.0</v>
      </c>
      <c r="D328" s="8">
        <v>50000.0</v>
      </c>
      <c r="E328" s="19">
        <v>0.51</v>
      </c>
      <c r="F328" s="10">
        <v>3.9</v>
      </c>
      <c r="G328" s="11">
        <v>3518.0</v>
      </c>
      <c r="K328" s="23">
        <v>25501.0</v>
      </c>
    </row>
    <row r="329">
      <c r="A329" s="7" t="s">
        <v>365</v>
      </c>
      <c r="B329" s="7" t="s">
        <v>37</v>
      </c>
      <c r="C329" s="8">
        <v>10499.0</v>
      </c>
      <c r="D329" s="8">
        <v>19499.0</v>
      </c>
      <c r="E329" s="19">
        <v>0.46</v>
      </c>
      <c r="F329" s="10">
        <v>4.2</v>
      </c>
      <c r="G329" s="11">
        <v>1510.0</v>
      </c>
      <c r="K329" s="23">
        <v>9000.0</v>
      </c>
    </row>
    <row r="330">
      <c r="A330" s="7" t="s">
        <v>366</v>
      </c>
      <c r="B330" s="7" t="s">
        <v>15</v>
      </c>
      <c r="C330" s="8">
        <v>349.0</v>
      </c>
      <c r="D330" s="8">
        <v>999.0</v>
      </c>
      <c r="E330" s="19">
        <v>0.65</v>
      </c>
      <c r="F330" s="10">
        <v>4.3</v>
      </c>
      <c r="G330" s="10">
        <v>838.0</v>
      </c>
      <c r="K330" s="23">
        <v>650.0</v>
      </c>
    </row>
    <row r="331">
      <c r="A331" s="7" t="s">
        <v>367</v>
      </c>
      <c r="B331" s="7" t="s">
        <v>71</v>
      </c>
      <c r="C331" s="8">
        <v>197.0</v>
      </c>
      <c r="D331" s="8">
        <v>499.0</v>
      </c>
      <c r="E331" s="19">
        <v>0.61</v>
      </c>
      <c r="F331" s="10">
        <v>3.8</v>
      </c>
      <c r="G331" s="10">
        <v>136.0</v>
      </c>
      <c r="K331" s="23">
        <v>302.0</v>
      </c>
    </row>
    <row r="332">
      <c r="A332" s="7" t="s">
        <v>368</v>
      </c>
      <c r="B332" s="7" t="s">
        <v>257</v>
      </c>
      <c r="C332" s="8">
        <v>1299.0</v>
      </c>
      <c r="D332" s="8">
        <v>2499.0</v>
      </c>
      <c r="E332" s="19">
        <v>0.48</v>
      </c>
      <c r="F332" s="10">
        <v>4.3</v>
      </c>
      <c r="G332" s="10">
        <v>301.0</v>
      </c>
      <c r="K332" s="23">
        <v>1200.0</v>
      </c>
    </row>
    <row r="333">
      <c r="A333" s="7" t="s">
        <v>369</v>
      </c>
      <c r="B333" s="7" t="s">
        <v>15</v>
      </c>
      <c r="C333" s="8">
        <v>1519.0</v>
      </c>
      <c r="D333" s="8">
        <v>1899.0</v>
      </c>
      <c r="E333" s="19">
        <v>0.2</v>
      </c>
      <c r="F333" s="10">
        <v>4.4</v>
      </c>
      <c r="G333" s="11">
        <v>19763.0</v>
      </c>
      <c r="K333" s="23">
        <v>380.0</v>
      </c>
    </row>
    <row r="334">
      <c r="A334" s="7" t="s">
        <v>370</v>
      </c>
      <c r="B334" s="7" t="s">
        <v>37</v>
      </c>
      <c r="C334" s="8">
        <v>46999.0</v>
      </c>
      <c r="D334" s="8">
        <v>69999.0</v>
      </c>
      <c r="E334" s="19">
        <v>0.33</v>
      </c>
      <c r="F334" s="10">
        <v>4.3</v>
      </c>
      <c r="G334" s="11">
        <v>21252.0</v>
      </c>
      <c r="K334" s="23">
        <v>23000.0</v>
      </c>
    </row>
    <row r="335">
      <c r="A335" s="7" t="s">
        <v>371</v>
      </c>
      <c r="B335" s="7" t="s">
        <v>15</v>
      </c>
      <c r="C335" s="8">
        <v>299.0</v>
      </c>
      <c r="D335" s="8">
        <v>799.0</v>
      </c>
      <c r="E335" s="19">
        <v>0.63</v>
      </c>
      <c r="F335" s="10">
        <v>4.3</v>
      </c>
      <c r="G335" s="11">
        <v>1902.0</v>
      </c>
      <c r="K335" s="23">
        <v>500.0</v>
      </c>
    </row>
    <row r="336">
      <c r="A336" s="7" t="s">
        <v>372</v>
      </c>
      <c r="B336" s="7" t="s">
        <v>373</v>
      </c>
      <c r="C336" s="8">
        <v>1799.0</v>
      </c>
      <c r="D336" s="8">
        <v>19999.0</v>
      </c>
      <c r="E336" s="19">
        <v>0.91</v>
      </c>
      <c r="F336" s="10">
        <v>4.2</v>
      </c>
      <c r="G336" s="11">
        <v>13937.0</v>
      </c>
      <c r="K336" s="23">
        <v>18200.0</v>
      </c>
    </row>
    <row r="337">
      <c r="A337" s="7" t="s">
        <v>374</v>
      </c>
      <c r="B337" s="7" t="s">
        <v>373</v>
      </c>
      <c r="C337" s="8">
        <v>1998.0</v>
      </c>
      <c r="D337" s="8">
        <v>9999.0</v>
      </c>
      <c r="E337" s="19">
        <v>0.8</v>
      </c>
      <c r="F337" s="10">
        <v>4.3</v>
      </c>
      <c r="G337" s="11">
        <v>27696.0</v>
      </c>
      <c r="K337" s="23">
        <v>8001.0</v>
      </c>
    </row>
    <row r="338">
      <c r="A338" s="7" t="s">
        <v>375</v>
      </c>
      <c r="B338" s="7" t="s">
        <v>373</v>
      </c>
      <c r="C338" s="8">
        <v>1999.0</v>
      </c>
      <c r="D338" s="8">
        <v>7990.0</v>
      </c>
      <c r="E338" s="19">
        <v>0.75</v>
      </c>
      <c r="F338" s="10">
        <v>3.8</v>
      </c>
      <c r="G338" s="11">
        <v>17831.0</v>
      </c>
      <c r="K338" s="23">
        <v>5991.0</v>
      </c>
    </row>
    <row r="339">
      <c r="A339" s="7" t="s">
        <v>376</v>
      </c>
      <c r="B339" s="7" t="s">
        <v>377</v>
      </c>
      <c r="C339" s="8">
        <v>2049.0</v>
      </c>
      <c r="D339" s="8">
        <v>2199.0</v>
      </c>
      <c r="E339" s="19">
        <v>0.07</v>
      </c>
      <c r="F339" s="10">
        <v>4.3</v>
      </c>
      <c r="G339" s="7" t="s">
        <v>378</v>
      </c>
      <c r="K339" s="23">
        <v>150.0</v>
      </c>
    </row>
    <row r="340">
      <c r="A340" s="7" t="s">
        <v>379</v>
      </c>
      <c r="B340" s="7" t="s">
        <v>380</v>
      </c>
      <c r="C340" s="8">
        <v>6499.0</v>
      </c>
      <c r="D340" s="8">
        <v>8999.0</v>
      </c>
      <c r="E340" s="19">
        <v>0.28</v>
      </c>
      <c r="F340" s="10">
        <v>4.0</v>
      </c>
      <c r="G340" s="11">
        <v>7807.0</v>
      </c>
      <c r="K340" s="23">
        <v>2500.0</v>
      </c>
    </row>
    <row r="341">
      <c r="A341" s="7" t="s">
        <v>381</v>
      </c>
      <c r="B341" s="7" t="s">
        <v>380</v>
      </c>
      <c r="C341" s="8">
        <v>28999.0</v>
      </c>
      <c r="D341" s="8">
        <v>28999.0</v>
      </c>
      <c r="E341" s="19">
        <v>0.0</v>
      </c>
      <c r="F341" s="10">
        <v>4.3</v>
      </c>
      <c r="G341" s="11">
        <v>17415.0</v>
      </c>
      <c r="K341" s="23">
        <v>0.0</v>
      </c>
    </row>
    <row r="342">
      <c r="A342" s="7" t="s">
        <v>382</v>
      </c>
      <c r="B342" s="7" t="s">
        <v>380</v>
      </c>
      <c r="C342" s="8">
        <v>28999.0</v>
      </c>
      <c r="D342" s="8">
        <v>28999.0</v>
      </c>
      <c r="E342" s="19">
        <v>0.0</v>
      </c>
      <c r="F342" s="10">
        <v>4.3</v>
      </c>
      <c r="G342" s="11">
        <v>17415.0</v>
      </c>
      <c r="K342" s="23">
        <v>0.0</v>
      </c>
    </row>
    <row r="343">
      <c r="A343" s="7" t="s">
        <v>383</v>
      </c>
      <c r="B343" s="7" t="s">
        <v>380</v>
      </c>
      <c r="C343" s="8">
        <v>6499.0</v>
      </c>
      <c r="D343" s="8">
        <v>8999.0</v>
      </c>
      <c r="E343" s="19">
        <v>0.28</v>
      </c>
      <c r="F343" s="10">
        <v>4.0</v>
      </c>
      <c r="G343" s="11">
        <v>7807.0</v>
      </c>
      <c r="K343" s="23">
        <v>2500.0</v>
      </c>
    </row>
    <row r="344">
      <c r="A344" s="7" t="s">
        <v>384</v>
      </c>
      <c r="B344" s="7" t="s">
        <v>380</v>
      </c>
      <c r="C344" s="8">
        <v>6499.0</v>
      </c>
      <c r="D344" s="8">
        <v>8999.0</v>
      </c>
      <c r="E344" s="19">
        <v>0.28</v>
      </c>
      <c r="F344" s="10">
        <v>4.0</v>
      </c>
      <c r="G344" s="11">
        <v>7807.0</v>
      </c>
      <c r="K344" s="23">
        <v>2500.0</v>
      </c>
    </row>
    <row r="345">
      <c r="A345" s="7" t="s">
        <v>385</v>
      </c>
      <c r="B345" s="7" t="s">
        <v>386</v>
      </c>
      <c r="C345" s="8">
        <v>569.0</v>
      </c>
      <c r="D345" s="8">
        <v>1000.0</v>
      </c>
      <c r="E345" s="19">
        <v>0.43</v>
      </c>
      <c r="F345" s="10">
        <v>4.4</v>
      </c>
      <c r="G345" s="11">
        <v>67259.0</v>
      </c>
      <c r="K345" s="23">
        <v>431.0</v>
      </c>
    </row>
    <row r="346">
      <c r="A346" s="7" t="s">
        <v>387</v>
      </c>
      <c r="B346" s="7" t="s">
        <v>373</v>
      </c>
      <c r="C346" s="8">
        <v>1898.0</v>
      </c>
      <c r="D346" s="8">
        <v>4999.0</v>
      </c>
      <c r="E346" s="19">
        <v>0.62</v>
      </c>
      <c r="F346" s="10">
        <v>4.1</v>
      </c>
      <c r="G346" s="11">
        <v>10689.0</v>
      </c>
      <c r="K346" s="23">
        <v>3101.0</v>
      </c>
    </row>
    <row r="347">
      <c r="A347" s="7" t="s">
        <v>388</v>
      </c>
      <c r="B347" s="7" t="s">
        <v>389</v>
      </c>
      <c r="C347" s="8">
        <v>1299.0</v>
      </c>
      <c r="D347" s="8">
        <v>1599.0</v>
      </c>
      <c r="E347" s="19">
        <v>0.19</v>
      </c>
      <c r="F347" s="10">
        <v>4.0</v>
      </c>
      <c r="G347" s="7" t="s">
        <v>390</v>
      </c>
      <c r="K347" s="23">
        <v>300.0</v>
      </c>
    </row>
    <row r="348">
      <c r="A348" s="7" t="s">
        <v>391</v>
      </c>
      <c r="B348" s="7" t="s">
        <v>373</v>
      </c>
      <c r="C348" s="8">
        <v>1499.0</v>
      </c>
      <c r="D348" s="8">
        <v>6990.0</v>
      </c>
      <c r="E348" s="19">
        <v>0.79</v>
      </c>
      <c r="F348" s="10">
        <v>3.9</v>
      </c>
      <c r="G348" s="11">
        <v>21796.0</v>
      </c>
      <c r="K348" s="23">
        <v>5491.0</v>
      </c>
    </row>
    <row r="349">
      <c r="A349" s="7" t="s">
        <v>392</v>
      </c>
      <c r="B349" s="7" t="s">
        <v>393</v>
      </c>
      <c r="C349" s="8">
        <v>599.0</v>
      </c>
      <c r="D349" s="8">
        <v>999.0</v>
      </c>
      <c r="E349" s="19">
        <v>0.4</v>
      </c>
      <c r="F349" s="10">
        <v>4.1</v>
      </c>
      <c r="G349" s="7" t="s">
        <v>394</v>
      </c>
      <c r="K349" s="23">
        <v>400.0</v>
      </c>
    </row>
    <row r="350">
      <c r="A350" s="7" t="s">
        <v>395</v>
      </c>
      <c r="B350" s="7" t="s">
        <v>380</v>
      </c>
      <c r="C350" s="8">
        <v>9499.0</v>
      </c>
      <c r="D350" s="8">
        <v>11999.0</v>
      </c>
      <c r="E350" s="19">
        <v>0.21</v>
      </c>
      <c r="F350" s="10">
        <v>4.2</v>
      </c>
      <c r="G350" s="10">
        <v>284.0</v>
      </c>
      <c r="K350" s="23">
        <v>2500.0</v>
      </c>
    </row>
    <row r="351">
      <c r="A351" s="7" t="s">
        <v>396</v>
      </c>
      <c r="B351" s="7" t="s">
        <v>393</v>
      </c>
      <c r="C351" s="8">
        <v>599.0</v>
      </c>
      <c r="D351" s="8">
        <v>2499.0</v>
      </c>
      <c r="E351" s="19">
        <v>0.76</v>
      </c>
      <c r="F351" s="10">
        <v>3.9</v>
      </c>
      <c r="G351" s="11">
        <v>58162.0</v>
      </c>
      <c r="K351" s="23">
        <v>1900.0</v>
      </c>
    </row>
    <row r="352">
      <c r="A352" s="7" t="s">
        <v>397</v>
      </c>
      <c r="B352" s="7" t="s">
        <v>380</v>
      </c>
      <c r="C352" s="8">
        <v>8999.0</v>
      </c>
      <c r="D352" s="8">
        <v>11999.0</v>
      </c>
      <c r="E352" s="19">
        <v>0.25</v>
      </c>
      <c r="F352" s="10">
        <v>4.0</v>
      </c>
      <c r="G352" s="11">
        <v>12796.0</v>
      </c>
      <c r="K352" s="23">
        <v>3000.0</v>
      </c>
    </row>
    <row r="353">
      <c r="A353" s="7" t="s">
        <v>398</v>
      </c>
      <c r="B353" s="7" t="s">
        <v>399</v>
      </c>
      <c r="C353" s="8">
        <v>349.0</v>
      </c>
      <c r="D353" s="8">
        <v>1299.0</v>
      </c>
      <c r="E353" s="19">
        <v>0.73</v>
      </c>
      <c r="F353" s="10">
        <v>4.0</v>
      </c>
      <c r="G353" s="11">
        <v>14282.0</v>
      </c>
      <c r="K353" s="23">
        <v>950.0</v>
      </c>
    </row>
    <row r="354">
      <c r="A354" s="7" t="s">
        <v>400</v>
      </c>
      <c r="B354" s="7" t="s">
        <v>393</v>
      </c>
      <c r="C354" s="8">
        <v>349.0</v>
      </c>
      <c r="D354" s="8">
        <v>999.0</v>
      </c>
      <c r="E354" s="19">
        <v>0.65</v>
      </c>
      <c r="F354" s="10">
        <v>4.1</v>
      </c>
      <c r="G354" s="7" t="s">
        <v>401</v>
      </c>
      <c r="K354" s="23">
        <v>650.0</v>
      </c>
    </row>
    <row r="355">
      <c r="A355" s="7" t="s">
        <v>402</v>
      </c>
      <c r="B355" s="7" t="s">
        <v>386</v>
      </c>
      <c r="C355" s="8">
        <v>959.0</v>
      </c>
      <c r="D355" s="8">
        <v>1800.0</v>
      </c>
      <c r="E355" s="19">
        <v>0.47</v>
      </c>
      <c r="F355" s="10">
        <v>4.4</v>
      </c>
      <c r="G355" s="11">
        <v>67259.0</v>
      </c>
      <c r="K355" s="23">
        <v>841.0</v>
      </c>
    </row>
    <row r="356">
      <c r="A356" s="7" t="s">
        <v>403</v>
      </c>
      <c r="B356" s="7" t="s">
        <v>380</v>
      </c>
      <c r="C356" s="8">
        <v>9499.0</v>
      </c>
      <c r="D356" s="8">
        <v>11999.0</v>
      </c>
      <c r="E356" s="19">
        <v>0.21</v>
      </c>
      <c r="F356" s="10">
        <v>4.2</v>
      </c>
      <c r="G356" s="10">
        <v>284.0</v>
      </c>
      <c r="K356" s="23">
        <v>2500.0</v>
      </c>
    </row>
    <row r="357">
      <c r="A357" s="7" t="s">
        <v>404</v>
      </c>
      <c r="B357" s="7" t="s">
        <v>377</v>
      </c>
      <c r="C357" s="8">
        <v>1499.0</v>
      </c>
      <c r="D357" s="8">
        <v>2499.0</v>
      </c>
      <c r="E357" s="19">
        <v>0.4</v>
      </c>
      <c r="F357" s="10">
        <v>4.3</v>
      </c>
      <c r="G357" s="11">
        <v>15970.0</v>
      </c>
      <c r="K357" s="23">
        <v>1000.0</v>
      </c>
    </row>
    <row r="358">
      <c r="A358" s="7" t="s">
        <v>405</v>
      </c>
      <c r="B358" s="7" t="s">
        <v>377</v>
      </c>
      <c r="C358" s="8">
        <v>1149.0</v>
      </c>
      <c r="D358" s="8">
        <v>2199.0</v>
      </c>
      <c r="E358" s="19">
        <v>0.48</v>
      </c>
      <c r="F358" s="10">
        <v>4.3</v>
      </c>
      <c r="G358" s="7" t="s">
        <v>378</v>
      </c>
      <c r="K358" s="23">
        <v>1050.0</v>
      </c>
    </row>
    <row r="359">
      <c r="A359" s="7" t="s">
        <v>406</v>
      </c>
      <c r="B359" s="7" t="s">
        <v>407</v>
      </c>
      <c r="C359" s="8">
        <v>349.0</v>
      </c>
      <c r="D359" s="8">
        <v>999.0</v>
      </c>
      <c r="E359" s="19">
        <v>0.65</v>
      </c>
      <c r="F359" s="10">
        <v>3.9</v>
      </c>
      <c r="G359" s="11">
        <v>46399.0</v>
      </c>
      <c r="K359" s="23">
        <v>650.0</v>
      </c>
    </row>
    <row r="360">
      <c r="A360" s="7" t="s">
        <v>408</v>
      </c>
      <c r="B360" s="7" t="s">
        <v>409</v>
      </c>
      <c r="C360" s="8">
        <v>1219.0</v>
      </c>
      <c r="D360" s="8">
        <v>1699.0</v>
      </c>
      <c r="E360" s="19">
        <v>0.28</v>
      </c>
      <c r="F360" s="10">
        <v>4.4</v>
      </c>
      <c r="G360" s="11">
        <v>8891.0</v>
      </c>
      <c r="K360" s="23">
        <v>480.0</v>
      </c>
    </row>
    <row r="361">
      <c r="A361" s="7" t="s">
        <v>410</v>
      </c>
      <c r="B361" s="7" t="s">
        <v>373</v>
      </c>
      <c r="C361" s="8">
        <v>1599.0</v>
      </c>
      <c r="D361" s="8">
        <v>3999.0</v>
      </c>
      <c r="E361" s="19">
        <v>0.6</v>
      </c>
      <c r="F361" s="10">
        <v>4.0</v>
      </c>
      <c r="G361" s="11">
        <v>30254.0</v>
      </c>
      <c r="K361" s="23">
        <v>2400.0</v>
      </c>
    </row>
    <row r="362">
      <c r="A362" s="7" t="s">
        <v>411</v>
      </c>
      <c r="B362" s="7" t="s">
        <v>373</v>
      </c>
      <c r="C362" s="8">
        <v>1499.0</v>
      </c>
      <c r="D362" s="8">
        <v>7999.0</v>
      </c>
      <c r="E362" s="19">
        <v>0.81</v>
      </c>
      <c r="F362" s="10">
        <v>4.2</v>
      </c>
      <c r="G362" s="11">
        <v>22636.0</v>
      </c>
      <c r="K362" s="23">
        <v>6500.0</v>
      </c>
    </row>
    <row r="363">
      <c r="A363" s="7" t="s">
        <v>412</v>
      </c>
      <c r="B363" s="7" t="s">
        <v>380</v>
      </c>
      <c r="C363" s="8">
        <v>18499.0</v>
      </c>
      <c r="D363" s="8">
        <v>25999.0</v>
      </c>
      <c r="E363" s="19">
        <v>0.29</v>
      </c>
      <c r="F363" s="10">
        <v>4.1</v>
      </c>
      <c r="G363" s="11">
        <v>22318.0</v>
      </c>
      <c r="K363" s="23">
        <v>7500.0</v>
      </c>
    </row>
    <row r="364">
      <c r="A364" s="7" t="s">
        <v>413</v>
      </c>
      <c r="B364" s="7" t="s">
        <v>386</v>
      </c>
      <c r="C364" s="8">
        <v>369.0</v>
      </c>
      <c r="D364" s="8">
        <v>700.0</v>
      </c>
      <c r="E364" s="19">
        <v>0.47</v>
      </c>
      <c r="F364" s="10">
        <v>4.4</v>
      </c>
      <c r="G364" s="11">
        <v>67259.0</v>
      </c>
      <c r="K364" s="23">
        <v>331.0</v>
      </c>
    </row>
    <row r="365">
      <c r="A365" s="7" t="s">
        <v>414</v>
      </c>
      <c r="B365" s="7" t="s">
        <v>380</v>
      </c>
      <c r="C365" s="8">
        <v>12999.0</v>
      </c>
      <c r="D365" s="8">
        <v>17999.0</v>
      </c>
      <c r="E365" s="19">
        <v>0.28</v>
      </c>
      <c r="F365" s="10">
        <v>4.1</v>
      </c>
      <c r="G365" s="11">
        <v>18998.0</v>
      </c>
      <c r="K365" s="23">
        <v>5000.0</v>
      </c>
    </row>
    <row r="366">
      <c r="A366" s="7" t="s">
        <v>372</v>
      </c>
      <c r="B366" s="7" t="s">
        <v>373</v>
      </c>
      <c r="C366" s="8">
        <v>1799.0</v>
      </c>
      <c r="D366" s="8">
        <v>19999.0</v>
      </c>
      <c r="E366" s="19">
        <v>0.91</v>
      </c>
      <c r="F366" s="10">
        <v>4.2</v>
      </c>
      <c r="G366" s="11">
        <v>13937.0</v>
      </c>
      <c r="K366" s="23">
        <v>18200.0</v>
      </c>
    </row>
    <row r="367">
      <c r="A367" s="7" t="s">
        <v>415</v>
      </c>
      <c r="B367" s="7" t="s">
        <v>373</v>
      </c>
      <c r="C367" s="8">
        <v>2199.0</v>
      </c>
      <c r="D367" s="8">
        <v>9999.0</v>
      </c>
      <c r="E367" s="19">
        <v>0.78</v>
      </c>
      <c r="F367" s="10">
        <v>4.2</v>
      </c>
      <c r="G367" s="11">
        <v>29471.0</v>
      </c>
      <c r="K367" s="23">
        <v>7800.0</v>
      </c>
    </row>
    <row r="368">
      <c r="A368" s="7" t="s">
        <v>416</v>
      </c>
      <c r="B368" s="7" t="s">
        <v>380</v>
      </c>
      <c r="C368" s="8">
        <v>16999.0</v>
      </c>
      <c r="D368" s="8">
        <v>24999.0</v>
      </c>
      <c r="E368" s="19">
        <v>0.32</v>
      </c>
      <c r="F368" s="10">
        <v>4.1</v>
      </c>
      <c r="G368" s="11">
        <v>22318.0</v>
      </c>
      <c r="K368" s="23">
        <v>8000.0</v>
      </c>
    </row>
    <row r="369">
      <c r="A369" s="7" t="s">
        <v>417</v>
      </c>
      <c r="B369" s="7" t="s">
        <v>380</v>
      </c>
      <c r="C369" s="8">
        <v>16499.0</v>
      </c>
      <c r="D369" s="8">
        <v>20999.0</v>
      </c>
      <c r="E369" s="19">
        <v>0.21</v>
      </c>
      <c r="F369" s="10">
        <v>4.0</v>
      </c>
      <c r="G369" s="11">
        <v>21350.0</v>
      </c>
      <c r="K369" s="23">
        <v>4500.0</v>
      </c>
    </row>
    <row r="370">
      <c r="A370" s="7" t="s">
        <v>372</v>
      </c>
      <c r="B370" s="7" t="s">
        <v>373</v>
      </c>
      <c r="C370" s="8">
        <v>1799.0</v>
      </c>
      <c r="D370" s="8">
        <v>19999.0</v>
      </c>
      <c r="E370" s="19">
        <v>0.91</v>
      </c>
      <c r="F370" s="10">
        <v>4.2</v>
      </c>
      <c r="G370" s="11">
        <v>13937.0</v>
      </c>
      <c r="K370" s="23">
        <v>18200.0</v>
      </c>
    </row>
    <row r="371">
      <c r="A371" s="7" t="s">
        <v>14</v>
      </c>
      <c r="B371" s="7" t="s">
        <v>15</v>
      </c>
      <c r="C371" s="8">
        <v>399.0</v>
      </c>
      <c r="D371" s="8">
        <v>1099.0</v>
      </c>
      <c r="E371" s="19">
        <v>0.64</v>
      </c>
      <c r="F371" s="10">
        <v>4.2</v>
      </c>
      <c r="G371" s="11">
        <v>24270.0</v>
      </c>
      <c r="K371" s="23">
        <v>700.0</v>
      </c>
    </row>
    <row r="372">
      <c r="A372" s="7" t="s">
        <v>418</v>
      </c>
      <c r="B372" s="7" t="s">
        <v>380</v>
      </c>
      <c r="C372" s="8">
        <v>8499.0</v>
      </c>
      <c r="D372" s="8">
        <v>10999.0</v>
      </c>
      <c r="E372" s="19">
        <v>0.23</v>
      </c>
      <c r="F372" s="10">
        <v>4.1</v>
      </c>
      <c r="G372" s="7" t="s">
        <v>419</v>
      </c>
      <c r="K372" s="23">
        <v>2500.0</v>
      </c>
    </row>
    <row r="373">
      <c r="A373" s="7" t="s">
        <v>420</v>
      </c>
      <c r="B373" s="7" t="s">
        <v>380</v>
      </c>
      <c r="C373" s="8">
        <v>6499.0</v>
      </c>
      <c r="D373" s="8">
        <v>8499.0</v>
      </c>
      <c r="E373" s="19">
        <v>0.24</v>
      </c>
      <c r="F373" s="10">
        <v>4.1</v>
      </c>
      <c r="G373" s="7" t="s">
        <v>419</v>
      </c>
      <c r="K373" s="23">
        <v>2000.0</v>
      </c>
    </row>
    <row r="374">
      <c r="A374" s="7" t="s">
        <v>372</v>
      </c>
      <c r="B374" s="7" t="s">
        <v>373</v>
      </c>
      <c r="C374" s="8">
        <v>1799.0</v>
      </c>
      <c r="D374" s="8">
        <v>19999.0</v>
      </c>
      <c r="E374" s="19">
        <v>0.91</v>
      </c>
      <c r="F374" s="10">
        <v>4.2</v>
      </c>
      <c r="G374" s="11">
        <v>13937.0</v>
      </c>
      <c r="K374" s="23">
        <v>18200.0</v>
      </c>
    </row>
    <row r="375">
      <c r="A375" s="7" t="s">
        <v>421</v>
      </c>
      <c r="B375" s="7" t="s">
        <v>380</v>
      </c>
      <c r="C375" s="8">
        <v>8999.0</v>
      </c>
      <c r="D375" s="8">
        <v>11999.0</v>
      </c>
      <c r="E375" s="19">
        <v>0.25</v>
      </c>
      <c r="F375" s="10">
        <v>4.0</v>
      </c>
      <c r="G375" s="11">
        <v>12796.0</v>
      </c>
      <c r="K375" s="23">
        <v>3000.0</v>
      </c>
    </row>
    <row r="376">
      <c r="A376" s="7" t="s">
        <v>422</v>
      </c>
      <c r="B376" s="7" t="s">
        <v>423</v>
      </c>
      <c r="C376" s="8">
        <v>139.0</v>
      </c>
      <c r="D376" s="8">
        <v>495.0</v>
      </c>
      <c r="E376" s="19">
        <v>0.72</v>
      </c>
      <c r="F376" s="10">
        <v>4.3</v>
      </c>
      <c r="G376" s="11">
        <v>14185.0</v>
      </c>
      <c r="K376" s="23">
        <v>356.0</v>
      </c>
    </row>
    <row r="377">
      <c r="A377" s="7" t="s">
        <v>424</v>
      </c>
      <c r="B377" s="7" t="s">
        <v>373</v>
      </c>
      <c r="C377" s="8">
        <v>3999.0</v>
      </c>
      <c r="D377" s="8">
        <v>16999.0</v>
      </c>
      <c r="E377" s="19">
        <v>0.76</v>
      </c>
      <c r="F377" s="10">
        <v>4.3</v>
      </c>
      <c r="G377" s="11">
        <v>17159.0</v>
      </c>
      <c r="K377" s="23">
        <v>13000.0</v>
      </c>
    </row>
    <row r="378">
      <c r="A378" s="7" t="s">
        <v>425</v>
      </c>
      <c r="B378" s="7" t="s">
        <v>373</v>
      </c>
      <c r="C378" s="8">
        <v>2998.0</v>
      </c>
      <c r="D378" s="8">
        <v>5999.0</v>
      </c>
      <c r="E378" s="19">
        <v>0.5</v>
      </c>
      <c r="F378" s="10">
        <v>4.1</v>
      </c>
      <c r="G378" s="11">
        <v>5179.0</v>
      </c>
      <c r="K378" s="23">
        <v>3001.0</v>
      </c>
    </row>
    <row r="379">
      <c r="A379" s="7" t="s">
        <v>17</v>
      </c>
      <c r="B379" s="7" t="s">
        <v>15</v>
      </c>
      <c r="C379" s="8">
        <v>199.0</v>
      </c>
      <c r="D379" s="8">
        <v>349.0</v>
      </c>
      <c r="E379" s="19">
        <v>0.43</v>
      </c>
      <c r="F379" s="10">
        <v>4.0</v>
      </c>
      <c r="G379" s="11">
        <v>43993.0</v>
      </c>
      <c r="K379" s="23">
        <v>150.0</v>
      </c>
    </row>
    <row r="380">
      <c r="A380" s="7" t="s">
        <v>426</v>
      </c>
      <c r="B380" s="7" t="s">
        <v>380</v>
      </c>
      <c r="C380" s="8">
        <v>15499.0</v>
      </c>
      <c r="D380" s="8">
        <v>18999.0</v>
      </c>
      <c r="E380" s="19">
        <v>0.18</v>
      </c>
      <c r="F380" s="10">
        <v>4.1</v>
      </c>
      <c r="G380" s="11">
        <v>19252.0</v>
      </c>
      <c r="K380" s="23">
        <v>3500.0</v>
      </c>
    </row>
    <row r="381">
      <c r="A381" s="7" t="s">
        <v>18</v>
      </c>
      <c r="B381" s="7" t="s">
        <v>15</v>
      </c>
      <c r="C381" s="8">
        <v>199.0</v>
      </c>
      <c r="D381" s="8">
        <v>999.0</v>
      </c>
      <c r="E381" s="19">
        <v>0.8</v>
      </c>
      <c r="F381" s="10">
        <v>3.9</v>
      </c>
      <c r="G381" s="11">
        <v>7928.0</v>
      </c>
      <c r="K381" s="23">
        <v>800.0</v>
      </c>
    </row>
    <row r="382">
      <c r="A382" s="7" t="s">
        <v>372</v>
      </c>
      <c r="B382" s="7" t="s">
        <v>373</v>
      </c>
      <c r="C382" s="8">
        <v>1799.0</v>
      </c>
      <c r="D382" s="8">
        <v>19999.0</v>
      </c>
      <c r="E382" s="19">
        <v>0.91</v>
      </c>
      <c r="F382" s="10">
        <v>4.2</v>
      </c>
      <c r="G382" s="11">
        <v>13937.0</v>
      </c>
      <c r="K382" s="23">
        <v>18200.0</v>
      </c>
    </row>
    <row r="383">
      <c r="A383" s="7" t="s">
        <v>427</v>
      </c>
      <c r="B383" s="7" t="s">
        <v>380</v>
      </c>
      <c r="C383" s="8">
        <v>8999.0</v>
      </c>
      <c r="D383" s="8">
        <v>11999.0</v>
      </c>
      <c r="E383" s="19">
        <v>0.25</v>
      </c>
      <c r="F383" s="10">
        <v>4.0</v>
      </c>
      <c r="G383" s="11">
        <v>12796.0</v>
      </c>
      <c r="K383" s="23">
        <v>3000.0</v>
      </c>
    </row>
    <row r="384">
      <c r="A384" s="7" t="s">
        <v>428</v>
      </c>
      <c r="B384" s="7" t="s">
        <v>399</v>
      </c>
      <c r="C384" s="8">
        <v>873.0</v>
      </c>
      <c r="D384" s="8">
        <v>1699.0</v>
      </c>
      <c r="E384" s="19">
        <v>0.49</v>
      </c>
      <c r="F384" s="10">
        <v>4.4</v>
      </c>
      <c r="G384" s="11">
        <v>1680.0</v>
      </c>
      <c r="K384" s="23">
        <v>826.0</v>
      </c>
    </row>
    <row r="385">
      <c r="A385" s="7" t="s">
        <v>429</v>
      </c>
      <c r="B385" s="7" t="s">
        <v>380</v>
      </c>
      <c r="C385" s="8">
        <v>12999.0</v>
      </c>
      <c r="D385" s="8">
        <v>15999.0</v>
      </c>
      <c r="E385" s="19">
        <v>0.19</v>
      </c>
      <c r="F385" s="10">
        <v>4.2</v>
      </c>
      <c r="G385" s="11">
        <v>13246.0</v>
      </c>
      <c r="K385" s="23">
        <v>3000.0</v>
      </c>
    </row>
    <row r="386">
      <c r="A386" s="7" t="s">
        <v>430</v>
      </c>
      <c r="B386" s="7" t="s">
        <v>431</v>
      </c>
      <c r="C386" s="8">
        <v>539.0</v>
      </c>
      <c r="D386" s="8">
        <v>1599.0</v>
      </c>
      <c r="E386" s="19">
        <v>0.66</v>
      </c>
      <c r="F386" s="10">
        <v>3.8</v>
      </c>
      <c r="G386" s="11">
        <v>14648.0</v>
      </c>
      <c r="K386" s="23">
        <v>1060.0</v>
      </c>
    </row>
    <row r="387">
      <c r="A387" s="7" t="s">
        <v>374</v>
      </c>
      <c r="B387" s="7" t="s">
        <v>373</v>
      </c>
      <c r="C387" s="8">
        <v>1999.0</v>
      </c>
      <c r="D387" s="8">
        <v>9999.0</v>
      </c>
      <c r="E387" s="19">
        <v>0.8</v>
      </c>
      <c r="F387" s="10">
        <v>4.3</v>
      </c>
      <c r="G387" s="11">
        <v>27696.0</v>
      </c>
      <c r="K387" s="23">
        <v>8000.0</v>
      </c>
    </row>
    <row r="388">
      <c r="A388" s="7" t="s">
        <v>432</v>
      </c>
      <c r="B388" s="7" t="s">
        <v>380</v>
      </c>
      <c r="C388" s="8">
        <v>15490.0</v>
      </c>
      <c r="D388" s="8">
        <v>20990.0</v>
      </c>
      <c r="E388" s="19">
        <v>0.26</v>
      </c>
      <c r="F388" s="10">
        <v>4.2</v>
      </c>
      <c r="G388" s="11">
        <v>32916.0</v>
      </c>
      <c r="K388" s="23">
        <v>5500.0</v>
      </c>
    </row>
    <row r="389">
      <c r="A389" s="7" t="s">
        <v>433</v>
      </c>
      <c r="B389" s="7" t="s">
        <v>380</v>
      </c>
      <c r="C389" s="8">
        <v>19999.0</v>
      </c>
      <c r="D389" s="8">
        <v>24999.0</v>
      </c>
      <c r="E389" s="19">
        <v>0.2</v>
      </c>
      <c r="F389" s="10">
        <v>3.9</v>
      </c>
      <c r="G389" s="11">
        <v>25824.0</v>
      </c>
      <c r="K389" s="23">
        <v>5000.0</v>
      </c>
    </row>
    <row r="390">
      <c r="A390" s="7" t="s">
        <v>434</v>
      </c>
      <c r="B390" s="7" t="s">
        <v>409</v>
      </c>
      <c r="C390" s="8">
        <v>1075.0</v>
      </c>
      <c r="D390" s="8">
        <v>1699.0</v>
      </c>
      <c r="E390" s="19">
        <v>0.37</v>
      </c>
      <c r="F390" s="10">
        <v>4.4</v>
      </c>
      <c r="G390" s="11">
        <v>7462.0</v>
      </c>
      <c r="K390" s="23">
        <v>624.0</v>
      </c>
    </row>
    <row r="391">
      <c r="A391" s="7" t="s">
        <v>435</v>
      </c>
      <c r="B391" s="7" t="s">
        <v>393</v>
      </c>
      <c r="C391" s="8">
        <v>399.0</v>
      </c>
      <c r="D391" s="8">
        <v>699.0</v>
      </c>
      <c r="E391" s="19">
        <v>0.43</v>
      </c>
      <c r="F391" s="10">
        <v>4.0</v>
      </c>
      <c r="G391" s="11">
        <v>37817.0</v>
      </c>
      <c r="K391" s="23">
        <v>300.0</v>
      </c>
    </row>
    <row r="392">
      <c r="A392" s="7" t="s">
        <v>436</v>
      </c>
      <c r="B392" s="7" t="s">
        <v>373</v>
      </c>
      <c r="C392" s="8">
        <v>1999.0</v>
      </c>
      <c r="D392" s="8">
        <v>3990.0</v>
      </c>
      <c r="E392" s="19">
        <v>0.5</v>
      </c>
      <c r="F392" s="10">
        <v>4.0</v>
      </c>
      <c r="G392" s="11">
        <v>30254.0</v>
      </c>
      <c r="K392" s="23">
        <v>1991.0</v>
      </c>
    </row>
    <row r="393">
      <c r="A393" s="7" t="s">
        <v>437</v>
      </c>
      <c r="B393" s="7" t="s">
        <v>373</v>
      </c>
      <c r="C393" s="8">
        <v>1999.0</v>
      </c>
      <c r="D393" s="8">
        <v>7990.0</v>
      </c>
      <c r="E393" s="19">
        <v>0.75</v>
      </c>
      <c r="F393" s="10">
        <v>3.8</v>
      </c>
      <c r="G393" s="11">
        <v>17831.0</v>
      </c>
      <c r="K393" s="23">
        <v>5991.0</v>
      </c>
    </row>
    <row r="394">
      <c r="A394" s="7" t="s">
        <v>19</v>
      </c>
      <c r="B394" s="7" t="s">
        <v>15</v>
      </c>
      <c r="C394" s="8">
        <v>329.0</v>
      </c>
      <c r="D394" s="8">
        <v>699.0</v>
      </c>
      <c r="E394" s="19">
        <v>0.53</v>
      </c>
      <c r="F394" s="10">
        <v>4.2</v>
      </c>
      <c r="G394" s="11">
        <v>94364.0</v>
      </c>
      <c r="K394" s="23">
        <v>370.0</v>
      </c>
    </row>
    <row r="395">
      <c r="A395" s="7" t="s">
        <v>20</v>
      </c>
      <c r="B395" s="7" t="s">
        <v>15</v>
      </c>
      <c r="C395" s="8">
        <v>154.0</v>
      </c>
      <c r="D395" s="8">
        <v>399.0</v>
      </c>
      <c r="E395" s="19">
        <v>0.61</v>
      </c>
      <c r="F395" s="10">
        <v>4.2</v>
      </c>
      <c r="G395" s="11">
        <v>16905.0</v>
      </c>
      <c r="K395" s="23">
        <v>245.0</v>
      </c>
    </row>
    <row r="396">
      <c r="A396" s="7" t="s">
        <v>438</v>
      </c>
      <c r="B396" s="7" t="s">
        <v>380</v>
      </c>
      <c r="C396" s="8">
        <v>28999.0</v>
      </c>
      <c r="D396" s="8">
        <v>34999.0</v>
      </c>
      <c r="E396" s="19">
        <v>0.17</v>
      </c>
      <c r="F396" s="10">
        <v>4.4</v>
      </c>
      <c r="G396" s="11">
        <v>20311.0</v>
      </c>
      <c r="K396" s="23">
        <v>6000.0</v>
      </c>
    </row>
    <row r="397">
      <c r="A397" s="7" t="s">
        <v>439</v>
      </c>
      <c r="B397" s="7" t="s">
        <v>373</v>
      </c>
      <c r="C397" s="8">
        <v>2299.0</v>
      </c>
      <c r="D397" s="8">
        <v>7990.0</v>
      </c>
      <c r="E397" s="19">
        <v>0.71</v>
      </c>
      <c r="F397" s="10">
        <v>4.2</v>
      </c>
      <c r="G397" s="11">
        <v>69622.0</v>
      </c>
      <c r="K397" s="23">
        <v>5691.0</v>
      </c>
    </row>
    <row r="398">
      <c r="A398" s="7" t="s">
        <v>440</v>
      </c>
      <c r="B398" s="7" t="s">
        <v>441</v>
      </c>
      <c r="C398" s="8">
        <v>399.0</v>
      </c>
      <c r="D398" s="8">
        <v>1999.0</v>
      </c>
      <c r="E398" s="19">
        <v>0.8</v>
      </c>
      <c r="F398" s="10">
        <v>4.0</v>
      </c>
      <c r="G398" s="11">
        <v>3382.0</v>
      </c>
      <c r="K398" s="23">
        <v>1600.0</v>
      </c>
    </row>
    <row r="399">
      <c r="A399" s="7" t="s">
        <v>442</v>
      </c>
      <c r="B399" s="7" t="s">
        <v>386</v>
      </c>
      <c r="C399" s="8">
        <v>1149.0</v>
      </c>
      <c r="D399" s="8">
        <v>3999.0</v>
      </c>
      <c r="E399" s="19">
        <v>0.71</v>
      </c>
      <c r="F399" s="10">
        <v>4.3</v>
      </c>
      <c r="G399" s="7" t="s">
        <v>443</v>
      </c>
      <c r="K399" s="23">
        <v>2850.0</v>
      </c>
    </row>
    <row r="400">
      <c r="A400" s="7" t="s">
        <v>444</v>
      </c>
      <c r="B400" s="7" t="s">
        <v>409</v>
      </c>
      <c r="C400" s="8">
        <v>529.0</v>
      </c>
      <c r="D400" s="8">
        <v>1499.0</v>
      </c>
      <c r="E400" s="19">
        <v>0.65</v>
      </c>
      <c r="F400" s="10">
        <v>4.1</v>
      </c>
      <c r="G400" s="11">
        <v>8599.0</v>
      </c>
      <c r="K400" s="23">
        <v>970.0</v>
      </c>
    </row>
    <row r="401">
      <c r="A401" s="7" t="s">
        <v>445</v>
      </c>
      <c r="B401" s="7" t="s">
        <v>380</v>
      </c>
      <c r="C401" s="8">
        <v>13999.0</v>
      </c>
      <c r="D401" s="8">
        <v>19499.0</v>
      </c>
      <c r="E401" s="19">
        <v>0.28</v>
      </c>
      <c r="F401" s="10">
        <v>4.1</v>
      </c>
      <c r="G401" s="11">
        <v>18998.0</v>
      </c>
      <c r="K401" s="23">
        <v>5500.0</v>
      </c>
    </row>
    <row r="402">
      <c r="A402" s="7" t="s">
        <v>446</v>
      </c>
      <c r="B402" s="7" t="s">
        <v>393</v>
      </c>
      <c r="C402" s="8">
        <v>379.0</v>
      </c>
      <c r="D402" s="8">
        <v>999.0</v>
      </c>
      <c r="E402" s="19">
        <v>0.62</v>
      </c>
      <c r="F402" s="10">
        <v>4.1</v>
      </c>
      <c r="G402" s="7" t="s">
        <v>401</v>
      </c>
      <c r="K402" s="23">
        <v>620.0</v>
      </c>
    </row>
    <row r="403">
      <c r="A403" s="7" t="s">
        <v>447</v>
      </c>
      <c r="B403" s="7" t="s">
        <v>380</v>
      </c>
      <c r="C403" s="8">
        <v>13999.0</v>
      </c>
      <c r="D403" s="8">
        <v>19999.0</v>
      </c>
      <c r="E403" s="19">
        <v>0.3</v>
      </c>
      <c r="F403" s="10">
        <v>4.1</v>
      </c>
      <c r="G403" s="11">
        <v>19252.0</v>
      </c>
      <c r="K403" s="23">
        <v>6000.0</v>
      </c>
    </row>
    <row r="404">
      <c r="A404" s="7" t="s">
        <v>448</v>
      </c>
      <c r="B404" s="7" t="s">
        <v>373</v>
      </c>
      <c r="C404" s="8">
        <v>3999.0</v>
      </c>
      <c r="D404" s="8">
        <v>9999.0</v>
      </c>
      <c r="E404" s="19">
        <v>0.6</v>
      </c>
      <c r="F404" s="10">
        <v>4.4</v>
      </c>
      <c r="G404" s="10">
        <v>73.0</v>
      </c>
      <c r="K404" s="23">
        <v>6000.0</v>
      </c>
    </row>
    <row r="405">
      <c r="A405" s="7" t="s">
        <v>21</v>
      </c>
      <c r="B405" s="7" t="s">
        <v>15</v>
      </c>
      <c r="C405" s="8">
        <v>149.0</v>
      </c>
      <c r="D405" s="8">
        <v>1000.0</v>
      </c>
      <c r="E405" s="19">
        <v>0.85</v>
      </c>
      <c r="F405" s="10">
        <v>3.9</v>
      </c>
      <c r="G405" s="11">
        <v>24870.0</v>
      </c>
      <c r="K405" s="23">
        <v>851.0</v>
      </c>
    </row>
    <row r="406">
      <c r="A406" s="7" t="s">
        <v>449</v>
      </c>
      <c r="B406" s="7" t="s">
        <v>450</v>
      </c>
      <c r="C406" s="8">
        <v>99.0</v>
      </c>
      <c r="D406" s="8">
        <v>499.0</v>
      </c>
      <c r="E406" s="19">
        <v>0.8</v>
      </c>
      <c r="F406" s="10">
        <v>4.3</v>
      </c>
      <c r="G406" s="11">
        <v>42641.0</v>
      </c>
      <c r="K406" s="23">
        <v>400.0</v>
      </c>
    </row>
    <row r="407">
      <c r="A407" s="7" t="s">
        <v>451</v>
      </c>
      <c r="B407" s="7" t="s">
        <v>393</v>
      </c>
      <c r="C407" s="8">
        <v>4790.0</v>
      </c>
      <c r="D407" s="8">
        <v>15990.0</v>
      </c>
      <c r="E407" s="19">
        <v>0.7</v>
      </c>
      <c r="F407" s="10">
        <v>4.0</v>
      </c>
      <c r="G407" s="11">
        <v>4390.0</v>
      </c>
      <c r="K407" s="23">
        <v>11200.0</v>
      </c>
    </row>
    <row r="408">
      <c r="A408" s="7" t="s">
        <v>452</v>
      </c>
      <c r="B408" s="7" t="s">
        <v>380</v>
      </c>
      <c r="C408" s="8">
        <v>33999.0</v>
      </c>
      <c r="D408" s="8">
        <v>33999.0</v>
      </c>
      <c r="E408" s="19">
        <v>0.0</v>
      </c>
      <c r="F408" s="10">
        <v>4.3</v>
      </c>
      <c r="G408" s="11">
        <v>17415.0</v>
      </c>
      <c r="K408" s="23">
        <v>0.0</v>
      </c>
    </row>
    <row r="409">
      <c r="A409" s="7" t="s">
        <v>453</v>
      </c>
      <c r="B409" s="7" t="s">
        <v>454</v>
      </c>
      <c r="C409" s="8">
        <v>99.0</v>
      </c>
      <c r="D409" s="8">
        <v>999.0</v>
      </c>
      <c r="E409" s="19">
        <v>0.9</v>
      </c>
      <c r="F409" s="10">
        <v>4.0</v>
      </c>
      <c r="G409" s="11">
        <v>1396.0</v>
      </c>
      <c r="K409" s="23">
        <v>900.0</v>
      </c>
    </row>
    <row r="410">
      <c r="A410" s="7" t="s">
        <v>455</v>
      </c>
      <c r="B410" s="7" t="s">
        <v>393</v>
      </c>
      <c r="C410" s="8">
        <v>299.0</v>
      </c>
      <c r="D410" s="8">
        <v>1900.0</v>
      </c>
      <c r="E410" s="19">
        <v>0.84</v>
      </c>
      <c r="F410" s="10">
        <v>3.6</v>
      </c>
      <c r="G410" s="11">
        <v>18202.0</v>
      </c>
      <c r="K410" s="23">
        <v>1601.0</v>
      </c>
    </row>
    <row r="411">
      <c r="A411" s="7" t="s">
        <v>456</v>
      </c>
      <c r="B411" s="7" t="s">
        <v>380</v>
      </c>
      <c r="C411" s="8">
        <v>10999.0</v>
      </c>
      <c r="D411" s="8">
        <v>14999.0</v>
      </c>
      <c r="E411" s="19">
        <v>0.27</v>
      </c>
      <c r="F411" s="10">
        <v>4.1</v>
      </c>
      <c r="G411" s="11">
        <v>18998.0</v>
      </c>
      <c r="K411" s="23">
        <v>4000.0</v>
      </c>
    </row>
    <row r="412">
      <c r="A412" s="7" t="s">
        <v>457</v>
      </c>
      <c r="B412" s="7" t="s">
        <v>380</v>
      </c>
      <c r="C412" s="8">
        <v>34999.0</v>
      </c>
      <c r="D412" s="8">
        <v>38999.0</v>
      </c>
      <c r="E412" s="19">
        <v>0.1</v>
      </c>
      <c r="F412" s="10">
        <v>4.2</v>
      </c>
      <c r="G412" s="11">
        <v>11029.0</v>
      </c>
      <c r="K412" s="23">
        <v>4000.0</v>
      </c>
    </row>
    <row r="413">
      <c r="A413" s="7" t="s">
        <v>416</v>
      </c>
      <c r="B413" s="7" t="s">
        <v>380</v>
      </c>
      <c r="C413" s="8">
        <v>16999.0</v>
      </c>
      <c r="D413" s="8">
        <v>24999.0</v>
      </c>
      <c r="E413" s="19">
        <v>0.32</v>
      </c>
      <c r="F413" s="10">
        <v>4.1</v>
      </c>
      <c r="G413" s="11">
        <v>22318.0</v>
      </c>
      <c r="K413" s="23">
        <v>8000.0</v>
      </c>
    </row>
    <row r="414">
      <c r="A414" s="7" t="s">
        <v>458</v>
      </c>
      <c r="B414" s="7" t="s">
        <v>450</v>
      </c>
      <c r="C414" s="8">
        <v>199.0</v>
      </c>
      <c r="D414" s="8">
        <v>499.0</v>
      </c>
      <c r="E414" s="19">
        <v>0.6</v>
      </c>
      <c r="F414" s="10">
        <v>4.1</v>
      </c>
      <c r="G414" s="11">
        <v>1786.0</v>
      </c>
      <c r="K414" s="23">
        <v>300.0</v>
      </c>
    </row>
    <row r="415">
      <c r="A415" s="7" t="s">
        <v>459</v>
      </c>
      <c r="B415" s="7" t="s">
        <v>377</v>
      </c>
      <c r="C415" s="8">
        <v>999.0</v>
      </c>
      <c r="D415" s="8">
        <v>1599.0</v>
      </c>
      <c r="E415" s="19">
        <v>0.38</v>
      </c>
      <c r="F415" s="10">
        <v>4.0</v>
      </c>
      <c r="G415" s="11">
        <v>7222.0</v>
      </c>
      <c r="K415" s="23">
        <v>600.0</v>
      </c>
    </row>
    <row r="416">
      <c r="A416" s="7" t="s">
        <v>460</v>
      </c>
      <c r="B416" s="7" t="s">
        <v>389</v>
      </c>
      <c r="C416" s="8">
        <v>1299.0</v>
      </c>
      <c r="D416" s="8">
        <v>1599.0</v>
      </c>
      <c r="E416" s="19">
        <v>0.19</v>
      </c>
      <c r="F416" s="10">
        <v>4.0</v>
      </c>
      <c r="G416" s="7" t="s">
        <v>390</v>
      </c>
      <c r="K416" s="23">
        <v>300.0</v>
      </c>
    </row>
    <row r="417">
      <c r="A417" s="7" t="s">
        <v>461</v>
      </c>
      <c r="B417" s="7" t="s">
        <v>393</v>
      </c>
      <c r="C417" s="8">
        <v>599.0</v>
      </c>
      <c r="D417" s="8">
        <v>1800.0</v>
      </c>
      <c r="E417" s="19">
        <v>0.67</v>
      </c>
      <c r="F417" s="10">
        <v>3.5</v>
      </c>
      <c r="G417" s="11">
        <v>83996.0</v>
      </c>
      <c r="K417" s="23">
        <v>1201.0</v>
      </c>
    </row>
    <row r="418">
      <c r="A418" s="7" t="s">
        <v>462</v>
      </c>
      <c r="B418" s="7" t="s">
        <v>386</v>
      </c>
      <c r="C418" s="8">
        <v>599.0</v>
      </c>
      <c r="D418" s="8">
        <v>1899.0</v>
      </c>
      <c r="E418" s="19">
        <v>0.68</v>
      </c>
      <c r="F418" s="10">
        <v>4.3</v>
      </c>
      <c r="G418" s="7" t="s">
        <v>443</v>
      </c>
      <c r="K418" s="23">
        <v>1300.0</v>
      </c>
    </row>
    <row r="419">
      <c r="A419" s="7" t="s">
        <v>463</v>
      </c>
      <c r="B419" s="7" t="s">
        <v>377</v>
      </c>
      <c r="C419" s="8">
        <v>1799.0</v>
      </c>
      <c r="D419" s="8">
        <v>2499.0</v>
      </c>
      <c r="E419" s="19">
        <v>0.28</v>
      </c>
      <c r="F419" s="10">
        <v>4.1</v>
      </c>
      <c r="G419" s="11">
        <v>18678.0</v>
      </c>
      <c r="K419" s="23">
        <v>700.0</v>
      </c>
    </row>
    <row r="420">
      <c r="A420" s="7" t="s">
        <v>22</v>
      </c>
      <c r="B420" s="7" t="s">
        <v>15</v>
      </c>
      <c r="C420" s="8">
        <v>176.63</v>
      </c>
      <c r="D420" s="8">
        <v>499.0</v>
      </c>
      <c r="E420" s="19">
        <v>0.65</v>
      </c>
      <c r="F420" s="10">
        <v>4.1</v>
      </c>
      <c r="G420" s="11">
        <v>15189.0</v>
      </c>
      <c r="K420" s="23">
        <v>322.37</v>
      </c>
    </row>
    <row r="421">
      <c r="A421" s="7" t="s">
        <v>464</v>
      </c>
      <c r="B421" s="7" t="s">
        <v>380</v>
      </c>
      <c r="C421" s="8">
        <v>10999.0</v>
      </c>
      <c r="D421" s="8">
        <v>14999.0</v>
      </c>
      <c r="E421" s="19">
        <v>0.27</v>
      </c>
      <c r="F421" s="10">
        <v>4.1</v>
      </c>
      <c r="G421" s="11">
        <v>18998.0</v>
      </c>
      <c r="K421" s="23">
        <v>4000.0</v>
      </c>
    </row>
    <row r="422">
      <c r="A422" s="7" t="s">
        <v>465</v>
      </c>
      <c r="B422" s="7" t="s">
        <v>373</v>
      </c>
      <c r="C422" s="8">
        <v>2999.0</v>
      </c>
      <c r="D422" s="8">
        <v>7990.0</v>
      </c>
      <c r="E422" s="19">
        <v>0.62</v>
      </c>
      <c r="F422" s="10">
        <v>4.1</v>
      </c>
      <c r="G422" s="11">
        <v>48449.0</v>
      </c>
      <c r="K422" s="23">
        <v>4991.0</v>
      </c>
    </row>
    <row r="423">
      <c r="A423" s="7" t="s">
        <v>466</v>
      </c>
      <c r="B423" s="7" t="s">
        <v>373</v>
      </c>
      <c r="C423" s="8">
        <v>1999.0</v>
      </c>
      <c r="D423" s="8">
        <v>7990.0</v>
      </c>
      <c r="E423" s="19">
        <v>0.75</v>
      </c>
      <c r="F423" s="10">
        <v>3.8</v>
      </c>
      <c r="G423" s="11">
        <v>17831.0</v>
      </c>
      <c r="K423" s="23">
        <v>5991.0</v>
      </c>
    </row>
    <row r="424">
      <c r="A424" s="7" t="s">
        <v>23</v>
      </c>
      <c r="B424" s="7" t="s">
        <v>15</v>
      </c>
      <c r="C424" s="8">
        <v>229.0</v>
      </c>
      <c r="D424" s="8">
        <v>299.0</v>
      </c>
      <c r="E424" s="19">
        <v>0.23</v>
      </c>
      <c r="F424" s="10">
        <v>4.3</v>
      </c>
      <c r="G424" s="11">
        <v>30411.0</v>
      </c>
      <c r="K424" s="23">
        <v>70.0</v>
      </c>
    </row>
    <row r="425">
      <c r="A425" s="7" t="s">
        <v>27</v>
      </c>
      <c r="B425" s="7" t="s">
        <v>15</v>
      </c>
      <c r="C425" s="8">
        <v>199.0</v>
      </c>
      <c r="D425" s="8">
        <v>299.0</v>
      </c>
      <c r="E425" s="19">
        <v>0.33</v>
      </c>
      <c r="F425" s="10">
        <v>4.0</v>
      </c>
      <c r="G425" s="11">
        <v>43994.0</v>
      </c>
      <c r="K425" s="23">
        <v>100.0</v>
      </c>
    </row>
    <row r="426">
      <c r="A426" s="7" t="s">
        <v>467</v>
      </c>
      <c r="B426" s="7" t="s">
        <v>409</v>
      </c>
      <c r="C426" s="8">
        <v>649.0</v>
      </c>
      <c r="D426" s="8">
        <v>999.0</v>
      </c>
      <c r="E426" s="19">
        <v>0.35</v>
      </c>
      <c r="F426" s="10">
        <v>4.2</v>
      </c>
      <c r="G426" s="11">
        <v>1315.0</v>
      </c>
      <c r="K426" s="23">
        <v>350.0</v>
      </c>
    </row>
    <row r="427">
      <c r="A427" s="7" t="s">
        <v>445</v>
      </c>
      <c r="B427" s="7" t="s">
        <v>380</v>
      </c>
      <c r="C427" s="8">
        <v>13999.0</v>
      </c>
      <c r="D427" s="8">
        <v>19499.0</v>
      </c>
      <c r="E427" s="19">
        <v>0.28</v>
      </c>
      <c r="F427" s="10">
        <v>4.1</v>
      </c>
      <c r="G427" s="11">
        <v>18998.0</v>
      </c>
      <c r="K427" s="23">
        <v>5500.0</v>
      </c>
    </row>
    <row r="428">
      <c r="A428" s="7" t="s">
        <v>468</v>
      </c>
      <c r="B428" s="7" t="s">
        <v>469</v>
      </c>
      <c r="C428" s="8">
        <v>119.0</v>
      </c>
      <c r="D428" s="8">
        <v>299.0</v>
      </c>
      <c r="E428" s="19">
        <v>0.6</v>
      </c>
      <c r="F428" s="10">
        <v>4.1</v>
      </c>
      <c r="G428" s="11">
        <v>5999.0</v>
      </c>
      <c r="K428" s="23">
        <v>180.0</v>
      </c>
    </row>
    <row r="429">
      <c r="A429" s="7" t="s">
        <v>470</v>
      </c>
      <c r="B429" s="7" t="s">
        <v>380</v>
      </c>
      <c r="C429" s="8">
        <v>12999.0</v>
      </c>
      <c r="D429" s="8">
        <v>17999.0</v>
      </c>
      <c r="E429" s="19">
        <v>0.28</v>
      </c>
      <c r="F429" s="10">
        <v>4.1</v>
      </c>
      <c r="G429" s="11">
        <v>50772.0</v>
      </c>
      <c r="K429" s="23">
        <v>5000.0</v>
      </c>
    </row>
    <row r="430">
      <c r="A430" s="7" t="s">
        <v>28</v>
      </c>
      <c r="B430" s="7" t="s">
        <v>15</v>
      </c>
      <c r="C430" s="8">
        <v>154.0</v>
      </c>
      <c r="D430" s="8">
        <v>339.0</v>
      </c>
      <c r="E430" s="19">
        <v>0.55</v>
      </c>
      <c r="F430" s="10">
        <v>4.3</v>
      </c>
      <c r="G430" s="11">
        <v>13391.0</v>
      </c>
      <c r="K430" s="23">
        <v>185.0</v>
      </c>
    </row>
    <row r="431">
      <c r="A431" s="7" t="s">
        <v>471</v>
      </c>
      <c r="B431" s="7" t="s">
        <v>380</v>
      </c>
      <c r="C431" s="8">
        <v>20999.0</v>
      </c>
      <c r="D431" s="8">
        <v>26999.0</v>
      </c>
      <c r="E431" s="19">
        <v>0.22</v>
      </c>
      <c r="F431" s="10">
        <v>3.9</v>
      </c>
      <c r="G431" s="11">
        <v>25824.0</v>
      </c>
      <c r="K431" s="23">
        <v>6000.0</v>
      </c>
    </row>
    <row r="432">
      <c r="A432" s="7" t="s">
        <v>472</v>
      </c>
      <c r="B432" s="7" t="s">
        <v>409</v>
      </c>
      <c r="C432" s="8">
        <v>249.0</v>
      </c>
      <c r="D432" s="8">
        <v>649.0</v>
      </c>
      <c r="E432" s="19">
        <v>0.62</v>
      </c>
      <c r="F432" s="10">
        <v>4.0</v>
      </c>
      <c r="G432" s="11">
        <v>14404.0</v>
      </c>
      <c r="K432" s="23">
        <v>400.0</v>
      </c>
    </row>
    <row r="433">
      <c r="A433" s="7" t="s">
        <v>473</v>
      </c>
      <c r="B433" s="7" t="s">
        <v>409</v>
      </c>
      <c r="C433" s="8">
        <v>99.0</v>
      </c>
      <c r="D433" s="8">
        <v>171.0</v>
      </c>
      <c r="E433" s="19">
        <v>0.42</v>
      </c>
      <c r="F433" s="10">
        <v>4.5</v>
      </c>
      <c r="G433" s="11">
        <v>11339.0</v>
      </c>
      <c r="K433" s="23">
        <v>72.0</v>
      </c>
    </row>
    <row r="434">
      <c r="A434" s="7" t="s">
        <v>474</v>
      </c>
      <c r="B434" s="7" t="s">
        <v>407</v>
      </c>
      <c r="C434" s="8">
        <v>489.0</v>
      </c>
      <c r="D434" s="8">
        <v>1999.0</v>
      </c>
      <c r="E434" s="19">
        <v>0.76</v>
      </c>
      <c r="F434" s="10">
        <v>4.0</v>
      </c>
      <c r="G434" s="11">
        <v>3626.0</v>
      </c>
      <c r="K434" s="23">
        <v>1510.0</v>
      </c>
    </row>
    <row r="435">
      <c r="A435" s="7" t="s">
        <v>475</v>
      </c>
      <c r="B435" s="7" t="s">
        <v>386</v>
      </c>
      <c r="C435" s="8">
        <v>369.0</v>
      </c>
      <c r="D435" s="8">
        <v>1600.0</v>
      </c>
      <c r="E435" s="19">
        <v>0.77</v>
      </c>
      <c r="F435" s="10">
        <v>4.0</v>
      </c>
      <c r="G435" s="11">
        <v>32625.0</v>
      </c>
      <c r="K435" s="23">
        <v>1231.0</v>
      </c>
    </row>
    <row r="436">
      <c r="A436" s="7" t="s">
        <v>476</v>
      </c>
      <c r="B436" s="7" t="s">
        <v>380</v>
      </c>
      <c r="C436" s="8">
        <v>15499.0</v>
      </c>
      <c r="D436" s="8">
        <v>20999.0</v>
      </c>
      <c r="E436" s="19">
        <v>0.26</v>
      </c>
      <c r="F436" s="10">
        <v>4.1</v>
      </c>
      <c r="G436" s="11">
        <v>19252.0</v>
      </c>
      <c r="K436" s="23">
        <v>5500.0</v>
      </c>
    </row>
    <row r="437">
      <c r="A437" s="7" t="s">
        <v>477</v>
      </c>
      <c r="B437" s="7" t="s">
        <v>380</v>
      </c>
      <c r="C437" s="8">
        <v>15499.0</v>
      </c>
      <c r="D437" s="8">
        <v>18999.0</v>
      </c>
      <c r="E437" s="19">
        <v>0.18</v>
      </c>
      <c r="F437" s="10">
        <v>4.1</v>
      </c>
      <c r="G437" s="11">
        <v>19252.0</v>
      </c>
      <c r="K437" s="23">
        <v>3500.0</v>
      </c>
    </row>
    <row r="438">
      <c r="A438" s="7" t="s">
        <v>478</v>
      </c>
      <c r="B438" s="7" t="s">
        <v>380</v>
      </c>
      <c r="C438" s="8">
        <v>22999.0</v>
      </c>
      <c r="D438" s="8">
        <v>28999.0</v>
      </c>
      <c r="E438" s="19">
        <v>0.21</v>
      </c>
      <c r="F438" s="10">
        <v>3.9</v>
      </c>
      <c r="G438" s="11">
        <v>25824.0</v>
      </c>
      <c r="K438" s="23">
        <v>6000.0</v>
      </c>
    </row>
    <row r="439">
      <c r="A439" s="7" t="s">
        <v>479</v>
      </c>
      <c r="B439" s="7" t="s">
        <v>393</v>
      </c>
      <c r="C439" s="8">
        <v>599.0</v>
      </c>
      <c r="D439" s="8">
        <v>1490.0</v>
      </c>
      <c r="E439" s="19">
        <v>0.6</v>
      </c>
      <c r="F439" s="10">
        <v>4.1</v>
      </c>
      <c r="G439" s="7" t="s">
        <v>480</v>
      </c>
      <c r="K439" s="23">
        <v>891.0</v>
      </c>
    </row>
    <row r="440">
      <c r="A440" s="7" t="s">
        <v>481</v>
      </c>
      <c r="B440" s="7" t="s">
        <v>450</v>
      </c>
      <c r="C440" s="8">
        <v>134.0</v>
      </c>
      <c r="D440" s="8">
        <v>699.0</v>
      </c>
      <c r="E440" s="19">
        <v>0.81</v>
      </c>
      <c r="F440" s="10">
        <v>4.1</v>
      </c>
      <c r="G440" s="11">
        <v>16685.0</v>
      </c>
      <c r="K440" s="23">
        <v>565.0</v>
      </c>
    </row>
    <row r="441">
      <c r="A441" s="7" t="s">
        <v>482</v>
      </c>
      <c r="B441" s="7" t="s">
        <v>380</v>
      </c>
      <c r="C441" s="8">
        <v>7499.0</v>
      </c>
      <c r="D441" s="8">
        <v>7999.0</v>
      </c>
      <c r="E441" s="19">
        <v>0.06</v>
      </c>
      <c r="F441" s="10">
        <v>4.0</v>
      </c>
      <c r="G441" s="11">
        <v>30907.0</v>
      </c>
      <c r="K441" s="23">
        <v>500.0</v>
      </c>
    </row>
    <row r="442">
      <c r="A442" s="7" t="s">
        <v>483</v>
      </c>
      <c r="B442" s="7" t="s">
        <v>377</v>
      </c>
      <c r="C442" s="8">
        <v>1149.0</v>
      </c>
      <c r="D442" s="8">
        <v>2199.0</v>
      </c>
      <c r="E442" s="19">
        <v>0.48</v>
      </c>
      <c r="F442" s="10">
        <v>4.3</v>
      </c>
      <c r="G442" s="7" t="s">
        <v>378</v>
      </c>
      <c r="K442" s="23">
        <v>1050.0</v>
      </c>
    </row>
    <row r="443">
      <c r="A443" s="7" t="s">
        <v>484</v>
      </c>
      <c r="B443" s="7" t="s">
        <v>389</v>
      </c>
      <c r="C443" s="8">
        <v>1324.0</v>
      </c>
      <c r="D443" s="8">
        <v>1699.0</v>
      </c>
      <c r="E443" s="19">
        <v>0.22</v>
      </c>
      <c r="F443" s="10">
        <v>4.0</v>
      </c>
      <c r="G443" s="7" t="s">
        <v>390</v>
      </c>
      <c r="K443" s="23">
        <v>375.0</v>
      </c>
    </row>
    <row r="444">
      <c r="A444" s="7" t="s">
        <v>485</v>
      </c>
      <c r="B444" s="7" t="s">
        <v>380</v>
      </c>
      <c r="C444" s="8">
        <v>13999.0</v>
      </c>
      <c r="D444" s="8">
        <v>19999.0</v>
      </c>
      <c r="E444" s="19">
        <v>0.3</v>
      </c>
      <c r="F444" s="10">
        <v>4.1</v>
      </c>
      <c r="G444" s="11">
        <v>19252.0</v>
      </c>
      <c r="K444" s="23">
        <v>6000.0</v>
      </c>
    </row>
    <row r="445">
      <c r="A445" s="7" t="s">
        <v>29</v>
      </c>
      <c r="B445" s="7" t="s">
        <v>15</v>
      </c>
      <c r="C445" s="8">
        <v>299.0</v>
      </c>
      <c r="D445" s="8">
        <v>799.0</v>
      </c>
      <c r="E445" s="19">
        <v>0.63</v>
      </c>
      <c r="F445" s="10">
        <v>4.2</v>
      </c>
      <c r="G445" s="11">
        <v>94364.0</v>
      </c>
      <c r="K445" s="23">
        <v>500.0</v>
      </c>
    </row>
    <row r="446">
      <c r="A446" s="7" t="s">
        <v>486</v>
      </c>
      <c r="B446" s="7" t="s">
        <v>377</v>
      </c>
      <c r="C446" s="8">
        <v>999.0</v>
      </c>
      <c r="D446" s="8">
        <v>1599.0</v>
      </c>
      <c r="E446" s="19">
        <v>0.38</v>
      </c>
      <c r="F446" s="10">
        <v>4.0</v>
      </c>
      <c r="G446" s="11">
        <v>7222.0</v>
      </c>
      <c r="K446" s="23">
        <v>600.0</v>
      </c>
    </row>
    <row r="447">
      <c r="A447" s="7" t="s">
        <v>487</v>
      </c>
      <c r="B447" s="7" t="s">
        <v>380</v>
      </c>
      <c r="C447" s="8">
        <v>12999.0</v>
      </c>
      <c r="D447" s="8">
        <v>17999.0</v>
      </c>
      <c r="E447" s="19">
        <v>0.28</v>
      </c>
      <c r="F447" s="10">
        <v>4.1</v>
      </c>
      <c r="G447" s="11">
        <v>18998.0</v>
      </c>
      <c r="K447" s="23">
        <v>5000.0</v>
      </c>
    </row>
    <row r="448">
      <c r="A448" s="7" t="s">
        <v>488</v>
      </c>
      <c r="B448" s="7" t="s">
        <v>380</v>
      </c>
      <c r="C448" s="8">
        <v>15490.0</v>
      </c>
      <c r="D448" s="8">
        <v>20990.0</v>
      </c>
      <c r="E448" s="19">
        <v>0.26</v>
      </c>
      <c r="F448" s="10">
        <v>4.2</v>
      </c>
      <c r="G448" s="11">
        <v>32916.0</v>
      </c>
      <c r="K448" s="23">
        <v>5500.0</v>
      </c>
    </row>
    <row r="449">
      <c r="A449" s="7" t="s">
        <v>489</v>
      </c>
      <c r="B449" s="7" t="s">
        <v>490</v>
      </c>
      <c r="C449" s="8">
        <v>999.0</v>
      </c>
      <c r="D449" s="8">
        <v>2899.0</v>
      </c>
      <c r="E449" s="19">
        <v>0.66</v>
      </c>
      <c r="F449" s="10">
        <v>4.6</v>
      </c>
      <c r="G449" s="11">
        <v>26603.0</v>
      </c>
      <c r="K449" s="23">
        <v>1900.0</v>
      </c>
    </row>
    <row r="450">
      <c r="A450" s="7" t="s">
        <v>491</v>
      </c>
      <c r="B450" s="7" t="s">
        <v>373</v>
      </c>
      <c r="C450" s="8">
        <v>1599.0</v>
      </c>
      <c r="D450" s="8">
        <v>4999.0</v>
      </c>
      <c r="E450" s="19">
        <v>0.68</v>
      </c>
      <c r="F450" s="10">
        <v>4.0</v>
      </c>
      <c r="G450" s="11">
        <v>67950.0</v>
      </c>
      <c r="K450" s="23">
        <v>3400.0</v>
      </c>
    </row>
    <row r="451">
      <c r="A451" s="7" t="s">
        <v>492</v>
      </c>
      <c r="B451" s="7" t="s">
        <v>389</v>
      </c>
      <c r="C451" s="8">
        <v>1324.0</v>
      </c>
      <c r="D451" s="8">
        <v>1699.0</v>
      </c>
      <c r="E451" s="19">
        <v>0.22</v>
      </c>
      <c r="F451" s="10">
        <v>4.0</v>
      </c>
      <c r="G451" s="7" t="s">
        <v>390</v>
      </c>
      <c r="K451" s="23">
        <v>375.0</v>
      </c>
    </row>
    <row r="452">
      <c r="A452" s="7" t="s">
        <v>493</v>
      </c>
      <c r="B452" s="7" t="s">
        <v>380</v>
      </c>
      <c r="C452" s="8">
        <v>20999.0</v>
      </c>
      <c r="D452" s="8">
        <v>29990.0</v>
      </c>
      <c r="E452" s="19">
        <v>0.3</v>
      </c>
      <c r="F452" s="10">
        <v>4.3</v>
      </c>
      <c r="G452" s="11">
        <v>9499.0</v>
      </c>
      <c r="K452" s="23">
        <v>8991.0</v>
      </c>
    </row>
    <row r="453">
      <c r="A453" s="7" t="s">
        <v>494</v>
      </c>
      <c r="B453" s="7" t="s">
        <v>409</v>
      </c>
      <c r="C453" s="8">
        <v>999.0</v>
      </c>
      <c r="D453" s="8">
        <v>1999.0</v>
      </c>
      <c r="E453" s="19">
        <v>0.5</v>
      </c>
      <c r="F453" s="10">
        <v>4.3</v>
      </c>
      <c r="G453" s="11">
        <v>1777.0</v>
      </c>
      <c r="K453" s="23">
        <v>1000.0</v>
      </c>
    </row>
    <row r="454">
      <c r="A454" s="7" t="s">
        <v>495</v>
      </c>
      <c r="B454" s="7" t="s">
        <v>380</v>
      </c>
      <c r="C454" s="8">
        <v>12490.0</v>
      </c>
      <c r="D454" s="8">
        <v>15990.0</v>
      </c>
      <c r="E454" s="19">
        <v>0.22</v>
      </c>
      <c r="F454" s="10">
        <v>4.2</v>
      </c>
      <c r="G454" s="11">
        <v>58506.0</v>
      </c>
      <c r="K454" s="23">
        <v>3500.0</v>
      </c>
    </row>
    <row r="455">
      <c r="A455" s="7" t="s">
        <v>496</v>
      </c>
      <c r="B455" s="7" t="s">
        <v>380</v>
      </c>
      <c r="C455" s="8">
        <v>17999.0</v>
      </c>
      <c r="D455" s="8">
        <v>21990.0</v>
      </c>
      <c r="E455" s="19">
        <v>0.18</v>
      </c>
      <c r="F455" s="10">
        <v>4.0</v>
      </c>
      <c r="G455" s="11">
        <v>21350.0</v>
      </c>
      <c r="K455" s="23">
        <v>3991.0</v>
      </c>
    </row>
    <row r="456">
      <c r="A456" s="7" t="s">
        <v>33</v>
      </c>
      <c r="B456" s="7" t="s">
        <v>15</v>
      </c>
      <c r="C456" s="8">
        <v>350.0</v>
      </c>
      <c r="D456" s="8">
        <v>899.0</v>
      </c>
      <c r="E456" s="19">
        <v>0.61</v>
      </c>
      <c r="F456" s="10">
        <v>4.2</v>
      </c>
      <c r="G456" s="11">
        <v>2263.0</v>
      </c>
      <c r="K456" s="23">
        <v>549.0</v>
      </c>
    </row>
    <row r="457">
      <c r="A457" s="7" t="s">
        <v>497</v>
      </c>
      <c r="B457" s="7" t="s">
        <v>389</v>
      </c>
      <c r="C457" s="8">
        <v>1399.0</v>
      </c>
      <c r="D457" s="8">
        <v>1630.0</v>
      </c>
      <c r="E457" s="19">
        <v>0.14</v>
      </c>
      <c r="F457" s="10">
        <v>4.0</v>
      </c>
      <c r="G457" s="11">
        <v>9378.0</v>
      </c>
      <c r="K457" s="23">
        <v>231.0</v>
      </c>
    </row>
    <row r="458">
      <c r="A458" s="7" t="s">
        <v>34</v>
      </c>
      <c r="B458" s="7" t="s">
        <v>15</v>
      </c>
      <c r="C458" s="8">
        <v>159.0</v>
      </c>
      <c r="D458" s="8">
        <v>399.0</v>
      </c>
      <c r="E458" s="19">
        <v>0.6</v>
      </c>
      <c r="F458" s="10">
        <v>4.1</v>
      </c>
      <c r="G458" s="11">
        <v>4768.0</v>
      </c>
      <c r="K458" s="23">
        <v>240.0</v>
      </c>
    </row>
    <row r="459">
      <c r="A459" s="7" t="s">
        <v>498</v>
      </c>
      <c r="B459" s="7" t="s">
        <v>373</v>
      </c>
      <c r="C459" s="8">
        <v>1499.0</v>
      </c>
      <c r="D459" s="8">
        <v>6990.0</v>
      </c>
      <c r="E459" s="19">
        <v>0.79</v>
      </c>
      <c r="F459" s="10">
        <v>3.9</v>
      </c>
      <c r="G459" s="11">
        <v>21796.0</v>
      </c>
      <c r="K459" s="23">
        <v>5491.0</v>
      </c>
    </row>
    <row r="460">
      <c r="A460" s="7" t="s">
        <v>499</v>
      </c>
      <c r="B460" s="7" t="s">
        <v>373</v>
      </c>
      <c r="C460" s="8">
        <v>1999.0</v>
      </c>
      <c r="D460" s="8">
        <v>7990.0</v>
      </c>
      <c r="E460" s="19">
        <v>0.75</v>
      </c>
      <c r="F460" s="10">
        <v>3.8</v>
      </c>
      <c r="G460" s="11">
        <v>17833.0</v>
      </c>
      <c r="K460" s="23">
        <v>5991.0</v>
      </c>
    </row>
    <row r="461">
      <c r="A461" s="7" t="s">
        <v>500</v>
      </c>
      <c r="B461" s="7" t="s">
        <v>490</v>
      </c>
      <c r="C461" s="8">
        <v>999.0</v>
      </c>
      <c r="D461" s="8">
        <v>2899.0</v>
      </c>
      <c r="E461" s="19">
        <v>0.66</v>
      </c>
      <c r="F461" s="10">
        <v>4.7</v>
      </c>
      <c r="G461" s="11">
        <v>7779.0</v>
      </c>
      <c r="K461" s="23">
        <v>1900.0</v>
      </c>
    </row>
    <row r="462">
      <c r="A462" s="7" t="s">
        <v>501</v>
      </c>
      <c r="B462" s="7" t="s">
        <v>502</v>
      </c>
      <c r="C462" s="8">
        <v>2099.0</v>
      </c>
      <c r="D462" s="8">
        <v>5999.0</v>
      </c>
      <c r="E462" s="19">
        <v>0.65</v>
      </c>
      <c r="F462" s="10">
        <v>4.3</v>
      </c>
      <c r="G462" s="11">
        <v>17129.0</v>
      </c>
      <c r="K462" s="23">
        <v>3900.0</v>
      </c>
    </row>
    <row r="463">
      <c r="A463" s="7" t="s">
        <v>503</v>
      </c>
      <c r="B463" s="7" t="s">
        <v>399</v>
      </c>
      <c r="C463" s="8">
        <v>337.0</v>
      </c>
      <c r="D463" s="8">
        <v>699.0</v>
      </c>
      <c r="E463" s="19">
        <v>0.52</v>
      </c>
      <c r="F463" s="10">
        <v>4.2</v>
      </c>
      <c r="G463" s="11">
        <v>4969.0</v>
      </c>
      <c r="K463" s="23">
        <v>362.0</v>
      </c>
    </row>
    <row r="464">
      <c r="A464" s="7" t="s">
        <v>504</v>
      </c>
      <c r="B464" s="7" t="s">
        <v>373</v>
      </c>
      <c r="C464" s="8">
        <v>2999.0</v>
      </c>
      <c r="D464" s="8">
        <v>7990.0</v>
      </c>
      <c r="E464" s="19">
        <v>0.62</v>
      </c>
      <c r="F464" s="10">
        <v>4.1</v>
      </c>
      <c r="G464" s="10">
        <v>154.0</v>
      </c>
      <c r="K464" s="23">
        <v>4991.0</v>
      </c>
    </row>
    <row r="465">
      <c r="A465" s="7" t="s">
        <v>505</v>
      </c>
      <c r="B465" s="7" t="s">
        <v>373</v>
      </c>
      <c r="C465" s="8">
        <v>1299.0</v>
      </c>
      <c r="D465" s="8">
        <v>5999.0</v>
      </c>
      <c r="E465" s="19">
        <v>0.78</v>
      </c>
      <c r="F465" s="10">
        <v>3.3</v>
      </c>
      <c r="G465" s="11">
        <v>4415.0</v>
      </c>
      <c r="K465" s="23">
        <v>4700.0</v>
      </c>
    </row>
    <row r="466">
      <c r="A466" s="7" t="s">
        <v>35</v>
      </c>
      <c r="B466" s="7" t="s">
        <v>15</v>
      </c>
      <c r="C466" s="8">
        <v>349.0</v>
      </c>
      <c r="D466" s="8">
        <v>399.0</v>
      </c>
      <c r="E466" s="19">
        <v>0.13</v>
      </c>
      <c r="F466" s="10">
        <v>4.4</v>
      </c>
      <c r="G466" s="11">
        <v>18757.0</v>
      </c>
      <c r="K466" s="23">
        <v>50.0</v>
      </c>
    </row>
    <row r="467">
      <c r="A467" s="7" t="s">
        <v>506</v>
      </c>
      <c r="B467" s="7" t="s">
        <v>380</v>
      </c>
      <c r="C467" s="8">
        <v>16499.0</v>
      </c>
      <c r="D467" s="8">
        <v>20990.0</v>
      </c>
      <c r="E467" s="19">
        <v>0.21</v>
      </c>
      <c r="F467" s="10">
        <v>4.0</v>
      </c>
      <c r="G467" s="11">
        <v>21350.0</v>
      </c>
      <c r="K467" s="23">
        <v>4491.0</v>
      </c>
    </row>
    <row r="468">
      <c r="A468" s="7" t="s">
        <v>507</v>
      </c>
      <c r="B468" s="7" t="s">
        <v>393</v>
      </c>
      <c r="C468" s="8">
        <v>499.0</v>
      </c>
      <c r="D468" s="8">
        <v>499.0</v>
      </c>
      <c r="E468" s="19">
        <v>0.0</v>
      </c>
      <c r="F468" s="10">
        <v>4.2</v>
      </c>
      <c r="G468" s="11">
        <v>31539.0</v>
      </c>
      <c r="K468" s="23">
        <v>0.0</v>
      </c>
    </row>
    <row r="469">
      <c r="A469" s="7" t="s">
        <v>41</v>
      </c>
      <c r="B469" s="7" t="s">
        <v>15</v>
      </c>
      <c r="C469" s="8">
        <v>970.0</v>
      </c>
      <c r="D469" s="8">
        <v>1799.0</v>
      </c>
      <c r="E469" s="19">
        <v>0.46</v>
      </c>
      <c r="F469" s="10">
        <v>4.5</v>
      </c>
      <c r="G469" s="10">
        <v>815.0</v>
      </c>
      <c r="K469" s="23">
        <v>829.0</v>
      </c>
    </row>
    <row r="470">
      <c r="A470" s="7" t="s">
        <v>508</v>
      </c>
      <c r="B470" s="7" t="s">
        <v>490</v>
      </c>
      <c r="C470" s="8">
        <v>999.0</v>
      </c>
      <c r="D470" s="8">
        <v>2899.0</v>
      </c>
      <c r="E470" s="19">
        <v>0.66</v>
      </c>
      <c r="F470" s="10">
        <v>4.6</v>
      </c>
      <c r="G470" s="11">
        <v>6129.0</v>
      </c>
      <c r="K470" s="23">
        <v>1900.0</v>
      </c>
    </row>
    <row r="471">
      <c r="A471" s="7" t="s">
        <v>509</v>
      </c>
      <c r="B471" s="7" t="s">
        <v>380</v>
      </c>
      <c r="C471" s="8">
        <v>10499.0</v>
      </c>
      <c r="D471" s="8">
        <v>13499.0</v>
      </c>
      <c r="E471" s="19">
        <v>0.22</v>
      </c>
      <c r="F471" s="10">
        <v>4.2</v>
      </c>
      <c r="G471" s="10">
        <v>284.0</v>
      </c>
      <c r="K471" s="23">
        <v>3000.0</v>
      </c>
    </row>
    <row r="472">
      <c r="A472" s="7" t="s">
        <v>38</v>
      </c>
      <c r="B472" s="7" t="s">
        <v>15</v>
      </c>
      <c r="C472" s="8">
        <v>249.0</v>
      </c>
      <c r="D472" s="8">
        <v>399.0</v>
      </c>
      <c r="E472" s="19">
        <v>0.38</v>
      </c>
      <c r="F472" s="10">
        <v>4.0</v>
      </c>
      <c r="G472" s="11">
        <v>43994.0</v>
      </c>
      <c r="K472" s="23">
        <v>150.0</v>
      </c>
    </row>
    <row r="473">
      <c r="A473" s="7" t="s">
        <v>510</v>
      </c>
      <c r="B473" s="7" t="s">
        <v>511</v>
      </c>
      <c r="C473" s="8">
        <v>251.0</v>
      </c>
      <c r="D473" s="8">
        <v>999.0</v>
      </c>
      <c r="E473" s="19">
        <v>0.75</v>
      </c>
      <c r="F473" s="10">
        <v>3.7</v>
      </c>
      <c r="G473" s="11">
        <v>3234.0</v>
      </c>
      <c r="K473" s="23">
        <v>748.0</v>
      </c>
    </row>
    <row r="474">
      <c r="A474" s="7" t="s">
        <v>39</v>
      </c>
      <c r="B474" s="7" t="s">
        <v>15</v>
      </c>
      <c r="C474" s="8">
        <v>199.0</v>
      </c>
      <c r="D474" s="8">
        <v>499.0</v>
      </c>
      <c r="E474" s="19">
        <v>0.6</v>
      </c>
      <c r="F474" s="10">
        <v>4.1</v>
      </c>
      <c r="G474" s="11">
        <v>13045.0</v>
      </c>
      <c r="K474" s="23">
        <v>300.0</v>
      </c>
    </row>
    <row r="475">
      <c r="A475" s="7" t="s">
        <v>512</v>
      </c>
      <c r="B475" s="7" t="s">
        <v>380</v>
      </c>
      <c r="C475" s="8">
        <v>6499.0</v>
      </c>
      <c r="D475" s="8">
        <v>7999.0</v>
      </c>
      <c r="E475" s="19">
        <v>0.19</v>
      </c>
      <c r="F475" s="10">
        <v>4.1</v>
      </c>
      <c r="G475" s="7" t="s">
        <v>513</v>
      </c>
      <c r="K475" s="23">
        <v>1500.0</v>
      </c>
    </row>
    <row r="476">
      <c r="A476" s="7" t="s">
        <v>514</v>
      </c>
      <c r="B476" s="7" t="s">
        <v>373</v>
      </c>
      <c r="C476" s="8">
        <v>2999.0</v>
      </c>
      <c r="D476" s="8">
        <v>9999.0</v>
      </c>
      <c r="E476" s="19">
        <v>0.7</v>
      </c>
      <c r="F476" s="10">
        <v>4.2</v>
      </c>
      <c r="G476" s="11">
        <v>20879.0</v>
      </c>
      <c r="K476" s="23">
        <v>7000.0</v>
      </c>
    </row>
    <row r="477">
      <c r="A477" s="7" t="s">
        <v>515</v>
      </c>
      <c r="B477" s="7" t="s">
        <v>516</v>
      </c>
      <c r="C477" s="8">
        <v>279.0</v>
      </c>
      <c r="D477" s="8">
        <v>1499.0</v>
      </c>
      <c r="E477" s="19">
        <v>0.81</v>
      </c>
      <c r="F477" s="10">
        <v>4.2</v>
      </c>
      <c r="G477" s="11">
        <v>2646.0</v>
      </c>
      <c r="K477" s="23">
        <v>1220.0</v>
      </c>
    </row>
    <row r="478">
      <c r="A478" s="7" t="s">
        <v>517</v>
      </c>
      <c r="B478" s="7" t="s">
        <v>450</v>
      </c>
      <c r="C478" s="8">
        <v>269.0</v>
      </c>
      <c r="D478" s="8">
        <v>1499.0</v>
      </c>
      <c r="E478" s="19">
        <v>0.82</v>
      </c>
      <c r="F478" s="10">
        <v>4.5</v>
      </c>
      <c r="G478" s="11">
        <v>28978.0</v>
      </c>
      <c r="K478" s="23">
        <v>1230.0</v>
      </c>
    </row>
    <row r="479">
      <c r="A479" s="7" t="s">
        <v>518</v>
      </c>
      <c r="B479" s="7" t="s">
        <v>380</v>
      </c>
      <c r="C479" s="8">
        <v>8999.0</v>
      </c>
      <c r="D479" s="8">
        <v>13499.0</v>
      </c>
      <c r="E479" s="19">
        <v>0.33</v>
      </c>
      <c r="F479" s="10">
        <v>3.8</v>
      </c>
      <c r="G479" s="11">
        <v>3145.0</v>
      </c>
      <c r="K479" s="23">
        <v>4500.0</v>
      </c>
    </row>
    <row r="480">
      <c r="A480" s="7" t="s">
        <v>44</v>
      </c>
      <c r="B480" s="7" t="s">
        <v>15</v>
      </c>
      <c r="C480" s="8">
        <v>59.0</v>
      </c>
      <c r="D480" s="8">
        <v>199.0</v>
      </c>
      <c r="E480" s="19">
        <v>0.7</v>
      </c>
      <c r="F480" s="10">
        <v>4.0</v>
      </c>
      <c r="G480" s="11">
        <v>9377.0</v>
      </c>
      <c r="K480" s="23">
        <v>140.0</v>
      </c>
    </row>
    <row r="481">
      <c r="A481" s="7" t="s">
        <v>519</v>
      </c>
      <c r="B481" s="7" t="s">
        <v>393</v>
      </c>
      <c r="C481" s="8">
        <v>599.0</v>
      </c>
      <c r="D481" s="8">
        <v>1299.0</v>
      </c>
      <c r="E481" s="19">
        <v>0.54</v>
      </c>
      <c r="F481" s="10">
        <v>4.1</v>
      </c>
      <c r="G481" s="7" t="s">
        <v>520</v>
      </c>
      <c r="K481" s="23">
        <v>700.0</v>
      </c>
    </row>
    <row r="482">
      <c r="A482" s="7" t="s">
        <v>521</v>
      </c>
      <c r="B482" s="7" t="s">
        <v>502</v>
      </c>
      <c r="C482" s="8">
        <v>349.0</v>
      </c>
      <c r="D482" s="8">
        <v>999.0</v>
      </c>
      <c r="E482" s="19">
        <v>0.65</v>
      </c>
      <c r="F482" s="10">
        <v>3.8</v>
      </c>
      <c r="G482" s="11">
        <v>16557.0</v>
      </c>
      <c r="K482" s="23">
        <v>650.0</v>
      </c>
    </row>
    <row r="483">
      <c r="A483" s="7" t="s">
        <v>445</v>
      </c>
      <c r="B483" s="7" t="s">
        <v>380</v>
      </c>
      <c r="C483" s="8">
        <v>13999.0</v>
      </c>
      <c r="D483" s="8">
        <v>19499.0</v>
      </c>
      <c r="E483" s="19">
        <v>0.28</v>
      </c>
      <c r="F483" s="10">
        <v>4.1</v>
      </c>
      <c r="G483" s="11">
        <v>18998.0</v>
      </c>
      <c r="K483" s="23">
        <v>5500.0</v>
      </c>
    </row>
    <row r="484">
      <c r="A484" s="7" t="s">
        <v>522</v>
      </c>
      <c r="B484" s="7" t="s">
        <v>502</v>
      </c>
      <c r="C484" s="8">
        <v>349.0</v>
      </c>
      <c r="D484" s="8">
        <v>999.0</v>
      </c>
      <c r="E484" s="19">
        <v>0.65</v>
      </c>
      <c r="F484" s="10">
        <v>3.8</v>
      </c>
      <c r="G484" s="11">
        <v>16557.0</v>
      </c>
      <c r="K484" s="23">
        <v>650.0</v>
      </c>
    </row>
    <row r="485">
      <c r="A485" s="7" t="s">
        <v>523</v>
      </c>
      <c r="B485" s="7" t="s">
        <v>409</v>
      </c>
      <c r="C485" s="8">
        <v>499.0</v>
      </c>
      <c r="D485" s="8">
        <v>599.0</v>
      </c>
      <c r="E485" s="19">
        <v>0.17</v>
      </c>
      <c r="F485" s="10">
        <v>4.2</v>
      </c>
      <c r="G485" s="11">
        <v>21916.0</v>
      </c>
      <c r="K485" s="23">
        <v>100.0</v>
      </c>
    </row>
    <row r="486">
      <c r="A486" s="7" t="s">
        <v>415</v>
      </c>
      <c r="B486" s="7" t="s">
        <v>373</v>
      </c>
      <c r="C486" s="8">
        <v>2199.0</v>
      </c>
      <c r="D486" s="8">
        <v>9999.0</v>
      </c>
      <c r="E486" s="19">
        <v>0.78</v>
      </c>
      <c r="F486" s="10">
        <v>4.2</v>
      </c>
      <c r="G486" s="11">
        <v>29472.0</v>
      </c>
      <c r="K486" s="23">
        <v>7800.0</v>
      </c>
    </row>
    <row r="487">
      <c r="A487" s="7" t="s">
        <v>524</v>
      </c>
      <c r="B487" s="7" t="s">
        <v>469</v>
      </c>
      <c r="C487" s="8">
        <v>95.0</v>
      </c>
      <c r="D487" s="8">
        <v>499.0</v>
      </c>
      <c r="E487" s="19">
        <v>0.81</v>
      </c>
      <c r="F487" s="10">
        <v>4.2</v>
      </c>
      <c r="G487" s="11">
        <v>1949.0</v>
      </c>
      <c r="K487" s="23">
        <v>404.0</v>
      </c>
    </row>
    <row r="488">
      <c r="A488" s="7" t="s">
        <v>525</v>
      </c>
      <c r="B488" s="7" t="s">
        <v>15</v>
      </c>
      <c r="C488" s="8">
        <v>139.0</v>
      </c>
      <c r="D488" s="8">
        <v>249.0</v>
      </c>
      <c r="E488" s="19">
        <v>0.44</v>
      </c>
      <c r="F488" s="10">
        <v>4.0</v>
      </c>
      <c r="G488" s="11">
        <v>9377.0</v>
      </c>
      <c r="K488" s="23">
        <v>110.0</v>
      </c>
    </row>
    <row r="489">
      <c r="A489" s="7" t="s">
        <v>526</v>
      </c>
      <c r="B489" s="7" t="s">
        <v>373</v>
      </c>
      <c r="C489" s="8">
        <v>4499.0</v>
      </c>
      <c r="D489" s="8">
        <v>7999.0</v>
      </c>
      <c r="E489" s="19">
        <v>0.44</v>
      </c>
      <c r="F489" s="10">
        <v>3.5</v>
      </c>
      <c r="G489" s="10">
        <v>37.0</v>
      </c>
      <c r="K489" s="23">
        <v>3500.0</v>
      </c>
    </row>
    <row r="490">
      <c r="A490" s="7" t="s">
        <v>527</v>
      </c>
      <c r="B490" s="7" t="s">
        <v>450</v>
      </c>
      <c r="C490" s="8">
        <v>89.0</v>
      </c>
      <c r="D490" s="8">
        <v>599.0</v>
      </c>
      <c r="E490" s="19">
        <v>0.85</v>
      </c>
      <c r="F490" s="10">
        <v>4.3</v>
      </c>
      <c r="G490" s="11">
        <v>2351.0</v>
      </c>
      <c r="K490" s="23">
        <v>510.0</v>
      </c>
    </row>
    <row r="491">
      <c r="A491" s="7" t="s">
        <v>528</v>
      </c>
      <c r="B491" s="7" t="s">
        <v>380</v>
      </c>
      <c r="C491" s="8">
        <v>15499.0</v>
      </c>
      <c r="D491" s="8">
        <v>20999.0</v>
      </c>
      <c r="E491" s="19">
        <v>0.26</v>
      </c>
      <c r="F491" s="10">
        <v>4.1</v>
      </c>
      <c r="G491" s="11">
        <v>19253.0</v>
      </c>
      <c r="K491" s="23">
        <v>5500.0</v>
      </c>
    </row>
    <row r="492">
      <c r="A492" s="7" t="s">
        <v>529</v>
      </c>
      <c r="B492" s="7" t="s">
        <v>380</v>
      </c>
      <c r="C492" s="8">
        <v>13999.0</v>
      </c>
      <c r="D492" s="8">
        <v>15999.0</v>
      </c>
      <c r="E492" s="19">
        <v>0.13</v>
      </c>
      <c r="F492" s="10">
        <v>3.9</v>
      </c>
      <c r="G492" s="11">
        <v>2180.0</v>
      </c>
      <c r="K492" s="23">
        <v>2000.0</v>
      </c>
    </row>
    <row r="493">
      <c r="A493" s="7" t="s">
        <v>530</v>
      </c>
      <c r="B493" s="7" t="s">
        <v>373</v>
      </c>
      <c r="C493" s="8">
        <v>1999.0</v>
      </c>
      <c r="D493" s="8">
        <v>4999.0</v>
      </c>
      <c r="E493" s="19">
        <v>0.6</v>
      </c>
      <c r="F493" s="10">
        <v>3.9</v>
      </c>
      <c r="G493" s="11">
        <v>7571.0</v>
      </c>
      <c r="K493" s="23">
        <v>3000.0</v>
      </c>
    </row>
    <row r="494">
      <c r="A494" s="7" t="s">
        <v>531</v>
      </c>
      <c r="B494" s="7" t="s">
        <v>373</v>
      </c>
      <c r="C494" s="8">
        <v>1399.0</v>
      </c>
      <c r="D494" s="8">
        <v>5999.0</v>
      </c>
      <c r="E494" s="19">
        <v>0.77</v>
      </c>
      <c r="F494" s="10">
        <v>3.3</v>
      </c>
      <c r="G494" s="11">
        <v>4415.0</v>
      </c>
      <c r="K494" s="23">
        <v>4600.0</v>
      </c>
    </row>
    <row r="495">
      <c r="A495" s="7" t="s">
        <v>532</v>
      </c>
      <c r="B495" s="7" t="s">
        <v>407</v>
      </c>
      <c r="C495" s="8">
        <v>599.0</v>
      </c>
      <c r="D495" s="8">
        <v>999.0</v>
      </c>
      <c r="E495" s="19">
        <v>0.4</v>
      </c>
      <c r="F495" s="10">
        <v>4.0</v>
      </c>
      <c r="G495" s="11">
        <v>18654.0</v>
      </c>
      <c r="K495" s="23">
        <v>400.0</v>
      </c>
    </row>
    <row r="496">
      <c r="A496" s="7" t="s">
        <v>533</v>
      </c>
      <c r="B496" s="7" t="s">
        <v>409</v>
      </c>
      <c r="C496" s="8">
        <v>199.0</v>
      </c>
      <c r="D496" s="8">
        <v>1099.0</v>
      </c>
      <c r="E496" s="19">
        <v>0.82</v>
      </c>
      <c r="F496" s="10">
        <v>4.0</v>
      </c>
      <c r="G496" s="11">
        <v>3197.0</v>
      </c>
      <c r="K496" s="23">
        <v>900.0</v>
      </c>
    </row>
    <row r="497">
      <c r="A497" s="7" t="s">
        <v>534</v>
      </c>
      <c r="B497" s="7" t="s">
        <v>373</v>
      </c>
      <c r="C497" s="8">
        <v>1799.0</v>
      </c>
      <c r="D497" s="8">
        <v>6990.0</v>
      </c>
      <c r="E497" s="19">
        <v>0.74</v>
      </c>
      <c r="F497" s="10">
        <v>4.0</v>
      </c>
      <c r="G497" s="11">
        <v>26880.0</v>
      </c>
      <c r="K497" s="23">
        <v>5191.0</v>
      </c>
    </row>
    <row r="498">
      <c r="A498" s="7" t="s">
        <v>535</v>
      </c>
      <c r="B498" s="7" t="s">
        <v>373</v>
      </c>
      <c r="C498" s="8">
        <v>1499.0</v>
      </c>
      <c r="D498" s="8">
        <v>6990.0</v>
      </c>
      <c r="E498" s="19">
        <v>0.79</v>
      </c>
      <c r="F498" s="10">
        <v>3.9</v>
      </c>
      <c r="G498" s="11">
        <v>21796.0</v>
      </c>
      <c r="K498" s="23">
        <v>5491.0</v>
      </c>
    </row>
    <row r="499">
      <c r="A499" s="7" t="s">
        <v>536</v>
      </c>
      <c r="B499" s="7" t="s">
        <v>380</v>
      </c>
      <c r="C499" s="8">
        <v>20999.0</v>
      </c>
      <c r="D499" s="8">
        <v>29990.0</v>
      </c>
      <c r="E499" s="19">
        <v>0.3</v>
      </c>
      <c r="F499" s="10">
        <v>4.3</v>
      </c>
      <c r="G499" s="11">
        <v>9499.0</v>
      </c>
      <c r="K499" s="23">
        <v>8991.0</v>
      </c>
    </row>
    <row r="500">
      <c r="A500" s="7" t="s">
        <v>537</v>
      </c>
      <c r="B500" s="7" t="s">
        <v>380</v>
      </c>
      <c r="C500" s="8">
        <v>12999.0</v>
      </c>
      <c r="D500" s="8">
        <v>13499.0</v>
      </c>
      <c r="E500" s="19">
        <v>0.04</v>
      </c>
      <c r="F500" s="10">
        <v>4.1</v>
      </c>
      <c r="G500" s="11">
        <v>56098.0</v>
      </c>
      <c r="K500" s="23">
        <v>500.0</v>
      </c>
    </row>
    <row r="501">
      <c r="A501" s="7" t="s">
        <v>538</v>
      </c>
      <c r="B501" s="7" t="s">
        <v>380</v>
      </c>
      <c r="C501" s="8">
        <v>16999.0</v>
      </c>
      <c r="D501" s="8">
        <v>20999.0</v>
      </c>
      <c r="E501" s="19">
        <v>0.19</v>
      </c>
      <c r="F501" s="10">
        <v>4.1</v>
      </c>
      <c r="G501" s="11">
        <v>31822.0</v>
      </c>
      <c r="K501" s="23">
        <v>4000.0</v>
      </c>
    </row>
    <row r="502">
      <c r="A502" s="7" t="s">
        <v>539</v>
      </c>
      <c r="B502" s="7" t="s">
        <v>380</v>
      </c>
      <c r="C502" s="8">
        <v>19999.0</v>
      </c>
      <c r="D502" s="8">
        <v>27990.0</v>
      </c>
      <c r="E502" s="19">
        <v>0.29</v>
      </c>
      <c r="F502" s="10">
        <v>4.3</v>
      </c>
      <c r="G502" s="11">
        <v>9499.0</v>
      </c>
      <c r="K502" s="23">
        <v>7991.0</v>
      </c>
    </row>
    <row r="503">
      <c r="A503" s="7" t="s">
        <v>540</v>
      </c>
      <c r="B503" s="7" t="s">
        <v>380</v>
      </c>
      <c r="C503" s="8">
        <v>12999.0</v>
      </c>
      <c r="D503" s="8">
        <v>18999.0</v>
      </c>
      <c r="E503" s="19">
        <v>0.32</v>
      </c>
      <c r="F503" s="10">
        <v>4.1</v>
      </c>
      <c r="G503" s="11">
        <v>50772.0</v>
      </c>
      <c r="K503" s="23">
        <v>6000.0</v>
      </c>
    </row>
    <row r="504">
      <c r="A504" s="7" t="s">
        <v>541</v>
      </c>
      <c r="B504" s="7" t="s">
        <v>373</v>
      </c>
      <c r="C504" s="8">
        <v>2999.0</v>
      </c>
      <c r="D504" s="8">
        <v>5999.0</v>
      </c>
      <c r="E504" s="19">
        <v>0.5</v>
      </c>
      <c r="F504" s="10">
        <v>4.1</v>
      </c>
      <c r="G504" s="11">
        <v>7148.0</v>
      </c>
      <c r="K504" s="23">
        <v>3000.0</v>
      </c>
    </row>
    <row r="505">
      <c r="A505" s="7" t="s">
        <v>50</v>
      </c>
      <c r="B505" s="7" t="s">
        <v>15</v>
      </c>
      <c r="C505" s="8">
        <v>299.0</v>
      </c>
      <c r="D505" s="8">
        <v>999.0</v>
      </c>
      <c r="E505" s="19">
        <v>0.7</v>
      </c>
      <c r="F505" s="10">
        <v>4.3</v>
      </c>
      <c r="G505" s="11">
        <v>20850.0</v>
      </c>
      <c r="K505" s="23">
        <v>700.0</v>
      </c>
    </row>
    <row r="506">
      <c r="A506" s="7" t="s">
        <v>49</v>
      </c>
      <c r="B506" s="7" t="s">
        <v>15</v>
      </c>
      <c r="C506" s="8">
        <v>970.0</v>
      </c>
      <c r="D506" s="8">
        <v>1999.0</v>
      </c>
      <c r="E506" s="19">
        <v>0.51</v>
      </c>
      <c r="F506" s="10">
        <v>4.4</v>
      </c>
      <c r="G506" s="10">
        <v>184.0</v>
      </c>
      <c r="K506" s="23">
        <v>1029.0</v>
      </c>
    </row>
    <row r="507">
      <c r="A507" s="7" t="s">
        <v>542</v>
      </c>
      <c r="B507" s="7" t="s">
        <v>409</v>
      </c>
      <c r="C507" s="8">
        <v>329.0</v>
      </c>
      <c r="D507" s="8">
        <v>999.0</v>
      </c>
      <c r="E507" s="19">
        <v>0.67</v>
      </c>
      <c r="F507" s="10">
        <v>4.2</v>
      </c>
      <c r="G507" s="11">
        <v>3492.0</v>
      </c>
      <c r="K507" s="23">
        <v>670.0</v>
      </c>
    </row>
    <row r="508">
      <c r="A508" s="7" t="s">
        <v>543</v>
      </c>
      <c r="B508" s="7" t="s">
        <v>373</v>
      </c>
      <c r="C508" s="8">
        <v>1299.0</v>
      </c>
      <c r="D508" s="8">
        <v>5999.0</v>
      </c>
      <c r="E508" s="19">
        <v>0.78</v>
      </c>
      <c r="F508" s="10">
        <v>3.3</v>
      </c>
      <c r="G508" s="11">
        <v>4415.0</v>
      </c>
      <c r="K508" s="23">
        <v>4700.0</v>
      </c>
    </row>
    <row r="509">
      <c r="A509" s="7" t="s">
        <v>544</v>
      </c>
      <c r="B509" s="7" t="s">
        <v>386</v>
      </c>
      <c r="C509" s="8">
        <v>1989.0</v>
      </c>
      <c r="D509" s="8">
        <v>3500.0</v>
      </c>
      <c r="E509" s="19">
        <v>0.43</v>
      </c>
      <c r="F509" s="10">
        <v>4.4</v>
      </c>
      <c r="G509" s="11">
        <v>67260.0</v>
      </c>
      <c r="K509" s="23">
        <v>1511.0</v>
      </c>
    </row>
    <row r="510">
      <c r="A510" s="7" t="s">
        <v>374</v>
      </c>
      <c r="B510" s="7" t="s">
        <v>373</v>
      </c>
      <c r="C510" s="8">
        <v>1999.0</v>
      </c>
      <c r="D510" s="8">
        <v>9999.0</v>
      </c>
      <c r="E510" s="19">
        <v>0.8</v>
      </c>
      <c r="F510" s="10">
        <v>4.3</v>
      </c>
      <c r="G510" s="11">
        <v>27704.0</v>
      </c>
      <c r="K510" s="23">
        <v>8000.0</v>
      </c>
    </row>
    <row r="511">
      <c r="A511" s="7" t="s">
        <v>545</v>
      </c>
      <c r="B511" s="7" t="s">
        <v>380</v>
      </c>
      <c r="C511" s="8">
        <v>12999.0</v>
      </c>
      <c r="D511" s="8">
        <v>18999.0</v>
      </c>
      <c r="E511" s="19">
        <v>0.32</v>
      </c>
      <c r="F511" s="10">
        <v>4.1</v>
      </c>
      <c r="G511" s="11">
        <v>50772.0</v>
      </c>
      <c r="K511" s="23">
        <v>6000.0</v>
      </c>
    </row>
    <row r="512">
      <c r="A512" s="7" t="s">
        <v>546</v>
      </c>
      <c r="B512" s="7" t="s">
        <v>373</v>
      </c>
      <c r="C512" s="8">
        <v>1499.0</v>
      </c>
      <c r="D512" s="8">
        <v>4999.0</v>
      </c>
      <c r="E512" s="19">
        <v>0.7</v>
      </c>
      <c r="F512" s="10">
        <v>4.0</v>
      </c>
      <c r="G512" s="11">
        <v>92588.0</v>
      </c>
      <c r="K512" s="23">
        <v>3500.0</v>
      </c>
    </row>
    <row r="513">
      <c r="A513" s="7" t="s">
        <v>547</v>
      </c>
      <c r="B513" s="7" t="s">
        <v>380</v>
      </c>
      <c r="C513" s="8">
        <v>16999.0</v>
      </c>
      <c r="D513" s="8">
        <v>20999.0</v>
      </c>
      <c r="E513" s="19">
        <v>0.19</v>
      </c>
      <c r="F513" s="10">
        <v>4.1</v>
      </c>
      <c r="G513" s="11">
        <v>31822.0</v>
      </c>
      <c r="K513" s="23">
        <v>4000.0</v>
      </c>
    </row>
    <row r="514">
      <c r="A514" s="7" t="s">
        <v>548</v>
      </c>
      <c r="B514" s="7" t="s">
        <v>373</v>
      </c>
      <c r="C514" s="8">
        <v>1999.0</v>
      </c>
      <c r="D514" s="8">
        <v>8499.0</v>
      </c>
      <c r="E514" s="19">
        <v>0.76</v>
      </c>
      <c r="F514" s="10">
        <v>4.3</v>
      </c>
      <c r="G514" s="10">
        <v>240.0</v>
      </c>
      <c r="K514" s="23">
        <v>6500.0</v>
      </c>
    </row>
    <row r="515">
      <c r="A515" s="7" t="s">
        <v>549</v>
      </c>
      <c r="B515" s="7" t="s">
        <v>373</v>
      </c>
      <c r="C515" s="8">
        <v>4999.0</v>
      </c>
      <c r="D515" s="8">
        <v>6999.0</v>
      </c>
      <c r="E515" s="19">
        <v>0.29</v>
      </c>
      <c r="F515" s="10">
        <v>3.8</v>
      </c>
      <c r="G515" s="10">
        <v>758.0</v>
      </c>
      <c r="K515" s="23">
        <v>2000.0</v>
      </c>
    </row>
    <row r="516">
      <c r="A516" s="7" t="s">
        <v>56</v>
      </c>
      <c r="B516" s="7" t="s">
        <v>15</v>
      </c>
      <c r="C516" s="8">
        <v>99.0</v>
      </c>
      <c r="D516" s="8">
        <v>666.66</v>
      </c>
      <c r="E516" s="19">
        <v>0.85</v>
      </c>
      <c r="F516" s="10">
        <v>3.9</v>
      </c>
      <c r="G516" s="11">
        <v>24870.0</v>
      </c>
      <c r="K516" s="23">
        <v>567.66</v>
      </c>
    </row>
    <row r="517">
      <c r="A517" s="7" t="s">
        <v>550</v>
      </c>
      <c r="B517" s="7" t="s">
        <v>373</v>
      </c>
      <c r="C517" s="8">
        <v>2499.0</v>
      </c>
      <c r="D517" s="8">
        <v>5999.0</v>
      </c>
      <c r="E517" s="19">
        <v>0.58</v>
      </c>
      <c r="F517" s="10">
        <v>3.7</v>
      </c>
      <c r="G517" s="10">
        <v>828.0</v>
      </c>
      <c r="K517" s="23">
        <v>3500.0</v>
      </c>
    </row>
    <row r="518">
      <c r="A518" s="7" t="s">
        <v>551</v>
      </c>
      <c r="B518" s="7" t="s">
        <v>389</v>
      </c>
      <c r="C518" s="8">
        <v>1399.0</v>
      </c>
      <c r="D518" s="8">
        <v>1630.0</v>
      </c>
      <c r="E518" s="19">
        <v>0.14</v>
      </c>
      <c r="F518" s="10">
        <v>4.0</v>
      </c>
      <c r="G518" s="11">
        <v>9378.0</v>
      </c>
      <c r="K518" s="23">
        <v>231.0</v>
      </c>
    </row>
    <row r="519">
      <c r="A519" s="7" t="s">
        <v>552</v>
      </c>
      <c r="B519" s="7" t="s">
        <v>373</v>
      </c>
      <c r="C519" s="8">
        <v>1499.0</v>
      </c>
      <c r="D519" s="8">
        <v>9999.0</v>
      </c>
      <c r="E519" s="19">
        <v>0.85</v>
      </c>
      <c r="F519" s="10">
        <v>4.2</v>
      </c>
      <c r="G519" s="11">
        <v>22638.0</v>
      </c>
      <c r="K519" s="23">
        <v>8500.0</v>
      </c>
    </row>
    <row r="520">
      <c r="A520" s="7" t="s">
        <v>57</v>
      </c>
      <c r="B520" s="7" t="s">
        <v>15</v>
      </c>
      <c r="C520" s="8">
        <v>899.0</v>
      </c>
      <c r="D520" s="8">
        <v>1900.0</v>
      </c>
      <c r="E520" s="19">
        <v>0.53</v>
      </c>
      <c r="F520" s="10">
        <v>4.4</v>
      </c>
      <c r="G520" s="11">
        <v>13552.0</v>
      </c>
      <c r="K520" s="23">
        <v>1001.0</v>
      </c>
    </row>
    <row r="521">
      <c r="A521" s="7" t="s">
        <v>553</v>
      </c>
      <c r="B521" s="7" t="s">
        <v>409</v>
      </c>
      <c r="C521" s="8">
        <v>249.0</v>
      </c>
      <c r="D521" s="8">
        <v>599.0</v>
      </c>
      <c r="E521" s="19">
        <v>0.58</v>
      </c>
      <c r="F521" s="10">
        <v>3.9</v>
      </c>
      <c r="G521" s="11">
        <v>2147.0</v>
      </c>
      <c r="K521" s="23">
        <v>350.0</v>
      </c>
    </row>
    <row r="522">
      <c r="A522" s="7" t="s">
        <v>554</v>
      </c>
      <c r="B522" s="7" t="s">
        <v>490</v>
      </c>
      <c r="C522" s="8">
        <v>299.0</v>
      </c>
      <c r="D522" s="8">
        <v>1199.0</v>
      </c>
      <c r="E522" s="19">
        <v>0.75</v>
      </c>
      <c r="F522" s="10">
        <v>4.5</v>
      </c>
      <c r="G522" s="10">
        <v>596.0</v>
      </c>
      <c r="K522" s="23">
        <v>900.0</v>
      </c>
    </row>
    <row r="523">
      <c r="A523" s="7" t="s">
        <v>555</v>
      </c>
      <c r="B523" s="7" t="s">
        <v>469</v>
      </c>
      <c r="C523" s="8">
        <v>79.0</v>
      </c>
      <c r="D523" s="8">
        <v>499.0</v>
      </c>
      <c r="E523" s="19">
        <v>0.84</v>
      </c>
      <c r="F523" s="10">
        <v>4.2</v>
      </c>
      <c r="G523" s="11">
        <v>1949.0</v>
      </c>
      <c r="K523" s="23">
        <v>420.0</v>
      </c>
    </row>
    <row r="524">
      <c r="A524" s="7" t="s">
        <v>556</v>
      </c>
      <c r="B524" s="7" t="s">
        <v>380</v>
      </c>
      <c r="C524" s="8">
        <v>13999.0</v>
      </c>
      <c r="D524" s="8">
        <v>15999.0</v>
      </c>
      <c r="E524" s="19">
        <v>0.13</v>
      </c>
      <c r="F524" s="10">
        <v>3.9</v>
      </c>
      <c r="G524" s="11">
        <v>2180.0</v>
      </c>
      <c r="K524" s="23">
        <v>2000.0</v>
      </c>
    </row>
    <row r="525">
      <c r="A525" s="7" t="s">
        <v>557</v>
      </c>
      <c r="B525" s="7" t="s">
        <v>393</v>
      </c>
      <c r="C525" s="8">
        <v>949.0</v>
      </c>
      <c r="D525" s="8">
        <v>999.0</v>
      </c>
      <c r="E525" s="19">
        <v>0.05</v>
      </c>
      <c r="F525" s="10">
        <v>4.2</v>
      </c>
      <c r="G525" s="11">
        <v>31539.0</v>
      </c>
      <c r="K525" s="23">
        <v>50.0</v>
      </c>
    </row>
    <row r="526">
      <c r="A526" s="7" t="s">
        <v>558</v>
      </c>
      <c r="B526" s="7" t="s">
        <v>450</v>
      </c>
      <c r="C526" s="8">
        <v>99.0</v>
      </c>
      <c r="D526" s="8">
        <v>499.0</v>
      </c>
      <c r="E526" s="19">
        <v>0.8</v>
      </c>
      <c r="F526" s="10">
        <v>4.1</v>
      </c>
      <c r="G526" s="11">
        <v>2451.0</v>
      </c>
      <c r="K526" s="23">
        <v>400.0</v>
      </c>
    </row>
    <row r="527">
      <c r="A527" s="7" t="s">
        <v>559</v>
      </c>
      <c r="B527" s="7" t="s">
        <v>373</v>
      </c>
      <c r="C527" s="8">
        <v>2499.0</v>
      </c>
      <c r="D527" s="8">
        <v>7990.0</v>
      </c>
      <c r="E527" s="19">
        <v>0.69</v>
      </c>
      <c r="F527" s="10">
        <v>4.1</v>
      </c>
      <c r="G527" s="10">
        <v>154.0</v>
      </c>
      <c r="K527" s="23">
        <v>5491.0</v>
      </c>
    </row>
    <row r="528">
      <c r="A528" s="7" t="s">
        <v>560</v>
      </c>
      <c r="B528" s="7" t="s">
        <v>561</v>
      </c>
      <c r="C528" s="8">
        <v>689.0</v>
      </c>
      <c r="D528" s="8">
        <v>1999.0</v>
      </c>
      <c r="E528" s="19">
        <v>0.66</v>
      </c>
      <c r="F528" s="10">
        <v>4.3</v>
      </c>
      <c r="G528" s="11">
        <v>1193.0</v>
      </c>
      <c r="K528" s="23">
        <v>1310.0</v>
      </c>
    </row>
    <row r="529">
      <c r="A529" s="7" t="s">
        <v>562</v>
      </c>
      <c r="B529" s="7" t="s">
        <v>511</v>
      </c>
      <c r="C529" s="8">
        <v>499.0</v>
      </c>
      <c r="D529" s="8">
        <v>1899.0</v>
      </c>
      <c r="E529" s="19">
        <v>0.74</v>
      </c>
      <c r="F529" s="10">
        <v>4.1</v>
      </c>
      <c r="G529" s="11">
        <v>1475.0</v>
      </c>
      <c r="K529" s="23">
        <v>1400.0</v>
      </c>
    </row>
    <row r="530">
      <c r="A530" s="7" t="s">
        <v>563</v>
      </c>
      <c r="B530" s="7" t="s">
        <v>490</v>
      </c>
      <c r="C530" s="8">
        <v>299.0</v>
      </c>
      <c r="D530" s="8">
        <v>999.0</v>
      </c>
      <c r="E530" s="19">
        <v>0.7</v>
      </c>
      <c r="F530" s="10">
        <v>4.3</v>
      </c>
      <c r="G530" s="11">
        <v>8891.0</v>
      </c>
      <c r="K530" s="23">
        <v>700.0</v>
      </c>
    </row>
    <row r="531">
      <c r="A531" s="7" t="s">
        <v>564</v>
      </c>
      <c r="B531" s="7" t="s">
        <v>450</v>
      </c>
      <c r="C531" s="8">
        <v>209.0</v>
      </c>
      <c r="D531" s="8">
        <v>499.0</v>
      </c>
      <c r="E531" s="19">
        <v>0.58</v>
      </c>
      <c r="F531" s="10">
        <v>3.6</v>
      </c>
      <c r="G531" s="10">
        <v>104.0</v>
      </c>
      <c r="K531" s="23">
        <v>290.0</v>
      </c>
    </row>
    <row r="532">
      <c r="A532" s="7" t="s">
        <v>565</v>
      </c>
      <c r="B532" s="7" t="s">
        <v>380</v>
      </c>
      <c r="C532" s="8">
        <v>8499.0</v>
      </c>
      <c r="D532" s="8">
        <v>12999.0</v>
      </c>
      <c r="E532" s="19">
        <v>0.35</v>
      </c>
      <c r="F532" s="10">
        <v>4.1</v>
      </c>
      <c r="G532" s="11">
        <v>6662.0</v>
      </c>
      <c r="K532" s="23">
        <v>4500.0</v>
      </c>
    </row>
    <row r="533">
      <c r="A533" s="7" t="s">
        <v>566</v>
      </c>
      <c r="B533" s="7" t="s">
        <v>377</v>
      </c>
      <c r="C533" s="8">
        <v>2179.0</v>
      </c>
      <c r="D533" s="8">
        <v>3999.0</v>
      </c>
      <c r="E533" s="19">
        <v>0.46</v>
      </c>
      <c r="F533" s="10">
        <v>4.0</v>
      </c>
      <c r="G533" s="11">
        <v>8380.0</v>
      </c>
      <c r="K533" s="23">
        <v>1820.0</v>
      </c>
    </row>
    <row r="534">
      <c r="A534" s="7" t="s">
        <v>567</v>
      </c>
      <c r="B534" s="7" t="s">
        <v>380</v>
      </c>
      <c r="C534" s="8">
        <v>16999.0</v>
      </c>
      <c r="D534" s="8">
        <v>20999.0</v>
      </c>
      <c r="E534" s="19">
        <v>0.19</v>
      </c>
      <c r="F534" s="10">
        <v>4.1</v>
      </c>
      <c r="G534" s="11">
        <v>31822.0</v>
      </c>
      <c r="K534" s="23">
        <v>4000.0</v>
      </c>
    </row>
    <row r="535">
      <c r="A535" s="7" t="s">
        <v>568</v>
      </c>
      <c r="B535" s="7" t="s">
        <v>380</v>
      </c>
      <c r="C535" s="8">
        <v>44999.0</v>
      </c>
      <c r="D535" s="8">
        <v>49999.0</v>
      </c>
      <c r="E535" s="19">
        <v>0.1</v>
      </c>
      <c r="F535" s="10">
        <v>4.3</v>
      </c>
      <c r="G535" s="11">
        <v>3075.0</v>
      </c>
      <c r="K535" s="23">
        <v>5000.0</v>
      </c>
    </row>
    <row r="536">
      <c r="A536" s="7" t="s">
        <v>569</v>
      </c>
      <c r="B536" s="7" t="s">
        <v>389</v>
      </c>
      <c r="C536" s="8">
        <v>2599.0</v>
      </c>
      <c r="D536" s="8">
        <v>2999.0</v>
      </c>
      <c r="E536" s="19">
        <v>0.13</v>
      </c>
      <c r="F536" s="10">
        <v>3.9</v>
      </c>
      <c r="G536" s="11">
        <v>14266.0</v>
      </c>
      <c r="K536" s="23">
        <v>400.0</v>
      </c>
    </row>
    <row r="537">
      <c r="A537" s="7" t="s">
        <v>570</v>
      </c>
      <c r="B537" s="7" t="s">
        <v>373</v>
      </c>
      <c r="C537" s="8">
        <v>2799.0</v>
      </c>
      <c r="D537" s="8">
        <v>6499.0</v>
      </c>
      <c r="E537" s="19">
        <v>0.57</v>
      </c>
      <c r="F537" s="10">
        <v>4.1</v>
      </c>
      <c r="G537" s="11">
        <v>38879.0</v>
      </c>
      <c r="K537" s="23">
        <v>3700.0</v>
      </c>
    </row>
    <row r="538">
      <c r="A538" s="7" t="s">
        <v>571</v>
      </c>
      <c r="B538" s="7" t="s">
        <v>572</v>
      </c>
      <c r="C538" s="8">
        <v>1399.0</v>
      </c>
      <c r="D538" s="8">
        <v>2990.0</v>
      </c>
      <c r="E538" s="19">
        <v>0.53</v>
      </c>
      <c r="F538" s="10">
        <v>4.1</v>
      </c>
      <c r="G538" s="11">
        <v>97175.0</v>
      </c>
      <c r="K538" s="23">
        <v>1591.0</v>
      </c>
    </row>
    <row r="539">
      <c r="A539" s="7" t="s">
        <v>573</v>
      </c>
      <c r="B539" s="7" t="s">
        <v>386</v>
      </c>
      <c r="C539" s="8">
        <v>649.0</v>
      </c>
      <c r="D539" s="8">
        <v>2400.0</v>
      </c>
      <c r="E539" s="19">
        <v>0.73</v>
      </c>
      <c r="F539" s="10">
        <v>4.4</v>
      </c>
      <c r="G539" s="11">
        <v>67260.0</v>
      </c>
      <c r="K539" s="23">
        <v>1751.0</v>
      </c>
    </row>
    <row r="540">
      <c r="A540" s="7" t="s">
        <v>574</v>
      </c>
      <c r="B540" s="7" t="s">
        <v>409</v>
      </c>
      <c r="C540" s="8">
        <v>799.0</v>
      </c>
      <c r="D540" s="8">
        <v>3990.0</v>
      </c>
      <c r="E540" s="19">
        <v>0.8</v>
      </c>
      <c r="F540" s="10">
        <v>3.8</v>
      </c>
      <c r="G540" s="10">
        <v>119.0</v>
      </c>
      <c r="K540" s="23">
        <v>3191.0</v>
      </c>
    </row>
    <row r="541">
      <c r="A541" s="7" t="s">
        <v>575</v>
      </c>
      <c r="B541" s="7" t="s">
        <v>576</v>
      </c>
      <c r="C541" s="8">
        <v>149.0</v>
      </c>
      <c r="D541" s="8">
        <v>149.0</v>
      </c>
      <c r="E541" s="19">
        <v>0.0</v>
      </c>
      <c r="F541" s="10">
        <v>4.3</v>
      </c>
      <c r="G541" s="11">
        <v>10833.0</v>
      </c>
      <c r="K541" s="23">
        <v>0.0</v>
      </c>
    </row>
    <row r="542">
      <c r="A542" s="7" t="s">
        <v>75</v>
      </c>
      <c r="B542" s="7" t="s">
        <v>15</v>
      </c>
      <c r="C542" s="8">
        <v>799.0</v>
      </c>
      <c r="D542" s="8">
        <v>2100.0</v>
      </c>
      <c r="E542" s="19">
        <v>0.62</v>
      </c>
      <c r="F542" s="10">
        <v>4.3</v>
      </c>
      <c r="G542" s="11">
        <v>8188.0</v>
      </c>
      <c r="K542" s="23">
        <v>1301.0</v>
      </c>
    </row>
    <row r="543">
      <c r="A543" s="7" t="s">
        <v>577</v>
      </c>
      <c r="B543" s="7" t="s">
        <v>389</v>
      </c>
      <c r="C543" s="8">
        <v>3799.0</v>
      </c>
      <c r="D543" s="8">
        <v>5299.0</v>
      </c>
      <c r="E543" s="19">
        <v>0.28</v>
      </c>
      <c r="F543" s="10">
        <v>3.5</v>
      </c>
      <c r="G543" s="11">
        <v>1641.0</v>
      </c>
      <c r="K543" s="23">
        <v>1500.0</v>
      </c>
    </row>
    <row r="544">
      <c r="A544" s="7" t="s">
        <v>578</v>
      </c>
      <c r="B544" s="7" t="s">
        <v>516</v>
      </c>
      <c r="C544" s="8">
        <v>199.0</v>
      </c>
      <c r="D544" s="8">
        <v>1899.0</v>
      </c>
      <c r="E544" s="19">
        <v>0.9</v>
      </c>
      <c r="F544" s="10">
        <v>4.0</v>
      </c>
      <c r="G544" s="11">
        <v>4740.0</v>
      </c>
      <c r="K544" s="23">
        <v>1700.0</v>
      </c>
    </row>
    <row r="545">
      <c r="A545" s="7" t="s">
        <v>579</v>
      </c>
      <c r="B545" s="7" t="s">
        <v>380</v>
      </c>
      <c r="C545" s="8">
        <v>23999.0</v>
      </c>
      <c r="D545" s="8">
        <v>32999.0</v>
      </c>
      <c r="E545" s="19">
        <v>0.27</v>
      </c>
      <c r="F545" s="10">
        <v>3.9</v>
      </c>
      <c r="G545" s="11">
        <v>8866.0</v>
      </c>
      <c r="K545" s="23">
        <v>9000.0</v>
      </c>
    </row>
    <row r="546">
      <c r="A546" s="7" t="s">
        <v>580</v>
      </c>
      <c r="B546" s="7" t="s">
        <v>380</v>
      </c>
      <c r="C546" s="8">
        <v>29990.0</v>
      </c>
      <c r="D546" s="8">
        <v>39990.0</v>
      </c>
      <c r="E546" s="19">
        <v>0.25</v>
      </c>
      <c r="F546" s="10">
        <v>4.3</v>
      </c>
      <c r="G546" s="11">
        <v>8399.0</v>
      </c>
      <c r="K546" s="23">
        <v>10000.0</v>
      </c>
    </row>
    <row r="547">
      <c r="A547" s="7" t="s">
        <v>581</v>
      </c>
      <c r="B547" s="7" t="s">
        <v>373</v>
      </c>
      <c r="C547" s="8">
        <v>281.0</v>
      </c>
      <c r="D547" s="8">
        <v>1999.0</v>
      </c>
      <c r="E547" s="19">
        <v>0.86</v>
      </c>
      <c r="F547" s="10">
        <v>2.8</v>
      </c>
      <c r="G547" s="10">
        <v>87.0</v>
      </c>
      <c r="K547" s="23">
        <v>1718.0</v>
      </c>
    </row>
    <row r="548">
      <c r="A548" s="7" t="s">
        <v>582</v>
      </c>
      <c r="B548" s="7" t="s">
        <v>380</v>
      </c>
      <c r="C548" s="8">
        <v>7998.0</v>
      </c>
      <c r="D548" s="8">
        <v>11999.0</v>
      </c>
      <c r="E548" s="19">
        <v>0.33</v>
      </c>
      <c r="F548" s="10">
        <v>3.8</v>
      </c>
      <c r="G548" s="10">
        <v>125.0</v>
      </c>
      <c r="K548" s="23">
        <v>4001.0</v>
      </c>
    </row>
    <row r="549">
      <c r="A549" s="7" t="s">
        <v>583</v>
      </c>
      <c r="B549" s="7" t="s">
        <v>373</v>
      </c>
      <c r="C549" s="8">
        <v>249.0</v>
      </c>
      <c r="D549" s="8">
        <v>999.0</v>
      </c>
      <c r="E549" s="19">
        <v>0.75</v>
      </c>
      <c r="F549" s="10">
        <v>4.5</v>
      </c>
      <c r="G549" s="10">
        <v>38.0</v>
      </c>
      <c r="K549" s="23">
        <v>750.0</v>
      </c>
    </row>
    <row r="550">
      <c r="A550" s="7" t="s">
        <v>584</v>
      </c>
      <c r="B550" s="7" t="s">
        <v>490</v>
      </c>
      <c r="C550" s="8">
        <v>299.0</v>
      </c>
      <c r="D550" s="8">
        <v>599.0</v>
      </c>
      <c r="E550" s="19">
        <v>0.5</v>
      </c>
      <c r="F550" s="10">
        <v>4.3</v>
      </c>
      <c r="G550" s="11">
        <v>4674.0</v>
      </c>
      <c r="K550" s="23">
        <v>300.0</v>
      </c>
    </row>
    <row r="551">
      <c r="A551" s="7" t="s">
        <v>585</v>
      </c>
      <c r="B551" s="7" t="s">
        <v>373</v>
      </c>
      <c r="C551" s="8">
        <v>499.0</v>
      </c>
      <c r="D551" s="8">
        <v>1899.0</v>
      </c>
      <c r="E551" s="19">
        <v>0.74</v>
      </c>
      <c r="F551" s="10">
        <v>4.1</v>
      </c>
      <c r="G551" s="10">
        <v>412.0</v>
      </c>
      <c r="K551" s="23">
        <v>1400.0</v>
      </c>
    </row>
    <row r="552">
      <c r="A552" s="7" t="s">
        <v>586</v>
      </c>
      <c r="B552" s="7" t="s">
        <v>373</v>
      </c>
      <c r="C552" s="8">
        <v>899.0</v>
      </c>
      <c r="D552" s="8">
        <v>3499.0</v>
      </c>
      <c r="E552" s="19">
        <v>0.74</v>
      </c>
      <c r="F552" s="10">
        <v>3.0</v>
      </c>
      <c r="G552" s="10">
        <v>681.0</v>
      </c>
      <c r="K552" s="23">
        <v>2600.0</v>
      </c>
    </row>
    <row r="553">
      <c r="A553" s="7" t="s">
        <v>587</v>
      </c>
      <c r="B553" s="7" t="s">
        <v>377</v>
      </c>
      <c r="C553" s="8">
        <v>1599.0</v>
      </c>
      <c r="D553" s="8">
        <v>3499.0</v>
      </c>
      <c r="E553" s="19">
        <v>0.54</v>
      </c>
      <c r="F553" s="10">
        <v>4.0</v>
      </c>
      <c r="G553" s="11">
        <v>36384.0</v>
      </c>
      <c r="K553" s="23">
        <v>1900.0</v>
      </c>
    </row>
    <row r="554">
      <c r="A554" s="7" t="s">
        <v>588</v>
      </c>
      <c r="B554" s="7" t="s">
        <v>589</v>
      </c>
      <c r="C554" s="8">
        <v>120.0</v>
      </c>
      <c r="D554" s="8">
        <v>999.0</v>
      </c>
      <c r="E554" s="19">
        <v>0.88</v>
      </c>
      <c r="F554" s="10">
        <v>3.9</v>
      </c>
      <c r="G554" s="11">
        <v>6491.0</v>
      </c>
      <c r="K554" s="23">
        <v>879.0</v>
      </c>
    </row>
    <row r="555">
      <c r="A555" s="7" t="s">
        <v>590</v>
      </c>
      <c r="B555" s="7" t="s">
        <v>373</v>
      </c>
      <c r="C555" s="8">
        <v>3999.0</v>
      </c>
      <c r="D555" s="8">
        <v>6999.0</v>
      </c>
      <c r="E555" s="19">
        <v>0.43</v>
      </c>
      <c r="F555" s="10">
        <v>4.1</v>
      </c>
      <c r="G555" s="11">
        <v>10229.0</v>
      </c>
      <c r="K555" s="23">
        <v>3000.0</v>
      </c>
    </row>
    <row r="556">
      <c r="A556" s="7" t="s">
        <v>540</v>
      </c>
      <c r="B556" s="7" t="s">
        <v>380</v>
      </c>
      <c r="C556" s="8">
        <v>12999.0</v>
      </c>
      <c r="D556" s="8">
        <v>18999.0</v>
      </c>
      <c r="E556" s="19">
        <v>0.32</v>
      </c>
      <c r="F556" s="10">
        <v>4.1</v>
      </c>
      <c r="G556" s="11">
        <v>50772.0</v>
      </c>
      <c r="K556" s="23">
        <v>6000.0</v>
      </c>
    </row>
    <row r="557">
      <c r="A557" s="7" t="s">
        <v>591</v>
      </c>
      <c r="B557" s="7" t="s">
        <v>516</v>
      </c>
      <c r="C557" s="8">
        <v>1599.0</v>
      </c>
      <c r="D557" s="8">
        <v>2599.0</v>
      </c>
      <c r="E557" s="19">
        <v>0.38</v>
      </c>
      <c r="F557" s="10">
        <v>4.3</v>
      </c>
      <c r="G557" s="11">
        <v>1801.0</v>
      </c>
      <c r="K557" s="23">
        <v>1000.0</v>
      </c>
    </row>
    <row r="558">
      <c r="A558" s="7" t="s">
        <v>592</v>
      </c>
      <c r="B558" s="7" t="s">
        <v>409</v>
      </c>
      <c r="C558" s="8">
        <v>699.0</v>
      </c>
      <c r="D558" s="8">
        <v>1199.0</v>
      </c>
      <c r="E558" s="19">
        <v>0.42</v>
      </c>
      <c r="F558" s="10">
        <v>4.0</v>
      </c>
      <c r="G558" s="11">
        <v>14404.0</v>
      </c>
      <c r="K558" s="23">
        <v>500.0</v>
      </c>
    </row>
    <row r="559">
      <c r="A559" s="7" t="s">
        <v>593</v>
      </c>
      <c r="B559" s="7" t="s">
        <v>594</v>
      </c>
      <c r="C559" s="8">
        <v>99.0</v>
      </c>
      <c r="D559" s="8">
        <v>999.0</v>
      </c>
      <c r="E559" s="19">
        <v>0.9</v>
      </c>
      <c r="F559" s="10">
        <v>4.4</v>
      </c>
      <c r="G559" s="10">
        <v>305.0</v>
      </c>
      <c r="K559" s="23">
        <v>900.0</v>
      </c>
    </row>
    <row r="560">
      <c r="A560" s="7" t="s">
        <v>595</v>
      </c>
      <c r="B560" s="7" t="s">
        <v>380</v>
      </c>
      <c r="C560" s="8">
        <v>7915.0</v>
      </c>
      <c r="D560" s="8">
        <v>9999.0</v>
      </c>
      <c r="E560" s="19">
        <v>0.21</v>
      </c>
      <c r="F560" s="10">
        <v>4.3</v>
      </c>
      <c r="G560" s="11">
        <v>1376.0</v>
      </c>
      <c r="K560" s="23">
        <v>2084.0</v>
      </c>
    </row>
    <row r="561">
      <c r="A561" s="7" t="s">
        <v>596</v>
      </c>
      <c r="B561" s="7" t="s">
        <v>373</v>
      </c>
      <c r="C561" s="8">
        <v>1499.0</v>
      </c>
      <c r="D561" s="8">
        <v>7999.0</v>
      </c>
      <c r="E561" s="19">
        <v>0.81</v>
      </c>
      <c r="F561" s="10">
        <v>4.2</v>
      </c>
      <c r="G561" s="11">
        <v>22638.0</v>
      </c>
      <c r="K561" s="23">
        <v>6500.0</v>
      </c>
    </row>
    <row r="562">
      <c r="A562" s="7" t="s">
        <v>597</v>
      </c>
      <c r="B562" s="7" t="s">
        <v>389</v>
      </c>
      <c r="C562" s="8">
        <v>1055.0</v>
      </c>
      <c r="D562" s="8">
        <v>1249.0</v>
      </c>
      <c r="E562" s="19">
        <v>0.16</v>
      </c>
      <c r="F562" s="10">
        <v>3.8</v>
      </c>
      <c r="G562" s="11">
        <v>2352.0</v>
      </c>
      <c r="K562" s="23">
        <v>194.0</v>
      </c>
    </row>
    <row r="563">
      <c r="A563" s="7" t="s">
        <v>598</v>
      </c>
      <c r="B563" s="7" t="s">
        <v>490</v>
      </c>
      <c r="C563" s="8">
        <v>150.0</v>
      </c>
      <c r="D563" s="8">
        <v>599.0</v>
      </c>
      <c r="E563" s="19">
        <v>0.75</v>
      </c>
      <c r="F563" s="10">
        <v>4.3</v>
      </c>
      <c r="G563" s="10">
        <v>714.0</v>
      </c>
      <c r="K563" s="23">
        <v>449.0</v>
      </c>
    </row>
    <row r="564">
      <c r="A564" s="7" t="s">
        <v>94</v>
      </c>
      <c r="B564" s="7" t="s">
        <v>15</v>
      </c>
      <c r="C564" s="8">
        <v>219.0</v>
      </c>
      <c r="D564" s="8">
        <v>700.0</v>
      </c>
      <c r="E564" s="19">
        <v>0.69</v>
      </c>
      <c r="F564" s="10">
        <v>4.3</v>
      </c>
      <c r="G564" s="11">
        <v>20052.0</v>
      </c>
      <c r="K564" s="23">
        <v>481.0</v>
      </c>
    </row>
    <row r="565">
      <c r="A565" s="7" t="s">
        <v>599</v>
      </c>
      <c r="B565" s="7" t="s">
        <v>516</v>
      </c>
      <c r="C565" s="8">
        <v>474.0</v>
      </c>
      <c r="D565" s="8">
        <v>1799.0</v>
      </c>
      <c r="E565" s="19">
        <v>0.74</v>
      </c>
      <c r="F565" s="10">
        <v>4.3</v>
      </c>
      <c r="G565" s="11">
        <v>1454.0</v>
      </c>
      <c r="K565" s="23">
        <v>1325.0</v>
      </c>
    </row>
    <row r="566">
      <c r="A566" s="7" t="s">
        <v>98</v>
      </c>
      <c r="B566" s="7" t="s">
        <v>15</v>
      </c>
      <c r="C566" s="8">
        <v>115.0</v>
      </c>
      <c r="D566" s="8">
        <v>499.0</v>
      </c>
      <c r="E566" s="19">
        <v>0.77</v>
      </c>
      <c r="F566" s="10">
        <v>4.0</v>
      </c>
      <c r="G566" s="11">
        <v>7732.0</v>
      </c>
      <c r="K566" s="23">
        <v>384.0</v>
      </c>
    </row>
    <row r="567">
      <c r="A567" s="7" t="s">
        <v>600</v>
      </c>
      <c r="B567" s="7" t="s">
        <v>409</v>
      </c>
      <c r="C567" s="8">
        <v>239.0</v>
      </c>
      <c r="D567" s="8">
        <v>599.0</v>
      </c>
      <c r="E567" s="19">
        <v>0.6</v>
      </c>
      <c r="F567" s="10">
        <v>3.9</v>
      </c>
      <c r="G567" s="11">
        <v>2147.0</v>
      </c>
      <c r="K567" s="23">
        <v>360.0</v>
      </c>
    </row>
    <row r="568">
      <c r="A568" s="7" t="s">
        <v>601</v>
      </c>
      <c r="B568" s="7" t="s">
        <v>380</v>
      </c>
      <c r="C568" s="8">
        <v>7499.0</v>
      </c>
      <c r="D568" s="8">
        <v>9499.0</v>
      </c>
      <c r="E568" s="19">
        <v>0.21</v>
      </c>
      <c r="F568" s="10">
        <v>4.1</v>
      </c>
      <c r="G568" s="7" t="s">
        <v>513</v>
      </c>
      <c r="K568" s="23">
        <v>2000.0</v>
      </c>
    </row>
    <row r="569">
      <c r="A569" s="7" t="s">
        <v>602</v>
      </c>
      <c r="B569" s="7" t="s">
        <v>373</v>
      </c>
      <c r="C569" s="8">
        <v>265.0</v>
      </c>
      <c r="D569" s="8">
        <v>999.0</v>
      </c>
      <c r="E569" s="19">
        <v>0.73</v>
      </c>
      <c r="F569" s="10">
        <v>3.7</v>
      </c>
      <c r="G569" s="10">
        <v>465.0</v>
      </c>
      <c r="K569" s="23">
        <v>734.0</v>
      </c>
    </row>
    <row r="570">
      <c r="A570" s="7" t="s">
        <v>603</v>
      </c>
      <c r="B570" s="7" t="s">
        <v>380</v>
      </c>
      <c r="C570" s="8">
        <v>37990.0</v>
      </c>
      <c r="D570" s="8">
        <v>74999.0</v>
      </c>
      <c r="E570" s="19">
        <v>0.49</v>
      </c>
      <c r="F570" s="10">
        <v>4.2</v>
      </c>
      <c r="G570" s="11">
        <v>27790.0</v>
      </c>
      <c r="K570" s="23">
        <v>37009.0</v>
      </c>
    </row>
    <row r="571">
      <c r="A571" s="7" t="s">
        <v>100</v>
      </c>
      <c r="B571" s="7" t="s">
        <v>15</v>
      </c>
      <c r="C571" s="8">
        <v>199.0</v>
      </c>
      <c r="D571" s="8">
        <v>499.0</v>
      </c>
      <c r="E571" s="19">
        <v>0.6</v>
      </c>
      <c r="F571" s="10">
        <v>4.1</v>
      </c>
      <c r="G571" s="10">
        <v>602.0</v>
      </c>
      <c r="K571" s="23">
        <v>300.0</v>
      </c>
    </row>
    <row r="572">
      <c r="A572" s="7" t="s">
        <v>101</v>
      </c>
      <c r="B572" s="7" t="s">
        <v>15</v>
      </c>
      <c r="C572" s="8">
        <v>179.0</v>
      </c>
      <c r="D572" s="8">
        <v>399.0</v>
      </c>
      <c r="E572" s="19">
        <v>0.55</v>
      </c>
      <c r="F572" s="10">
        <v>4.0</v>
      </c>
      <c r="G572" s="11">
        <v>1423.0</v>
      </c>
      <c r="K572" s="23">
        <v>220.0</v>
      </c>
    </row>
    <row r="573">
      <c r="A573" s="7" t="s">
        <v>604</v>
      </c>
      <c r="B573" s="7" t="s">
        <v>441</v>
      </c>
      <c r="C573" s="8">
        <v>1799.0</v>
      </c>
      <c r="D573" s="8">
        <v>3999.0</v>
      </c>
      <c r="E573" s="19">
        <v>0.55</v>
      </c>
      <c r="F573" s="10">
        <v>4.6</v>
      </c>
      <c r="G573" s="10">
        <v>245.0</v>
      </c>
      <c r="K573" s="23">
        <v>2200.0</v>
      </c>
    </row>
    <row r="574">
      <c r="A574" s="7" t="s">
        <v>605</v>
      </c>
      <c r="B574" s="7" t="s">
        <v>380</v>
      </c>
      <c r="C574" s="8">
        <v>8499.0</v>
      </c>
      <c r="D574" s="8">
        <v>11999.0</v>
      </c>
      <c r="E574" s="19">
        <v>0.29</v>
      </c>
      <c r="F574" s="10">
        <v>3.9</v>
      </c>
      <c r="G574" s="10">
        <v>276.0</v>
      </c>
      <c r="K574" s="23">
        <v>3500.0</v>
      </c>
    </row>
    <row r="575">
      <c r="A575" s="7" t="s">
        <v>606</v>
      </c>
      <c r="B575" s="7" t="s">
        <v>373</v>
      </c>
      <c r="C575" s="8">
        <v>1999.0</v>
      </c>
      <c r="D575" s="8">
        <v>3999.0</v>
      </c>
      <c r="E575" s="19">
        <v>0.5</v>
      </c>
      <c r="F575" s="10">
        <v>4.0</v>
      </c>
      <c r="G575" s="11">
        <v>30254.0</v>
      </c>
      <c r="K575" s="23">
        <v>2000.0</v>
      </c>
    </row>
    <row r="576">
      <c r="A576" s="7" t="s">
        <v>424</v>
      </c>
      <c r="B576" s="7" t="s">
        <v>373</v>
      </c>
      <c r="C576" s="8">
        <v>3999.0</v>
      </c>
      <c r="D576" s="8">
        <v>17999.0</v>
      </c>
      <c r="E576" s="19">
        <v>0.78</v>
      </c>
      <c r="F576" s="10">
        <v>4.3</v>
      </c>
      <c r="G576" s="11">
        <v>17161.0</v>
      </c>
      <c r="K576" s="23">
        <v>14000.0</v>
      </c>
    </row>
    <row r="577">
      <c r="A577" s="7" t="s">
        <v>607</v>
      </c>
      <c r="B577" s="7" t="s">
        <v>409</v>
      </c>
      <c r="C577" s="8">
        <v>219.0</v>
      </c>
      <c r="D577" s="8">
        <v>499.0</v>
      </c>
      <c r="E577" s="19">
        <v>0.56</v>
      </c>
      <c r="F577" s="10">
        <v>4.4</v>
      </c>
      <c r="G577" s="10">
        <v>14.0</v>
      </c>
      <c r="K577" s="23">
        <v>280.0</v>
      </c>
    </row>
    <row r="578">
      <c r="A578" s="7" t="s">
        <v>608</v>
      </c>
      <c r="B578" s="7" t="s">
        <v>441</v>
      </c>
      <c r="C578" s="8">
        <v>599.0</v>
      </c>
      <c r="D578" s="8">
        <v>1399.0</v>
      </c>
      <c r="E578" s="19">
        <v>0.57</v>
      </c>
      <c r="F578" s="10">
        <v>4.1</v>
      </c>
      <c r="G578" s="11">
        <v>14560.0</v>
      </c>
      <c r="K578" s="23">
        <v>800.0</v>
      </c>
    </row>
    <row r="579">
      <c r="A579" s="7" t="s">
        <v>609</v>
      </c>
      <c r="B579" s="7" t="s">
        <v>377</v>
      </c>
      <c r="C579" s="8">
        <v>2499.0</v>
      </c>
      <c r="D579" s="8">
        <v>2999.0</v>
      </c>
      <c r="E579" s="19">
        <v>0.17</v>
      </c>
      <c r="F579" s="10">
        <v>4.1</v>
      </c>
      <c r="G579" s="11">
        <v>3156.0</v>
      </c>
      <c r="K579" s="23">
        <v>500.0</v>
      </c>
    </row>
    <row r="580">
      <c r="A580" s="7" t="s">
        <v>610</v>
      </c>
      <c r="B580" s="7" t="s">
        <v>611</v>
      </c>
      <c r="C580" s="8">
        <v>89.0</v>
      </c>
      <c r="D580" s="8">
        <v>499.0</v>
      </c>
      <c r="E580" s="19">
        <v>0.82</v>
      </c>
      <c r="F580" s="10">
        <v>4.1</v>
      </c>
      <c r="G580" s="11">
        <v>9340.0</v>
      </c>
      <c r="K580" s="23">
        <v>410.0</v>
      </c>
    </row>
    <row r="581">
      <c r="A581" s="7" t="s">
        <v>612</v>
      </c>
      <c r="B581" s="7" t="s">
        <v>373</v>
      </c>
      <c r="C581" s="8">
        <v>2999.0</v>
      </c>
      <c r="D581" s="8">
        <v>11999.0</v>
      </c>
      <c r="E581" s="19">
        <v>0.75</v>
      </c>
      <c r="F581" s="10">
        <v>4.4</v>
      </c>
      <c r="G581" s="10">
        <v>768.0</v>
      </c>
      <c r="K581" s="23">
        <v>9000.0</v>
      </c>
    </row>
    <row r="582">
      <c r="A582" s="7" t="s">
        <v>613</v>
      </c>
      <c r="B582" s="7" t="s">
        <v>450</v>
      </c>
      <c r="C582" s="8">
        <v>314.0</v>
      </c>
      <c r="D582" s="8">
        <v>1499.0</v>
      </c>
      <c r="E582" s="19">
        <v>0.79</v>
      </c>
      <c r="F582" s="10">
        <v>4.5</v>
      </c>
      <c r="G582" s="11">
        <v>28978.0</v>
      </c>
      <c r="K582" s="23">
        <v>1185.0</v>
      </c>
    </row>
    <row r="583">
      <c r="A583" s="7" t="s">
        <v>614</v>
      </c>
      <c r="B583" s="7" t="s">
        <v>380</v>
      </c>
      <c r="C583" s="8">
        <v>13999.0</v>
      </c>
      <c r="D583" s="8">
        <v>19499.0</v>
      </c>
      <c r="E583" s="19">
        <v>0.28</v>
      </c>
      <c r="F583" s="10">
        <v>4.1</v>
      </c>
      <c r="G583" s="11">
        <v>18998.0</v>
      </c>
      <c r="K583" s="23">
        <v>5500.0</v>
      </c>
    </row>
    <row r="584">
      <c r="A584" s="7" t="s">
        <v>615</v>
      </c>
      <c r="B584" s="7" t="s">
        <v>423</v>
      </c>
      <c r="C584" s="8">
        <v>139.0</v>
      </c>
      <c r="D584" s="8">
        <v>499.0</v>
      </c>
      <c r="E584" s="19">
        <v>0.72</v>
      </c>
      <c r="F584" s="10">
        <v>4.2</v>
      </c>
      <c r="G584" s="11">
        <v>4971.0</v>
      </c>
      <c r="K584" s="23">
        <v>360.0</v>
      </c>
    </row>
    <row r="585">
      <c r="A585" s="7" t="s">
        <v>616</v>
      </c>
      <c r="B585" s="7" t="s">
        <v>502</v>
      </c>
      <c r="C585" s="8">
        <v>2599.0</v>
      </c>
      <c r="D585" s="8">
        <v>6999.0</v>
      </c>
      <c r="E585" s="19">
        <v>0.63</v>
      </c>
      <c r="F585" s="10">
        <v>4.5</v>
      </c>
      <c r="G585" s="11">
        <v>1526.0</v>
      </c>
      <c r="K585" s="23">
        <v>4400.0</v>
      </c>
    </row>
    <row r="586">
      <c r="A586" s="7" t="s">
        <v>617</v>
      </c>
      <c r="B586" s="7" t="s">
        <v>393</v>
      </c>
      <c r="C586" s="8">
        <v>365.0</v>
      </c>
      <c r="D586" s="8">
        <v>999.0</v>
      </c>
      <c r="E586" s="19">
        <v>0.63</v>
      </c>
      <c r="F586" s="10">
        <v>4.1</v>
      </c>
      <c r="G586" s="7" t="s">
        <v>618</v>
      </c>
      <c r="K586" s="23">
        <v>634.0</v>
      </c>
    </row>
    <row r="587">
      <c r="A587" s="7" t="s">
        <v>619</v>
      </c>
      <c r="B587" s="7" t="s">
        <v>393</v>
      </c>
      <c r="C587" s="8">
        <v>1499.0</v>
      </c>
      <c r="D587" s="8">
        <v>4490.0</v>
      </c>
      <c r="E587" s="19">
        <v>0.67</v>
      </c>
      <c r="F587" s="10">
        <v>3.9</v>
      </c>
      <c r="G587" s="7" t="s">
        <v>620</v>
      </c>
      <c r="K587" s="23">
        <v>2991.0</v>
      </c>
    </row>
    <row r="588">
      <c r="A588" s="7" t="s">
        <v>374</v>
      </c>
      <c r="B588" s="7" t="s">
        <v>373</v>
      </c>
      <c r="C588" s="8">
        <v>1998.0</v>
      </c>
      <c r="D588" s="8">
        <v>9999.0</v>
      </c>
      <c r="E588" s="19">
        <v>0.8</v>
      </c>
      <c r="F588" s="10">
        <v>4.3</v>
      </c>
      <c r="G588" s="11">
        <v>27709.0</v>
      </c>
      <c r="K588" s="23">
        <v>8001.0</v>
      </c>
    </row>
    <row r="589">
      <c r="A589" s="7" t="s">
        <v>375</v>
      </c>
      <c r="B589" s="7" t="s">
        <v>373</v>
      </c>
      <c r="C589" s="8">
        <v>1799.0</v>
      </c>
      <c r="D589" s="8">
        <v>7990.0</v>
      </c>
      <c r="E589" s="19">
        <v>0.77</v>
      </c>
      <c r="F589" s="10">
        <v>3.8</v>
      </c>
      <c r="G589" s="11">
        <v>17833.0</v>
      </c>
      <c r="K589" s="23">
        <v>6191.0</v>
      </c>
    </row>
    <row r="590">
      <c r="A590" s="7" t="s">
        <v>621</v>
      </c>
      <c r="B590" s="7" t="s">
        <v>622</v>
      </c>
      <c r="C590" s="8">
        <v>289.0</v>
      </c>
      <c r="D590" s="8">
        <v>650.0</v>
      </c>
      <c r="E590" s="19">
        <v>0.56</v>
      </c>
      <c r="F590" s="10">
        <v>4.3</v>
      </c>
      <c r="G590" s="7" t="s">
        <v>623</v>
      </c>
      <c r="K590" s="23">
        <v>361.0</v>
      </c>
    </row>
    <row r="591">
      <c r="A591" s="7" t="s">
        <v>624</v>
      </c>
      <c r="B591" s="7" t="s">
        <v>625</v>
      </c>
      <c r="C591" s="8">
        <v>599.0</v>
      </c>
      <c r="D591" s="8">
        <v>895.0</v>
      </c>
      <c r="E591" s="19">
        <v>0.33</v>
      </c>
      <c r="F591" s="10">
        <v>4.4</v>
      </c>
      <c r="G591" s="11">
        <v>61314.0</v>
      </c>
      <c r="K591" s="23">
        <v>296.0</v>
      </c>
    </row>
    <row r="592">
      <c r="A592" s="7" t="s">
        <v>626</v>
      </c>
      <c r="B592" s="7" t="s">
        <v>627</v>
      </c>
      <c r="C592" s="8">
        <v>217.0</v>
      </c>
      <c r="D592" s="8">
        <v>237.0</v>
      </c>
      <c r="E592" s="19">
        <v>0.08</v>
      </c>
      <c r="F592" s="10">
        <v>3.8</v>
      </c>
      <c r="G592" s="11">
        <v>7354.0</v>
      </c>
      <c r="K592" s="23">
        <v>20.0</v>
      </c>
    </row>
    <row r="593">
      <c r="A593" s="7" t="s">
        <v>628</v>
      </c>
      <c r="B593" s="7" t="s">
        <v>393</v>
      </c>
      <c r="C593" s="8">
        <v>1299.0</v>
      </c>
      <c r="D593" s="8">
        <v>2990.0</v>
      </c>
      <c r="E593" s="19">
        <v>0.57</v>
      </c>
      <c r="F593" s="10">
        <v>3.8</v>
      </c>
      <c r="G593" s="7" t="s">
        <v>629</v>
      </c>
      <c r="K593" s="23">
        <v>1691.0</v>
      </c>
    </row>
    <row r="594">
      <c r="A594" s="7" t="s">
        <v>630</v>
      </c>
      <c r="B594" s="7" t="s">
        <v>631</v>
      </c>
      <c r="C594" s="8">
        <v>263.0</v>
      </c>
      <c r="D594" s="8">
        <v>699.0</v>
      </c>
      <c r="E594" s="19">
        <v>0.62</v>
      </c>
      <c r="F594" s="10">
        <v>3.5</v>
      </c>
      <c r="G594" s="10">
        <v>690.0</v>
      </c>
      <c r="K594" s="23">
        <v>436.0</v>
      </c>
    </row>
    <row r="595">
      <c r="A595" s="7" t="s">
        <v>385</v>
      </c>
      <c r="B595" s="7" t="s">
        <v>386</v>
      </c>
      <c r="C595" s="8">
        <v>569.0</v>
      </c>
      <c r="D595" s="8">
        <v>1000.0</v>
      </c>
      <c r="E595" s="19">
        <v>0.43</v>
      </c>
      <c r="F595" s="10">
        <v>4.4</v>
      </c>
      <c r="G595" s="11">
        <v>67262.0</v>
      </c>
      <c r="K595" s="23">
        <v>431.0</v>
      </c>
    </row>
    <row r="596">
      <c r="A596" s="7" t="s">
        <v>387</v>
      </c>
      <c r="B596" s="7" t="s">
        <v>373</v>
      </c>
      <c r="C596" s="8">
        <v>1999.0</v>
      </c>
      <c r="D596" s="8">
        <v>4999.0</v>
      </c>
      <c r="E596" s="19">
        <v>0.6</v>
      </c>
      <c r="F596" s="10">
        <v>4.1</v>
      </c>
      <c r="G596" s="11">
        <v>10689.0</v>
      </c>
      <c r="K596" s="23">
        <v>3000.0</v>
      </c>
    </row>
    <row r="597">
      <c r="A597" s="7" t="s">
        <v>632</v>
      </c>
      <c r="B597" s="7" t="s">
        <v>393</v>
      </c>
      <c r="C597" s="8">
        <v>1399.0</v>
      </c>
      <c r="D597" s="8">
        <v>3990.0</v>
      </c>
      <c r="E597" s="19">
        <v>0.65</v>
      </c>
      <c r="F597" s="10">
        <v>4.1</v>
      </c>
      <c r="G597" s="7" t="s">
        <v>633</v>
      </c>
      <c r="K597" s="23">
        <v>2591.0</v>
      </c>
    </row>
    <row r="598">
      <c r="A598" s="7" t="s">
        <v>634</v>
      </c>
      <c r="B598" s="7" t="s">
        <v>635</v>
      </c>
      <c r="C598" s="8">
        <v>349.0</v>
      </c>
      <c r="D598" s="8">
        <v>1499.0</v>
      </c>
      <c r="E598" s="19">
        <v>0.77</v>
      </c>
      <c r="F598" s="10">
        <v>4.3</v>
      </c>
      <c r="G598" s="11">
        <v>24791.0</v>
      </c>
      <c r="K598" s="23">
        <v>1150.0</v>
      </c>
    </row>
    <row r="599">
      <c r="A599" s="7" t="s">
        <v>636</v>
      </c>
      <c r="B599" s="7" t="s">
        <v>393</v>
      </c>
      <c r="C599" s="8">
        <v>149.0</v>
      </c>
      <c r="D599" s="8">
        <v>399.0</v>
      </c>
      <c r="E599" s="19">
        <v>0.63</v>
      </c>
      <c r="F599" s="10">
        <v>3.5</v>
      </c>
      <c r="G599" s="11">
        <v>21764.0</v>
      </c>
      <c r="K599" s="23">
        <v>250.0</v>
      </c>
    </row>
    <row r="600">
      <c r="A600" s="7" t="s">
        <v>392</v>
      </c>
      <c r="B600" s="7" t="s">
        <v>393</v>
      </c>
      <c r="C600" s="8">
        <v>599.0</v>
      </c>
      <c r="D600" s="8">
        <v>999.0</v>
      </c>
      <c r="E600" s="19">
        <v>0.4</v>
      </c>
      <c r="F600" s="10">
        <v>4.1</v>
      </c>
      <c r="G600" s="7" t="s">
        <v>637</v>
      </c>
      <c r="K600" s="23">
        <v>400.0</v>
      </c>
    </row>
    <row r="601">
      <c r="A601" s="7" t="s">
        <v>638</v>
      </c>
      <c r="B601" s="7" t="s">
        <v>572</v>
      </c>
      <c r="C601" s="8">
        <v>1220.0</v>
      </c>
      <c r="D601" s="8">
        <v>3990.0</v>
      </c>
      <c r="E601" s="19">
        <v>0.69</v>
      </c>
      <c r="F601" s="10">
        <v>4.1</v>
      </c>
      <c r="G601" s="7" t="s">
        <v>639</v>
      </c>
      <c r="K601" s="23">
        <v>2770.0</v>
      </c>
    </row>
    <row r="602">
      <c r="A602" s="7" t="s">
        <v>391</v>
      </c>
      <c r="B602" s="7" t="s">
        <v>373</v>
      </c>
      <c r="C602" s="8">
        <v>1499.0</v>
      </c>
      <c r="D602" s="8">
        <v>6990.0</v>
      </c>
      <c r="E602" s="19">
        <v>0.79</v>
      </c>
      <c r="F602" s="10">
        <v>3.9</v>
      </c>
      <c r="G602" s="11">
        <v>21797.0</v>
      </c>
      <c r="K602" s="23">
        <v>5491.0</v>
      </c>
    </row>
    <row r="603">
      <c r="A603" s="7" t="s">
        <v>640</v>
      </c>
      <c r="B603" s="7" t="s">
        <v>393</v>
      </c>
      <c r="C603" s="8">
        <v>499.0</v>
      </c>
      <c r="D603" s="8">
        <v>999.0</v>
      </c>
      <c r="E603" s="19">
        <v>0.5</v>
      </c>
      <c r="F603" s="10">
        <v>3.9</v>
      </c>
      <c r="G603" s="11">
        <v>92995.0</v>
      </c>
      <c r="K603" s="23">
        <v>500.0</v>
      </c>
    </row>
    <row r="604">
      <c r="A604" s="7" t="s">
        <v>641</v>
      </c>
      <c r="B604" s="7" t="s">
        <v>454</v>
      </c>
      <c r="C604" s="8">
        <v>99.0</v>
      </c>
      <c r="D604" s="8">
        <v>999.0</v>
      </c>
      <c r="E604" s="19">
        <v>0.9</v>
      </c>
      <c r="F604" s="10">
        <v>4.1</v>
      </c>
      <c r="G604" s="11">
        <v>8751.0</v>
      </c>
      <c r="K604" s="23">
        <v>900.0</v>
      </c>
    </row>
    <row r="605">
      <c r="A605" s="7" t="s">
        <v>398</v>
      </c>
      <c r="B605" s="7" t="s">
        <v>399</v>
      </c>
      <c r="C605" s="8">
        <v>349.0</v>
      </c>
      <c r="D605" s="8">
        <v>1299.0</v>
      </c>
      <c r="E605" s="19">
        <v>0.73</v>
      </c>
      <c r="F605" s="10">
        <v>4.0</v>
      </c>
      <c r="G605" s="11">
        <v>14283.0</v>
      </c>
      <c r="K605" s="23">
        <v>950.0</v>
      </c>
    </row>
    <row r="606">
      <c r="A606" s="7" t="s">
        <v>642</v>
      </c>
      <c r="B606" s="7" t="s">
        <v>622</v>
      </c>
      <c r="C606" s="8">
        <v>475.0</v>
      </c>
      <c r="D606" s="8">
        <v>1500.0</v>
      </c>
      <c r="E606" s="19">
        <v>0.68</v>
      </c>
      <c r="F606" s="10">
        <v>4.2</v>
      </c>
      <c r="G606" s="11">
        <v>64273.0</v>
      </c>
      <c r="K606" s="23">
        <v>1025.0</v>
      </c>
    </row>
    <row r="607">
      <c r="A607" s="7" t="s">
        <v>643</v>
      </c>
      <c r="B607" s="7" t="s">
        <v>625</v>
      </c>
      <c r="C607" s="8">
        <v>269.0</v>
      </c>
      <c r="D607" s="8">
        <v>649.0</v>
      </c>
      <c r="E607" s="19">
        <v>0.59</v>
      </c>
      <c r="F607" s="10">
        <v>4.3</v>
      </c>
      <c r="G607" s="11">
        <v>54315.0</v>
      </c>
      <c r="K607" s="23">
        <v>380.0</v>
      </c>
    </row>
    <row r="608">
      <c r="A608" s="7" t="s">
        <v>644</v>
      </c>
      <c r="B608" s="7" t="s">
        <v>625</v>
      </c>
      <c r="C608" s="8">
        <v>299.0</v>
      </c>
      <c r="D608" s="8">
        <v>599.0</v>
      </c>
      <c r="E608" s="19">
        <v>0.5</v>
      </c>
      <c r="F608" s="10">
        <v>4.1</v>
      </c>
      <c r="G608" s="11">
        <v>1597.0</v>
      </c>
      <c r="K608" s="23">
        <v>300.0</v>
      </c>
    </row>
    <row r="609">
      <c r="A609" s="7" t="s">
        <v>410</v>
      </c>
      <c r="B609" s="7" t="s">
        <v>373</v>
      </c>
      <c r="C609" s="8">
        <v>1599.0</v>
      </c>
      <c r="D609" s="8">
        <v>3999.0</v>
      </c>
      <c r="E609" s="19">
        <v>0.6</v>
      </c>
      <c r="F609" s="10">
        <v>4.0</v>
      </c>
      <c r="G609" s="11">
        <v>30254.0</v>
      </c>
      <c r="K609" s="23">
        <v>2400.0</v>
      </c>
    </row>
    <row r="610">
      <c r="A610" s="7" t="s">
        <v>411</v>
      </c>
      <c r="B610" s="7" t="s">
        <v>373</v>
      </c>
      <c r="C610" s="8">
        <v>1499.0</v>
      </c>
      <c r="D610" s="8">
        <v>7999.0</v>
      </c>
      <c r="E610" s="19">
        <v>0.81</v>
      </c>
      <c r="F610" s="10">
        <v>4.2</v>
      </c>
      <c r="G610" s="11">
        <v>22638.0</v>
      </c>
      <c r="K610" s="23">
        <v>6500.0</v>
      </c>
    </row>
    <row r="611">
      <c r="A611" s="7" t="s">
        <v>645</v>
      </c>
      <c r="B611" s="7" t="s">
        <v>393</v>
      </c>
      <c r="C611" s="8">
        <v>329.0</v>
      </c>
      <c r="D611" s="8">
        <v>999.0</v>
      </c>
      <c r="E611" s="19">
        <v>0.67</v>
      </c>
      <c r="F611" s="10">
        <v>3.9</v>
      </c>
      <c r="G611" s="11">
        <v>77027.0</v>
      </c>
      <c r="K611" s="23">
        <v>670.0</v>
      </c>
    </row>
    <row r="612">
      <c r="A612" s="7" t="s">
        <v>646</v>
      </c>
      <c r="B612" s="7" t="s">
        <v>647</v>
      </c>
      <c r="C612" s="8">
        <v>549.0</v>
      </c>
      <c r="D612" s="8">
        <v>1799.0</v>
      </c>
      <c r="E612" s="19">
        <v>0.69</v>
      </c>
      <c r="F612" s="10">
        <v>4.3</v>
      </c>
      <c r="G612" s="11">
        <v>28829.0</v>
      </c>
      <c r="K612" s="23">
        <v>1250.0</v>
      </c>
    </row>
    <row r="613">
      <c r="A613" s="7" t="s">
        <v>415</v>
      </c>
      <c r="B613" s="7" t="s">
        <v>373</v>
      </c>
      <c r="C613" s="8">
        <v>2199.0</v>
      </c>
      <c r="D613" s="8">
        <v>9999.0</v>
      </c>
      <c r="E613" s="19">
        <v>0.78</v>
      </c>
      <c r="F613" s="10">
        <v>4.2</v>
      </c>
      <c r="G613" s="11">
        <v>29478.0</v>
      </c>
      <c r="K613" s="23">
        <v>7800.0</v>
      </c>
    </row>
    <row r="614">
      <c r="A614" s="7" t="s">
        <v>648</v>
      </c>
      <c r="B614" s="7" t="s">
        <v>625</v>
      </c>
      <c r="C614" s="8">
        <v>299.0</v>
      </c>
      <c r="D614" s="8">
        <v>650.0</v>
      </c>
      <c r="E614" s="19">
        <v>0.54</v>
      </c>
      <c r="F614" s="10">
        <v>4.5</v>
      </c>
      <c r="G614" s="11">
        <v>33176.0</v>
      </c>
      <c r="K614" s="23">
        <v>351.0</v>
      </c>
    </row>
    <row r="615">
      <c r="A615" s="7" t="s">
        <v>649</v>
      </c>
      <c r="B615" s="7" t="s">
        <v>650</v>
      </c>
      <c r="C615" s="8">
        <v>798.0</v>
      </c>
      <c r="D615" s="8">
        <v>1995.0</v>
      </c>
      <c r="E615" s="19">
        <v>0.6</v>
      </c>
      <c r="F615" s="10">
        <v>4.0</v>
      </c>
      <c r="G615" s="11">
        <v>68664.0</v>
      </c>
      <c r="K615" s="23">
        <v>1197.0</v>
      </c>
    </row>
    <row r="616">
      <c r="A616" s="7" t="s">
        <v>14</v>
      </c>
      <c r="B616" s="7" t="s">
        <v>15</v>
      </c>
      <c r="C616" s="8">
        <v>399.0</v>
      </c>
      <c r="D616" s="8">
        <v>1099.0</v>
      </c>
      <c r="E616" s="19">
        <v>0.64</v>
      </c>
      <c r="F616" s="10">
        <v>4.2</v>
      </c>
      <c r="G616" s="11">
        <v>24269.0</v>
      </c>
      <c r="K616" s="23">
        <v>700.0</v>
      </c>
    </row>
    <row r="617">
      <c r="A617" s="7" t="s">
        <v>651</v>
      </c>
      <c r="B617" s="7" t="s">
        <v>652</v>
      </c>
      <c r="C617" s="8">
        <v>266.0</v>
      </c>
      <c r="D617" s="8">
        <v>315.0</v>
      </c>
      <c r="E617" s="19">
        <v>0.16</v>
      </c>
      <c r="F617" s="10">
        <v>4.5</v>
      </c>
      <c r="G617" s="11">
        <v>28030.0</v>
      </c>
      <c r="K617" s="23">
        <v>49.0</v>
      </c>
    </row>
    <row r="618">
      <c r="A618" s="7" t="s">
        <v>653</v>
      </c>
      <c r="B618" s="7" t="s">
        <v>654</v>
      </c>
      <c r="C618" s="8">
        <v>50.0</v>
      </c>
      <c r="D618" s="8">
        <v>50.0</v>
      </c>
      <c r="E618" s="19">
        <v>0.0</v>
      </c>
      <c r="F618" s="10">
        <v>4.3</v>
      </c>
      <c r="G618" s="11">
        <v>5792.0</v>
      </c>
      <c r="K618" s="23">
        <v>0.0</v>
      </c>
    </row>
    <row r="619">
      <c r="A619" s="7" t="s">
        <v>655</v>
      </c>
      <c r="B619" s="7" t="s">
        <v>656</v>
      </c>
      <c r="C619" s="8">
        <v>130.0</v>
      </c>
      <c r="D619" s="8">
        <v>165.0</v>
      </c>
      <c r="E619" s="19">
        <v>0.21</v>
      </c>
      <c r="F619" s="10">
        <v>3.9</v>
      </c>
      <c r="G619" s="11">
        <v>14778.0</v>
      </c>
      <c r="K619" s="23">
        <v>35.0</v>
      </c>
    </row>
    <row r="620">
      <c r="A620" s="7" t="s">
        <v>657</v>
      </c>
      <c r="B620" s="7" t="s">
        <v>393</v>
      </c>
      <c r="C620" s="8">
        <v>449.0</v>
      </c>
      <c r="D620" s="8">
        <v>1290.0</v>
      </c>
      <c r="E620" s="19">
        <v>0.65</v>
      </c>
      <c r="F620" s="10">
        <v>4.1</v>
      </c>
      <c r="G620" s="11">
        <v>91770.0</v>
      </c>
      <c r="K620" s="23">
        <v>841.0</v>
      </c>
    </row>
    <row r="621">
      <c r="A621" s="7" t="s">
        <v>424</v>
      </c>
      <c r="B621" s="7" t="s">
        <v>373</v>
      </c>
      <c r="C621" s="8">
        <v>3999.0</v>
      </c>
      <c r="D621" s="8">
        <v>16999.0</v>
      </c>
      <c r="E621" s="19">
        <v>0.76</v>
      </c>
      <c r="F621" s="10">
        <v>4.3</v>
      </c>
      <c r="G621" s="11">
        <v>17162.0</v>
      </c>
      <c r="K621" s="23">
        <v>13000.0</v>
      </c>
    </row>
    <row r="622">
      <c r="A622" s="7" t="s">
        <v>658</v>
      </c>
      <c r="B622" s="7" t="s">
        <v>393</v>
      </c>
      <c r="C622" s="8">
        <v>399.0</v>
      </c>
      <c r="D622" s="8">
        <v>1290.0</v>
      </c>
      <c r="E622" s="19">
        <v>0.69</v>
      </c>
      <c r="F622" s="10">
        <v>4.2</v>
      </c>
      <c r="G622" s="10">
        <v>206.0</v>
      </c>
      <c r="K622" s="23">
        <v>891.0</v>
      </c>
    </row>
    <row r="623">
      <c r="A623" s="7" t="s">
        <v>659</v>
      </c>
      <c r="B623" s="7" t="s">
        <v>660</v>
      </c>
      <c r="C623" s="8">
        <v>1399.0</v>
      </c>
      <c r="D623" s="8">
        <v>2498.0</v>
      </c>
      <c r="E623" s="19">
        <v>0.44</v>
      </c>
      <c r="F623" s="10">
        <v>4.2</v>
      </c>
      <c r="G623" s="11">
        <v>33717.0</v>
      </c>
      <c r="K623" s="23">
        <v>1099.0</v>
      </c>
    </row>
    <row r="624">
      <c r="A624" s="7" t="s">
        <v>17</v>
      </c>
      <c r="B624" s="7" t="s">
        <v>15</v>
      </c>
      <c r="C624" s="8">
        <v>199.0</v>
      </c>
      <c r="D624" s="8">
        <v>349.0</v>
      </c>
      <c r="E624" s="19">
        <v>0.43</v>
      </c>
      <c r="F624" s="10">
        <v>4.0</v>
      </c>
      <c r="G624" s="11">
        <v>43994.0</v>
      </c>
      <c r="K624" s="23">
        <v>150.0</v>
      </c>
    </row>
    <row r="625">
      <c r="A625" s="7" t="s">
        <v>18</v>
      </c>
      <c r="B625" s="7" t="s">
        <v>15</v>
      </c>
      <c r="C625" s="8">
        <v>199.0</v>
      </c>
      <c r="D625" s="8">
        <v>999.0</v>
      </c>
      <c r="E625" s="19">
        <v>0.8</v>
      </c>
      <c r="F625" s="10">
        <v>3.9</v>
      </c>
      <c r="G625" s="11">
        <v>7928.0</v>
      </c>
      <c r="K625" s="23">
        <v>800.0</v>
      </c>
    </row>
    <row r="626">
      <c r="A626" s="7" t="s">
        <v>425</v>
      </c>
      <c r="B626" s="7" t="s">
        <v>373</v>
      </c>
      <c r="C626" s="8">
        <v>2998.0</v>
      </c>
      <c r="D626" s="8">
        <v>5999.0</v>
      </c>
      <c r="E626" s="19">
        <v>0.5</v>
      </c>
      <c r="F626" s="10">
        <v>4.1</v>
      </c>
      <c r="G626" s="11">
        <v>5179.0</v>
      </c>
      <c r="K626" s="23">
        <v>3001.0</v>
      </c>
    </row>
    <row r="627">
      <c r="A627" s="7" t="s">
        <v>661</v>
      </c>
      <c r="B627" s="7" t="s">
        <v>662</v>
      </c>
      <c r="C627" s="8">
        <v>4098.0</v>
      </c>
      <c r="D627" s="8">
        <v>4999.0</v>
      </c>
      <c r="E627" s="19">
        <v>0.18</v>
      </c>
      <c r="F627" s="10">
        <v>4.5</v>
      </c>
      <c r="G627" s="11">
        <v>50810.0</v>
      </c>
      <c r="K627" s="23">
        <v>901.0</v>
      </c>
    </row>
    <row r="628">
      <c r="A628" s="7" t="s">
        <v>663</v>
      </c>
      <c r="B628" s="7" t="s">
        <v>664</v>
      </c>
      <c r="C628" s="8">
        <v>499.0</v>
      </c>
      <c r="D628" s="8">
        <v>1999.0</v>
      </c>
      <c r="E628" s="19">
        <v>0.75</v>
      </c>
      <c r="F628" s="10">
        <v>3.7</v>
      </c>
      <c r="G628" s="11">
        <v>3369.0</v>
      </c>
      <c r="K628" s="23">
        <v>1500.0</v>
      </c>
    </row>
    <row r="629">
      <c r="A629" s="7" t="s">
        <v>665</v>
      </c>
      <c r="B629" s="7" t="s">
        <v>625</v>
      </c>
      <c r="C629" s="8">
        <v>299.0</v>
      </c>
      <c r="D629" s="8">
        <v>449.0</v>
      </c>
      <c r="E629" s="19">
        <v>0.33</v>
      </c>
      <c r="F629" s="10">
        <v>3.5</v>
      </c>
      <c r="G629" s="11">
        <v>11827.0</v>
      </c>
      <c r="K629" s="23">
        <v>150.0</v>
      </c>
    </row>
    <row r="630">
      <c r="A630" s="7" t="s">
        <v>19</v>
      </c>
      <c r="B630" s="7" t="s">
        <v>15</v>
      </c>
      <c r="C630" s="8">
        <v>329.0</v>
      </c>
      <c r="D630" s="8">
        <v>699.0</v>
      </c>
      <c r="E630" s="19">
        <v>0.53</v>
      </c>
      <c r="F630" s="10">
        <v>4.2</v>
      </c>
      <c r="G630" s="11">
        <v>94364.0</v>
      </c>
      <c r="K630" s="23">
        <v>370.0</v>
      </c>
    </row>
    <row r="631">
      <c r="A631" s="7" t="s">
        <v>666</v>
      </c>
      <c r="B631" s="7" t="s">
        <v>660</v>
      </c>
      <c r="C631" s="8">
        <v>699.0</v>
      </c>
      <c r="D631" s="8">
        <v>999.0</v>
      </c>
      <c r="E631" s="19">
        <v>0.3</v>
      </c>
      <c r="F631" s="10">
        <v>3.5</v>
      </c>
      <c r="G631" s="11">
        <v>15295.0</v>
      </c>
      <c r="K631" s="23">
        <v>300.0</v>
      </c>
    </row>
    <row r="632">
      <c r="A632" s="7" t="s">
        <v>667</v>
      </c>
      <c r="B632" s="7" t="s">
        <v>668</v>
      </c>
      <c r="C632" s="8">
        <v>799.0</v>
      </c>
      <c r="D632" s="8">
        <v>3990.0</v>
      </c>
      <c r="E632" s="19">
        <v>0.8</v>
      </c>
      <c r="F632" s="10">
        <v>4.3</v>
      </c>
      <c r="G632" s="11">
        <v>27139.0</v>
      </c>
      <c r="K632" s="23">
        <v>3191.0</v>
      </c>
    </row>
    <row r="633">
      <c r="A633" s="7" t="s">
        <v>669</v>
      </c>
      <c r="B633" s="7" t="s">
        <v>393</v>
      </c>
      <c r="C633" s="8">
        <v>1399.0</v>
      </c>
      <c r="D633" s="8">
        <v>5499.0</v>
      </c>
      <c r="E633" s="19">
        <v>0.75</v>
      </c>
      <c r="F633" s="10">
        <v>3.9</v>
      </c>
      <c r="G633" s="11">
        <v>9504.0</v>
      </c>
      <c r="K633" s="23">
        <v>4100.0</v>
      </c>
    </row>
    <row r="634">
      <c r="A634" s="7" t="s">
        <v>20</v>
      </c>
      <c r="B634" s="7" t="s">
        <v>15</v>
      </c>
      <c r="C634" s="8">
        <v>154.0</v>
      </c>
      <c r="D634" s="8">
        <v>399.0</v>
      </c>
      <c r="E634" s="19">
        <v>0.61</v>
      </c>
      <c r="F634" s="10">
        <v>4.2</v>
      </c>
      <c r="G634" s="11">
        <v>16905.0</v>
      </c>
      <c r="K634" s="23">
        <v>245.0</v>
      </c>
    </row>
    <row r="635">
      <c r="A635" s="7" t="s">
        <v>670</v>
      </c>
      <c r="B635" s="7" t="s">
        <v>622</v>
      </c>
      <c r="C635" s="8">
        <v>519.0</v>
      </c>
      <c r="D635" s="8">
        <v>1350.0</v>
      </c>
      <c r="E635" s="19">
        <v>0.62</v>
      </c>
      <c r="F635" s="10">
        <v>4.3</v>
      </c>
      <c r="G635" s="11">
        <v>30058.0</v>
      </c>
      <c r="K635" s="23">
        <v>831.0</v>
      </c>
    </row>
    <row r="636">
      <c r="A636" s="7" t="s">
        <v>439</v>
      </c>
      <c r="B636" s="7" t="s">
        <v>373</v>
      </c>
      <c r="C636" s="8">
        <v>2299.0</v>
      </c>
      <c r="D636" s="8">
        <v>7990.0</v>
      </c>
      <c r="E636" s="19">
        <v>0.71</v>
      </c>
      <c r="F636" s="10">
        <v>4.2</v>
      </c>
      <c r="G636" s="11">
        <v>69619.0</v>
      </c>
      <c r="K636" s="23">
        <v>5691.0</v>
      </c>
    </row>
    <row r="637">
      <c r="A637" s="7" t="s">
        <v>440</v>
      </c>
      <c r="B637" s="7" t="s">
        <v>441</v>
      </c>
      <c r="C637" s="8">
        <v>399.0</v>
      </c>
      <c r="D637" s="8">
        <v>1999.0</v>
      </c>
      <c r="E637" s="19">
        <v>0.8</v>
      </c>
      <c r="F637" s="10">
        <v>4.0</v>
      </c>
      <c r="G637" s="11">
        <v>3382.0</v>
      </c>
      <c r="K637" s="23">
        <v>1600.0</v>
      </c>
    </row>
    <row r="638">
      <c r="A638" s="7" t="s">
        <v>671</v>
      </c>
      <c r="B638" s="7" t="s">
        <v>393</v>
      </c>
      <c r="C638" s="8">
        <v>1499.0</v>
      </c>
      <c r="D638" s="8">
        <v>3990.0</v>
      </c>
      <c r="E638" s="19">
        <v>0.62</v>
      </c>
      <c r="F638" s="10">
        <v>4.1</v>
      </c>
      <c r="G638" s="7" t="s">
        <v>672</v>
      </c>
      <c r="K638" s="23">
        <v>2491.0</v>
      </c>
    </row>
    <row r="639">
      <c r="A639" s="7" t="s">
        <v>673</v>
      </c>
      <c r="B639" s="7" t="s">
        <v>674</v>
      </c>
      <c r="C639" s="8">
        <v>1295.0</v>
      </c>
      <c r="D639" s="8">
        <v>1295.0</v>
      </c>
      <c r="E639" s="19">
        <v>0.0</v>
      </c>
      <c r="F639" s="10">
        <v>4.5</v>
      </c>
      <c r="G639" s="11">
        <v>5760.0</v>
      </c>
      <c r="K639" s="23">
        <v>0.0</v>
      </c>
    </row>
    <row r="640">
      <c r="A640" s="7" t="s">
        <v>675</v>
      </c>
      <c r="B640" s="7" t="s">
        <v>676</v>
      </c>
      <c r="C640" s="8">
        <v>1889.0</v>
      </c>
      <c r="D640" s="8">
        <v>5499.0</v>
      </c>
      <c r="E640" s="19">
        <v>0.66</v>
      </c>
      <c r="F640" s="10">
        <v>4.2</v>
      </c>
      <c r="G640" s="11">
        <v>49551.0</v>
      </c>
      <c r="K640" s="23">
        <v>3610.0</v>
      </c>
    </row>
    <row r="641">
      <c r="A641" s="7" t="s">
        <v>677</v>
      </c>
      <c r="B641" s="7" t="s">
        <v>393</v>
      </c>
      <c r="C641" s="8">
        <v>455.0</v>
      </c>
      <c r="D641" s="8">
        <v>1490.0</v>
      </c>
      <c r="E641" s="19">
        <v>0.69</v>
      </c>
      <c r="F641" s="10">
        <v>4.1</v>
      </c>
      <c r="G641" s="7" t="s">
        <v>678</v>
      </c>
      <c r="K641" s="23">
        <v>1035.0</v>
      </c>
    </row>
    <row r="642">
      <c r="A642" s="7" t="s">
        <v>679</v>
      </c>
      <c r="B642" s="7" t="s">
        <v>680</v>
      </c>
      <c r="C642" s="8">
        <v>399.0</v>
      </c>
      <c r="D642" s="8">
        <v>995.0</v>
      </c>
      <c r="E642" s="19">
        <v>0.6</v>
      </c>
      <c r="F642" s="10">
        <v>3.9</v>
      </c>
      <c r="G642" s="11">
        <v>21372.0</v>
      </c>
      <c r="K642" s="23">
        <v>596.0</v>
      </c>
    </row>
    <row r="643">
      <c r="A643" s="7" t="s">
        <v>442</v>
      </c>
      <c r="B643" s="7" t="s">
        <v>386</v>
      </c>
      <c r="C643" s="8">
        <v>1059.0</v>
      </c>
      <c r="D643" s="8">
        <v>3999.0</v>
      </c>
      <c r="E643" s="19">
        <v>0.74</v>
      </c>
      <c r="F643" s="10">
        <v>4.3</v>
      </c>
      <c r="G643" s="7" t="s">
        <v>681</v>
      </c>
      <c r="K643" s="23">
        <v>2940.0</v>
      </c>
    </row>
    <row r="644">
      <c r="A644" s="7" t="s">
        <v>21</v>
      </c>
      <c r="B644" s="7" t="s">
        <v>15</v>
      </c>
      <c r="C644" s="8">
        <v>149.0</v>
      </c>
      <c r="D644" s="8">
        <v>1000.0</v>
      </c>
      <c r="E644" s="19">
        <v>0.85</v>
      </c>
      <c r="F644" s="10">
        <v>3.9</v>
      </c>
      <c r="G644" s="11">
        <v>24870.0</v>
      </c>
      <c r="K644" s="23">
        <v>851.0</v>
      </c>
    </row>
    <row r="645">
      <c r="A645" s="7" t="s">
        <v>682</v>
      </c>
      <c r="B645" s="7" t="s">
        <v>683</v>
      </c>
      <c r="C645" s="8">
        <v>717.0</v>
      </c>
      <c r="D645" s="8">
        <v>761.0</v>
      </c>
      <c r="E645" s="19">
        <v>0.06</v>
      </c>
      <c r="F645" s="10">
        <v>4.0</v>
      </c>
      <c r="G645" s="11">
        <v>7199.0</v>
      </c>
      <c r="K645" s="23">
        <v>44.0</v>
      </c>
    </row>
    <row r="646">
      <c r="A646" s="7" t="s">
        <v>453</v>
      </c>
      <c r="B646" s="7" t="s">
        <v>454</v>
      </c>
      <c r="C646" s="8">
        <v>99.0</v>
      </c>
      <c r="D646" s="8">
        <v>999.0</v>
      </c>
      <c r="E646" s="19">
        <v>0.9</v>
      </c>
      <c r="F646" s="10">
        <v>4.0</v>
      </c>
      <c r="G646" s="11">
        <v>1396.0</v>
      </c>
      <c r="K646" s="23">
        <v>900.0</v>
      </c>
    </row>
    <row r="647">
      <c r="A647" s="7" t="s">
        <v>684</v>
      </c>
      <c r="B647" s="7" t="s">
        <v>685</v>
      </c>
      <c r="C647" s="8">
        <v>39.0</v>
      </c>
      <c r="D647" s="8">
        <v>299.0</v>
      </c>
      <c r="E647" s="19">
        <v>0.87</v>
      </c>
      <c r="F647" s="10">
        <v>3.5</v>
      </c>
      <c r="G647" s="11">
        <v>15233.0</v>
      </c>
      <c r="K647" s="23">
        <v>260.0</v>
      </c>
    </row>
    <row r="648">
      <c r="A648" s="7" t="s">
        <v>686</v>
      </c>
      <c r="B648" s="7" t="s">
        <v>622</v>
      </c>
      <c r="C648" s="8">
        <v>889.0</v>
      </c>
      <c r="D648" s="8">
        <v>2500.0</v>
      </c>
      <c r="E648" s="19">
        <v>0.64</v>
      </c>
      <c r="F648" s="10">
        <v>4.3</v>
      </c>
      <c r="G648" s="11">
        <v>55747.0</v>
      </c>
      <c r="K648" s="23">
        <v>1611.0</v>
      </c>
    </row>
    <row r="649">
      <c r="A649" s="7" t="s">
        <v>687</v>
      </c>
      <c r="B649" s="7" t="s">
        <v>393</v>
      </c>
      <c r="C649" s="8">
        <v>1199.0</v>
      </c>
      <c r="D649" s="8">
        <v>4999.0</v>
      </c>
      <c r="E649" s="19">
        <v>0.76</v>
      </c>
      <c r="F649" s="10">
        <v>3.8</v>
      </c>
      <c r="G649" s="11">
        <v>14961.0</v>
      </c>
      <c r="K649" s="23">
        <v>3800.0</v>
      </c>
    </row>
    <row r="650">
      <c r="A650" s="7" t="s">
        <v>688</v>
      </c>
      <c r="B650" s="7" t="s">
        <v>625</v>
      </c>
      <c r="C650" s="8">
        <v>569.0</v>
      </c>
      <c r="D650" s="8">
        <v>1299.0</v>
      </c>
      <c r="E650" s="19">
        <v>0.56</v>
      </c>
      <c r="F650" s="10">
        <v>4.4</v>
      </c>
      <c r="G650" s="11">
        <v>9275.0</v>
      </c>
      <c r="K650" s="23">
        <v>730.0</v>
      </c>
    </row>
    <row r="651">
      <c r="A651" s="7" t="s">
        <v>689</v>
      </c>
      <c r="B651" s="7" t="s">
        <v>393</v>
      </c>
      <c r="C651" s="8">
        <v>1499.0</v>
      </c>
      <c r="D651" s="8">
        <v>8999.0</v>
      </c>
      <c r="E651" s="19">
        <v>0.83</v>
      </c>
      <c r="F651" s="10">
        <v>3.7</v>
      </c>
      <c r="G651" s="11">
        <v>28324.0</v>
      </c>
      <c r="K651" s="23">
        <v>7500.0</v>
      </c>
    </row>
    <row r="652">
      <c r="A652" s="7" t="s">
        <v>690</v>
      </c>
      <c r="B652" s="7" t="s">
        <v>652</v>
      </c>
      <c r="C652" s="8">
        <v>149.0</v>
      </c>
      <c r="D652" s="8">
        <v>180.0</v>
      </c>
      <c r="E652" s="19">
        <v>0.17</v>
      </c>
      <c r="F652" s="10">
        <v>4.4</v>
      </c>
      <c r="G652" s="10">
        <v>644.0</v>
      </c>
      <c r="K652" s="23">
        <v>31.0</v>
      </c>
    </row>
    <row r="653">
      <c r="A653" s="7" t="s">
        <v>691</v>
      </c>
      <c r="B653" s="7" t="s">
        <v>692</v>
      </c>
      <c r="C653" s="8">
        <v>399.0</v>
      </c>
      <c r="D653" s="8">
        <v>549.0</v>
      </c>
      <c r="E653" s="19">
        <v>0.27</v>
      </c>
      <c r="F653" s="10">
        <v>4.4</v>
      </c>
      <c r="G653" s="11">
        <v>18139.0</v>
      </c>
      <c r="K653" s="23">
        <v>150.0</v>
      </c>
    </row>
    <row r="654">
      <c r="A654" s="7" t="s">
        <v>693</v>
      </c>
      <c r="B654" s="7" t="s">
        <v>694</v>
      </c>
      <c r="C654" s="8">
        <v>191.0</v>
      </c>
      <c r="D654" s="8">
        <v>225.0</v>
      </c>
      <c r="E654" s="19">
        <v>0.15</v>
      </c>
      <c r="F654" s="10">
        <v>4.4</v>
      </c>
      <c r="G654" s="11">
        <v>7203.0</v>
      </c>
      <c r="K654" s="23">
        <v>34.0</v>
      </c>
    </row>
    <row r="655">
      <c r="A655" s="7" t="s">
        <v>695</v>
      </c>
      <c r="B655" s="7" t="s">
        <v>696</v>
      </c>
      <c r="C655" s="8">
        <v>129.0</v>
      </c>
      <c r="D655" s="8">
        <v>999.0</v>
      </c>
      <c r="E655" s="19">
        <v>0.87</v>
      </c>
      <c r="F655" s="10">
        <v>4.2</v>
      </c>
      <c r="G655" s="10">
        <v>491.0</v>
      </c>
      <c r="K655" s="23">
        <v>870.0</v>
      </c>
    </row>
    <row r="656">
      <c r="A656" s="7" t="s">
        <v>697</v>
      </c>
      <c r="B656" s="7" t="s">
        <v>698</v>
      </c>
      <c r="C656" s="8">
        <v>199.0</v>
      </c>
      <c r="D656" s="8">
        <v>599.0</v>
      </c>
      <c r="E656" s="19">
        <v>0.67</v>
      </c>
      <c r="F656" s="10">
        <v>4.5</v>
      </c>
      <c r="G656" s="11">
        <v>13568.0</v>
      </c>
      <c r="K656" s="23">
        <v>400.0</v>
      </c>
    </row>
    <row r="657">
      <c r="A657" s="7" t="s">
        <v>699</v>
      </c>
      <c r="B657" s="7" t="s">
        <v>393</v>
      </c>
      <c r="C657" s="8">
        <v>999.0</v>
      </c>
      <c r="D657" s="8">
        <v>4499.0</v>
      </c>
      <c r="E657" s="19">
        <v>0.78</v>
      </c>
      <c r="F657" s="10">
        <v>3.8</v>
      </c>
      <c r="G657" s="11">
        <v>3390.0</v>
      </c>
      <c r="K657" s="23">
        <v>3500.0</v>
      </c>
    </row>
    <row r="658">
      <c r="A658" s="7" t="s">
        <v>700</v>
      </c>
      <c r="B658" s="7" t="s">
        <v>393</v>
      </c>
      <c r="C658" s="8">
        <v>899.0</v>
      </c>
      <c r="D658" s="8">
        <v>4499.0</v>
      </c>
      <c r="E658" s="19">
        <v>0.8</v>
      </c>
      <c r="F658" s="10">
        <v>3.8</v>
      </c>
      <c r="G658" s="7" t="s">
        <v>701</v>
      </c>
      <c r="K658" s="23">
        <v>3600.0</v>
      </c>
    </row>
    <row r="659">
      <c r="A659" s="7" t="s">
        <v>463</v>
      </c>
      <c r="B659" s="7" t="s">
        <v>377</v>
      </c>
      <c r="C659" s="8">
        <v>1799.0</v>
      </c>
      <c r="D659" s="8">
        <v>2499.0</v>
      </c>
      <c r="E659" s="19">
        <v>0.28</v>
      </c>
      <c r="F659" s="10">
        <v>4.1</v>
      </c>
      <c r="G659" s="11">
        <v>18678.0</v>
      </c>
      <c r="K659" s="23">
        <v>700.0</v>
      </c>
    </row>
    <row r="660">
      <c r="A660" s="7" t="s">
        <v>22</v>
      </c>
      <c r="B660" s="7" t="s">
        <v>15</v>
      </c>
      <c r="C660" s="8">
        <v>176.63</v>
      </c>
      <c r="D660" s="8">
        <v>499.0</v>
      </c>
      <c r="E660" s="19">
        <v>0.65</v>
      </c>
      <c r="F660" s="10">
        <v>4.1</v>
      </c>
      <c r="G660" s="11">
        <v>15189.0</v>
      </c>
      <c r="K660" s="23">
        <v>322.37</v>
      </c>
    </row>
    <row r="661">
      <c r="A661" s="7" t="s">
        <v>702</v>
      </c>
      <c r="B661" s="7" t="s">
        <v>674</v>
      </c>
      <c r="C661" s="8">
        <v>522.0</v>
      </c>
      <c r="D661" s="8">
        <v>550.0</v>
      </c>
      <c r="E661" s="19">
        <v>0.05</v>
      </c>
      <c r="F661" s="10">
        <v>4.4</v>
      </c>
      <c r="G661" s="11">
        <v>12179.0</v>
      </c>
      <c r="K661" s="23">
        <v>28.0</v>
      </c>
    </row>
    <row r="662">
      <c r="A662" s="7" t="s">
        <v>703</v>
      </c>
      <c r="B662" s="7" t="s">
        <v>704</v>
      </c>
      <c r="C662" s="8">
        <v>799.0</v>
      </c>
      <c r="D662" s="8">
        <v>1999.0</v>
      </c>
      <c r="E662" s="19">
        <v>0.6</v>
      </c>
      <c r="F662" s="10">
        <v>3.8</v>
      </c>
      <c r="G662" s="11">
        <v>12958.0</v>
      </c>
      <c r="K662" s="23">
        <v>1200.0</v>
      </c>
    </row>
    <row r="663">
      <c r="A663" s="7" t="s">
        <v>705</v>
      </c>
      <c r="B663" s="7" t="s">
        <v>625</v>
      </c>
      <c r="C663" s="8">
        <v>681.0</v>
      </c>
      <c r="D663" s="8">
        <v>1199.0</v>
      </c>
      <c r="E663" s="19">
        <v>0.43</v>
      </c>
      <c r="F663" s="10">
        <v>4.2</v>
      </c>
      <c r="G663" s="11">
        <v>8258.0</v>
      </c>
      <c r="K663" s="23">
        <v>518.0</v>
      </c>
    </row>
    <row r="664">
      <c r="A664" s="7" t="s">
        <v>706</v>
      </c>
      <c r="B664" s="7" t="s">
        <v>707</v>
      </c>
      <c r="C664" s="8">
        <v>1199.0</v>
      </c>
      <c r="D664" s="8">
        <v>3490.0</v>
      </c>
      <c r="E664" s="19">
        <v>0.66</v>
      </c>
      <c r="F664" s="10">
        <v>4.1</v>
      </c>
      <c r="G664" s="11">
        <v>11716.0</v>
      </c>
      <c r="K664" s="23">
        <v>2291.0</v>
      </c>
    </row>
    <row r="665">
      <c r="A665" s="7" t="s">
        <v>708</v>
      </c>
      <c r="B665" s="7" t="s">
        <v>709</v>
      </c>
      <c r="C665" s="8">
        <v>2499.0</v>
      </c>
      <c r="D665" s="8">
        <v>4999.0</v>
      </c>
      <c r="E665" s="19">
        <v>0.5</v>
      </c>
      <c r="F665" s="10">
        <v>4.4</v>
      </c>
      <c r="G665" s="11">
        <v>35024.0</v>
      </c>
      <c r="K665" s="23">
        <v>2500.0</v>
      </c>
    </row>
    <row r="666">
      <c r="A666" s="7" t="s">
        <v>710</v>
      </c>
      <c r="B666" s="7" t="s">
        <v>711</v>
      </c>
      <c r="C666" s="8">
        <v>1799.0</v>
      </c>
      <c r="D666" s="8">
        <v>4999.0</v>
      </c>
      <c r="E666" s="19">
        <v>0.64</v>
      </c>
      <c r="F666" s="10">
        <v>4.1</v>
      </c>
      <c r="G666" s="11">
        <v>55192.0</v>
      </c>
      <c r="K666" s="23">
        <v>3200.0</v>
      </c>
    </row>
    <row r="667">
      <c r="A667" s="7" t="s">
        <v>712</v>
      </c>
      <c r="B667" s="7" t="s">
        <v>393</v>
      </c>
      <c r="C667" s="8">
        <v>429.0</v>
      </c>
      <c r="D667" s="8">
        <v>599.0</v>
      </c>
      <c r="E667" s="19">
        <v>0.28</v>
      </c>
      <c r="F667" s="10">
        <v>4.1</v>
      </c>
      <c r="G667" s="7" t="s">
        <v>713</v>
      </c>
      <c r="K667" s="23">
        <v>170.0</v>
      </c>
    </row>
    <row r="668">
      <c r="A668" s="7" t="s">
        <v>714</v>
      </c>
      <c r="B668" s="7" t="s">
        <v>627</v>
      </c>
      <c r="C668" s="8">
        <v>100.0</v>
      </c>
      <c r="D668" s="8">
        <v>499.0</v>
      </c>
      <c r="E668" s="19">
        <v>0.8</v>
      </c>
      <c r="F668" s="10">
        <v>3.5</v>
      </c>
      <c r="G668" s="11">
        <v>9638.0</v>
      </c>
      <c r="K668" s="23">
        <v>399.0</v>
      </c>
    </row>
    <row r="669">
      <c r="A669" s="7" t="s">
        <v>715</v>
      </c>
      <c r="B669" s="7" t="s">
        <v>647</v>
      </c>
      <c r="C669" s="8">
        <v>329.0</v>
      </c>
      <c r="D669" s="8">
        <v>399.0</v>
      </c>
      <c r="E669" s="19">
        <v>0.18</v>
      </c>
      <c r="F669" s="10">
        <v>3.6</v>
      </c>
      <c r="G669" s="11">
        <v>33735.0</v>
      </c>
      <c r="K669" s="23">
        <v>70.0</v>
      </c>
    </row>
    <row r="670">
      <c r="A670" s="7" t="s">
        <v>23</v>
      </c>
      <c r="B670" s="7" t="s">
        <v>15</v>
      </c>
      <c r="C670" s="8">
        <v>229.0</v>
      </c>
      <c r="D670" s="8">
        <v>299.0</v>
      </c>
      <c r="E670" s="19">
        <v>0.23</v>
      </c>
      <c r="F670" s="10">
        <v>4.3</v>
      </c>
      <c r="G670" s="11">
        <v>30411.0</v>
      </c>
      <c r="K670" s="23">
        <v>70.0</v>
      </c>
    </row>
    <row r="671">
      <c r="A671" s="7" t="s">
        <v>716</v>
      </c>
      <c r="B671" s="7" t="s">
        <v>625</v>
      </c>
      <c r="C671" s="8">
        <v>139.0</v>
      </c>
      <c r="D671" s="8">
        <v>299.0</v>
      </c>
      <c r="E671" s="19">
        <v>0.54</v>
      </c>
      <c r="F671" s="10">
        <v>3.8</v>
      </c>
      <c r="G671" s="11">
        <v>3044.0</v>
      </c>
      <c r="K671" s="23">
        <v>160.0</v>
      </c>
    </row>
    <row r="672">
      <c r="A672" s="7" t="s">
        <v>717</v>
      </c>
      <c r="B672" s="7" t="s">
        <v>572</v>
      </c>
      <c r="C672" s="8">
        <v>1199.0</v>
      </c>
      <c r="D672" s="8">
        <v>2499.0</v>
      </c>
      <c r="E672" s="19">
        <v>0.52</v>
      </c>
      <c r="F672" s="10">
        <v>4.0</v>
      </c>
      <c r="G672" s="11">
        <v>33584.0</v>
      </c>
      <c r="K672" s="23">
        <v>1300.0</v>
      </c>
    </row>
    <row r="673">
      <c r="A673" s="7" t="s">
        <v>718</v>
      </c>
      <c r="B673" s="7" t="s">
        <v>719</v>
      </c>
      <c r="C673" s="8">
        <v>1049.0</v>
      </c>
      <c r="D673" s="8">
        <v>2299.0</v>
      </c>
      <c r="E673" s="19">
        <v>0.54</v>
      </c>
      <c r="F673" s="10">
        <v>3.9</v>
      </c>
      <c r="G673" s="11">
        <v>1779.0</v>
      </c>
      <c r="K673" s="23">
        <v>1250.0</v>
      </c>
    </row>
    <row r="674">
      <c r="A674" s="7" t="s">
        <v>468</v>
      </c>
      <c r="B674" s="7" t="s">
        <v>469</v>
      </c>
      <c r="C674" s="8">
        <v>119.0</v>
      </c>
      <c r="D674" s="8">
        <v>299.0</v>
      </c>
      <c r="E674" s="19">
        <v>0.6</v>
      </c>
      <c r="F674" s="10">
        <v>4.1</v>
      </c>
      <c r="G674" s="11">
        <v>5999.0</v>
      </c>
      <c r="K674" s="23">
        <v>180.0</v>
      </c>
    </row>
    <row r="675">
      <c r="A675" s="7" t="s">
        <v>28</v>
      </c>
      <c r="B675" s="7" t="s">
        <v>15</v>
      </c>
      <c r="C675" s="8">
        <v>154.0</v>
      </c>
      <c r="D675" s="8">
        <v>339.0</v>
      </c>
      <c r="E675" s="19">
        <v>0.55</v>
      </c>
      <c r="F675" s="10">
        <v>4.3</v>
      </c>
      <c r="G675" s="11">
        <v>13391.0</v>
      </c>
      <c r="K675" s="23">
        <v>185.0</v>
      </c>
    </row>
    <row r="676">
      <c r="A676" s="7" t="s">
        <v>720</v>
      </c>
      <c r="B676" s="7" t="s">
        <v>721</v>
      </c>
      <c r="C676" s="8">
        <v>225.0</v>
      </c>
      <c r="D676" s="8">
        <v>250.0</v>
      </c>
      <c r="E676" s="19">
        <v>0.1</v>
      </c>
      <c r="F676" s="10">
        <v>4.4</v>
      </c>
      <c r="G676" s="11">
        <v>26556.0</v>
      </c>
      <c r="K676" s="23">
        <v>25.0</v>
      </c>
    </row>
    <row r="677">
      <c r="A677" s="7" t="s">
        <v>722</v>
      </c>
      <c r="B677" s="7" t="s">
        <v>631</v>
      </c>
      <c r="C677" s="8">
        <v>656.0</v>
      </c>
      <c r="D677" s="8">
        <v>1499.0</v>
      </c>
      <c r="E677" s="19">
        <v>0.56</v>
      </c>
      <c r="F677" s="10">
        <v>4.3</v>
      </c>
      <c r="G677" s="11">
        <v>25903.0</v>
      </c>
      <c r="K677" s="23">
        <v>843.0</v>
      </c>
    </row>
    <row r="678">
      <c r="A678" s="7" t="s">
        <v>723</v>
      </c>
      <c r="B678" s="7" t="s">
        <v>622</v>
      </c>
      <c r="C678" s="8">
        <v>1109.0</v>
      </c>
      <c r="D678" s="8">
        <v>2800.0</v>
      </c>
      <c r="E678" s="19">
        <v>0.6</v>
      </c>
      <c r="F678" s="10">
        <v>4.3</v>
      </c>
      <c r="G678" s="11">
        <v>53464.0</v>
      </c>
      <c r="K678" s="23">
        <v>1691.0</v>
      </c>
    </row>
    <row r="679">
      <c r="A679" s="7" t="s">
        <v>465</v>
      </c>
      <c r="B679" s="7" t="s">
        <v>373</v>
      </c>
      <c r="C679" s="8">
        <v>2999.0</v>
      </c>
      <c r="D679" s="8">
        <v>7990.0</v>
      </c>
      <c r="E679" s="19">
        <v>0.62</v>
      </c>
      <c r="F679" s="10">
        <v>4.1</v>
      </c>
      <c r="G679" s="11">
        <v>48448.0</v>
      </c>
      <c r="K679" s="23">
        <v>4991.0</v>
      </c>
    </row>
    <row r="680">
      <c r="A680" s="7" t="s">
        <v>724</v>
      </c>
      <c r="B680" s="7" t="s">
        <v>696</v>
      </c>
      <c r="C680" s="8">
        <v>169.0</v>
      </c>
      <c r="D680" s="8">
        <v>299.0</v>
      </c>
      <c r="E680" s="19">
        <v>0.43</v>
      </c>
      <c r="F680" s="10">
        <v>4.4</v>
      </c>
      <c r="G680" s="11">
        <v>5176.0</v>
      </c>
      <c r="K680" s="23">
        <v>130.0</v>
      </c>
    </row>
    <row r="681">
      <c r="A681" s="7" t="s">
        <v>725</v>
      </c>
      <c r="B681" s="7" t="s">
        <v>683</v>
      </c>
      <c r="C681" s="8">
        <v>309.0</v>
      </c>
      <c r="D681" s="8">
        <v>404.0</v>
      </c>
      <c r="E681" s="19">
        <v>0.24</v>
      </c>
      <c r="F681" s="10">
        <v>4.4</v>
      </c>
      <c r="G681" s="11">
        <v>8614.0</v>
      </c>
      <c r="K681" s="23">
        <v>95.0</v>
      </c>
    </row>
    <row r="682">
      <c r="A682" s="7" t="s">
        <v>726</v>
      </c>
      <c r="B682" s="7" t="s">
        <v>572</v>
      </c>
      <c r="C682" s="8">
        <v>599.0</v>
      </c>
      <c r="D682" s="8">
        <v>1399.0</v>
      </c>
      <c r="E682" s="19">
        <v>0.57</v>
      </c>
      <c r="F682" s="10">
        <v>3.8</v>
      </c>
      <c r="G682" s="11">
        <v>60026.0</v>
      </c>
      <c r="K682" s="23">
        <v>800.0</v>
      </c>
    </row>
    <row r="683">
      <c r="A683" s="15" t="s">
        <v>727</v>
      </c>
      <c r="B683" s="7" t="s">
        <v>647</v>
      </c>
      <c r="C683" s="8">
        <v>299.0</v>
      </c>
      <c r="D683" s="8">
        <v>599.0</v>
      </c>
      <c r="E683" s="19">
        <v>0.5</v>
      </c>
      <c r="F683" s="10">
        <v>3.8</v>
      </c>
      <c r="G683" s="11">
        <v>3066.0</v>
      </c>
      <c r="K683" s="23">
        <v>300.0</v>
      </c>
    </row>
    <row r="684">
      <c r="A684" s="7" t="s">
        <v>728</v>
      </c>
      <c r="B684" s="7" t="s">
        <v>631</v>
      </c>
      <c r="C684" s="8">
        <v>449.0</v>
      </c>
      <c r="D684" s="8">
        <v>999.0</v>
      </c>
      <c r="E684" s="19">
        <v>0.55</v>
      </c>
      <c r="F684" s="10">
        <v>4.0</v>
      </c>
      <c r="G684" s="11">
        <v>2102.0</v>
      </c>
      <c r="K684" s="23">
        <v>550.0</v>
      </c>
    </row>
    <row r="685">
      <c r="A685" s="7" t="s">
        <v>729</v>
      </c>
      <c r="B685" s="7" t="s">
        <v>625</v>
      </c>
      <c r="C685" s="8">
        <v>799.0</v>
      </c>
      <c r="D685" s="8">
        <v>1295.0</v>
      </c>
      <c r="E685" s="19">
        <v>0.38</v>
      </c>
      <c r="F685" s="10">
        <v>4.4</v>
      </c>
      <c r="G685" s="11">
        <v>34852.0</v>
      </c>
      <c r="K685" s="23">
        <v>496.0</v>
      </c>
    </row>
    <row r="686">
      <c r="A686" s="7" t="s">
        <v>30</v>
      </c>
      <c r="B686" s="7" t="s">
        <v>31</v>
      </c>
      <c r="C686" s="8">
        <v>219.0</v>
      </c>
      <c r="D686" s="8">
        <v>700.0</v>
      </c>
      <c r="E686" s="19">
        <v>0.69</v>
      </c>
      <c r="F686" s="10">
        <v>4.4</v>
      </c>
      <c r="G686" s="7" t="s">
        <v>730</v>
      </c>
      <c r="K686" s="23">
        <v>481.0</v>
      </c>
    </row>
    <row r="687">
      <c r="A687" s="7" t="s">
        <v>731</v>
      </c>
      <c r="B687" s="7" t="s">
        <v>732</v>
      </c>
      <c r="C687" s="8">
        <v>157.0</v>
      </c>
      <c r="D687" s="8">
        <v>160.0</v>
      </c>
      <c r="E687" s="19">
        <v>0.02</v>
      </c>
      <c r="F687" s="10">
        <v>4.5</v>
      </c>
      <c r="G687" s="11">
        <v>8618.0</v>
      </c>
      <c r="K687" s="23">
        <v>3.0</v>
      </c>
    </row>
    <row r="688">
      <c r="A688" s="7" t="s">
        <v>475</v>
      </c>
      <c r="B688" s="7" t="s">
        <v>386</v>
      </c>
      <c r="C688" s="8">
        <v>369.0</v>
      </c>
      <c r="D688" s="8">
        <v>1600.0</v>
      </c>
      <c r="E688" s="19">
        <v>0.77</v>
      </c>
      <c r="F688" s="10">
        <v>4.0</v>
      </c>
      <c r="G688" s="11">
        <v>32625.0</v>
      </c>
      <c r="K688" s="23">
        <v>1231.0</v>
      </c>
    </row>
    <row r="689">
      <c r="A689" s="7" t="s">
        <v>733</v>
      </c>
      <c r="B689" s="7" t="s">
        <v>625</v>
      </c>
      <c r="C689" s="8">
        <v>599.0</v>
      </c>
      <c r="D689" s="8">
        <v>899.0</v>
      </c>
      <c r="E689" s="19">
        <v>0.33</v>
      </c>
      <c r="F689" s="10">
        <v>4.0</v>
      </c>
      <c r="G689" s="11">
        <v>4018.0</v>
      </c>
      <c r="K689" s="23">
        <v>300.0</v>
      </c>
    </row>
    <row r="690">
      <c r="A690" s="7" t="s">
        <v>734</v>
      </c>
      <c r="B690" s="7" t="s">
        <v>735</v>
      </c>
      <c r="C690" s="8">
        <v>479.0</v>
      </c>
      <c r="D690" s="8">
        <v>599.0</v>
      </c>
      <c r="E690" s="19">
        <v>0.2</v>
      </c>
      <c r="F690" s="10">
        <v>4.3</v>
      </c>
      <c r="G690" s="11">
        <v>11687.0</v>
      </c>
      <c r="K690" s="23">
        <v>120.0</v>
      </c>
    </row>
    <row r="691">
      <c r="A691" s="7" t="s">
        <v>33</v>
      </c>
      <c r="B691" s="7" t="s">
        <v>15</v>
      </c>
      <c r="C691" s="8">
        <v>350.0</v>
      </c>
      <c r="D691" s="8">
        <v>899.0</v>
      </c>
      <c r="E691" s="19">
        <v>0.61</v>
      </c>
      <c r="F691" s="10">
        <v>4.2</v>
      </c>
      <c r="G691" s="11">
        <v>2262.0</v>
      </c>
      <c r="K691" s="23">
        <v>549.0</v>
      </c>
    </row>
    <row r="692">
      <c r="A692" s="7" t="s">
        <v>736</v>
      </c>
      <c r="B692" s="7" t="s">
        <v>393</v>
      </c>
      <c r="C692" s="8">
        <v>1598.0</v>
      </c>
      <c r="D692" s="8">
        <v>2990.0</v>
      </c>
      <c r="E692" s="19">
        <v>0.47</v>
      </c>
      <c r="F692" s="10">
        <v>3.8</v>
      </c>
      <c r="G692" s="11">
        <v>11015.0</v>
      </c>
      <c r="K692" s="23">
        <v>1392.0</v>
      </c>
    </row>
    <row r="693">
      <c r="A693" s="7" t="s">
        <v>737</v>
      </c>
      <c r="B693" s="7" t="s">
        <v>738</v>
      </c>
      <c r="C693" s="8">
        <v>599.0</v>
      </c>
      <c r="D693" s="8">
        <v>899.0</v>
      </c>
      <c r="E693" s="19">
        <v>0.33</v>
      </c>
      <c r="F693" s="10">
        <v>4.3</v>
      </c>
      <c r="G693" s="11">
        <v>95116.0</v>
      </c>
      <c r="K693" s="23">
        <v>300.0</v>
      </c>
    </row>
    <row r="694">
      <c r="A694" s="7" t="s">
        <v>34</v>
      </c>
      <c r="B694" s="7" t="s">
        <v>15</v>
      </c>
      <c r="C694" s="8">
        <v>159.0</v>
      </c>
      <c r="D694" s="8">
        <v>399.0</v>
      </c>
      <c r="E694" s="19">
        <v>0.6</v>
      </c>
      <c r="F694" s="10">
        <v>4.1</v>
      </c>
      <c r="G694" s="11">
        <v>4768.0</v>
      </c>
      <c r="K694" s="23">
        <v>240.0</v>
      </c>
    </row>
    <row r="695">
      <c r="A695" s="7" t="s">
        <v>739</v>
      </c>
      <c r="B695" s="7" t="s">
        <v>622</v>
      </c>
      <c r="C695" s="8">
        <v>1299.0</v>
      </c>
      <c r="D695" s="8">
        <v>3000.0</v>
      </c>
      <c r="E695" s="19">
        <v>0.57</v>
      </c>
      <c r="F695" s="10">
        <v>4.3</v>
      </c>
      <c r="G695" s="11">
        <v>23022.0</v>
      </c>
      <c r="K695" s="23">
        <v>1701.0</v>
      </c>
    </row>
    <row r="696">
      <c r="A696" s="7" t="s">
        <v>491</v>
      </c>
      <c r="B696" s="7" t="s">
        <v>373</v>
      </c>
      <c r="C696" s="8">
        <v>1599.0</v>
      </c>
      <c r="D696" s="8">
        <v>4999.0</v>
      </c>
      <c r="E696" s="19">
        <v>0.68</v>
      </c>
      <c r="F696" s="10">
        <v>4.0</v>
      </c>
      <c r="G696" s="11">
        <v>67951.0</v>
      </c>
      <c r="K696" s="23">
        <v>3400.0</v>
      </c>
    </row>
    <row r="697">
      <c r="A697" s="7" t="s">
        <v>740</v>
      </c>
      <c r="B697" s="7" t="s">
        <v>741</v>
      </c>
      <c r="C697" s="8">
        <v>294.0</v>
      </c>
      <c r="D697" s="8">
        <v>4999.0</v>
      </c>
      <c r="E697" s="19">
        <v>0.94</v>
      </c>
      <c r="F697" s="10">
        <v>4.3</v>
      </c>
      <c r="G697" s="11">
        <v>4426.0</v>
      </c>
      <c r="K697" s="23">
        <v>4705.0</v>
      </c>
    </row>
    <row r="698">
      <c r="A698" s="7" t="s">
        <v>742</v>
      </c>
      <c r="B698" s="7" t="s">
        <v>683</v>
      </c>
      <c r="C698" s="8">
        <v>828.0</v>
      </c>
      <c r="D698" s="8">
        <v>861.0</v>
      </c>
      <c r="E698" s="19">
        <v>0.04</v>
      </c>
      <c r="F698" s="10">
        <v>4.2</v>
      </c>
      <c r="G698" s="11">
        <v>4567.0</v>
      </c>
      <c r="K698" s="23">
        <v>33.0</v>
      </c>
    </row>
    <row r="699">
      <c r="A699" s="7" t="s">
        <v>743</v>
      </c>
      <c r="B699" s="7" t="s">
        <v>572</v>
      </c>
      <c r="C699" s="8">
        <v>745.0</v>
      </c>
      <c r="D699" s="8">
        <v>795.0</v>
      </c>
      <c r="E699" s="19">
        <v>0.06</v>
      </c>
      <c r="F699" s="10">
        <v>4.0</v>
      </c>
      <c r="G699" s="11">
        <v>13797.0</v>
      </c>
      <c r="K699" s="23">
        <v>50.0</v>
      </c>
    </row>
    <row r="700">
      <c r="A700" s="7" t="s">
        <v>744</v>
      </c>
      <c r="B700" s="7" t="s">
        <v>745</v>
      </c>
      <c r="C700" s="8">
        <v>1549.0</v>
      </c>
      <c r="D700" s="8">
        <v>2495.0</v>
      </c>
      <c r="E700" s="19">
        <v>0.38</v>
      </c>
      <c r="F700" s="10">
        <v>4.4</v>
      </c>
      <c r="G700" s="11">
        <v>15137.0</v>
      </c>
      <c r="K700" s="23">
        <v>946.0</v>
      </c>
    </row>
    <row r="701">
      <c r="A701" s="7" t="s">
        <v>35</v>
      </c>
      <c r="B701" s="7" t="s">
        <v>15</v>
      </c>
      <c r="C701" s="8">
        <v>349.0</v>
      </c>
      <c r="D701" s="8">
        <v>399.0</v>
      </c>
      <c r="E701" s="19">
        <v>0.13</v>
      </c>
      <c r="F701" s="10">
        <v>4.4</v>
      </c>
      <c r="G701" s="11">
        <v>18757.0</v>
      </c>
      <c r="K701" s="23">
        <v>50.0</v>
      </c>
    </row>
    <row r="702">
      <c r="A702" s="7" t="s">
        <v>41</v>
      </c>
      <c r="B702" s="7" t="s">
        <v>15</v>
      </c>
      <c r="C702" s="8">
        <v>970.0</v>
      </c>
      <c r="D702" s="8">
        <v>1799.0</v>
      </c>
      <c r="E702" s="19">
        <v>0.46</v>
      </c>
      <c r="F702" s="10">
        <v>4.5</v>
      </c>
      <c r="G702" s="10">
        <v>815.0</v>
      </c>
      <c r="K702" s="23">
        <v>829.0</v>
      </c>
    </row>
    <row r="703">
      <c r="A703" s="7" t="s">
        <v>746</v>
      </c>
      <c r="B703" s="7" t="s">
        <v>676</v>
      </c>
      <c r="C703" s="8">
        <v>1469.0</v>
      </c>
      <c r="D703" s="8">
        <v>2499.0</v>
      </c>
      <c r="E703" s="19">
        <v>0.41</v>
      </c>
      <c r="F703" s="10">
        <v>4.2</v>
      </c>
      <c r="G703" s="7" t="s">
        <v>747</v>
      </c>
      <c r="K703" s="23">
        <v>1030.0</v>
      </c>
    </row>
    <row r="704">
      <c r="A704" s="7" t="s">
        <v>748</v>
      </c>
      <c r="B704" s="7" t="s">
        <v>749</v>
      </c>
      <c r="C704" s="8">
        <v>198.0</v>
      </c>
      <c r="D704" s="8">
        <v>800.0</v>
      </c>
      <c r="E704" s="19">
        <v>0.75</v>
      </c>
      <c r="F704" s="10">
        <v>4.1</v>
      </c>
      <c r="G704" s="11">
        <v>9344.0</v>
      </c>
      <c r="K704" s="23">
        <v>602.0</v>
      </c>
    </row>
    <row r="705">
      <c r="A705" s="7" t="s">
        <v>750</v>
      </c>
      <c r="B705" s="7" t="s">
        <v>751</v>
      </c>
      <c r="C705" s="8">
        <v>549.0</v>
      </c>
      <c r="D705" s="8">
        <v>549.0</v>
      </c>
      <c r="E705" s="19">
        <v>0.0</v>
      </c>
      <c r="F705" s="10">
        <v>4.5</v>
      </c>
      <c r="G705" s="11">
        <v>4875.0</v>
      </c>
      <c r="K705" s="23">
        <v>0.0</v>
      </c>
    </row>
    <row r="706">
      <c r="A706" s="7" t="s">
        <v>514</v>
      </c>
      <c r="B706" s="7" t="s">
        <v>373</v>
      </c>
      <c r="C706" s="8">
        <v>2999.0</v>
      </c>
      <c r="D706" s="8">
        <v>9999.0</v>
      </c>
      <c r="E706" s="19">
        <v>0.7</v>
      </c>
      <c r="F706" s="10">
        <v>4.2</v>
      </c>
      <c r="G706" s="11">
        <v>20881.0</v>
      </c>
      <c r="K706" s="23">
        <v>7000.0</v>
      </c>
    </row>
    <row r="707">
      <c r="A707" s="7" t="s">
        <v>752</v>
      </c>
      <c r="B707" s="7" t="s">
        <v>373</v>
      </c>
      <c r="C707" s="8">
        <v>12000.0</v>
      </c>
      <c r="D707" s="8">
        <v>29999.0</v>
      </c>
      <c r="E707" s="19">
        <v>0.6</v>
      </c>
      <c r="F707" s="10">
        <v>4.3</v>
      </c>
      <c r="G707" s="11">
        <v>4744.0</v>
      </c>
      <c r="K707" s="23">
        <v>17999.0</v>
      </c>
    </row>
    <row r="708">
      <c r="A708" s="7" t="s">
        <v>753</v>
      </c>
      <c r="B708" s="7" t="s">
        <v>393</v>
      </c>
      <c r="C708" s="8">
        <v>1299.0</v>
      </c>
      <c r="D708" s="8">
        <v>3499.0</v>
      </c>
      <c r="E708" s="19">
        <v>0.63</v>
      </c>
      <c r="F708" s="10">
        <v>3.9</v>
      </c>
      <c r="G708" s="11">
        <v>12452.0</v>
      </c>
      <c r="K708" s="23">
        <v>2200.0</v>
      </c>
    </row>
    <row r="709">
      <c r="A709" s="7" t="s">
        <v>754</v>
      </c>
      <c r="B709" s="7" t="s">
        <v>652</v>
      </c>
      <c r="C709" s="8">
        <v>269.0</v>
      </c>
      <c r="D709" s="8">
        <v>315.0</v>
      </c>
      <c r="E709" s="19">
        <v>0.15</v>
      </c>
      <c r="F709" s="10">
        <v>4.5</v>
      </c>
      <c r="G709" s="11">
        <v>17810.0</v>
      </c>
      <c r="K709" s="23">
        <v>46.0</v>
      </c>
    </row>
    <row r="710">
      <c r="A710" s="7" t="s">
        <v>755</v>
      </c>
      <c r="B710" s="7" t="s">
        <v>393</v>
      </c>
      <c r="C710" s="8">
        <v>799.0</v>
      </c>
      <c r="D710" s="8">
        <v>1499.0</v>
      </c>
      <c r="E710" s="19">
        <v>0.47</v>
      </c>
      <c r="F710" s="10">
        <v>4.1</v>
      </c>
      <c r="G710" s="11">
        <v>53648.0</v>
      </c>
      <c r="K710" s="23">
        <v>700.0</v>
      </c>
    </row>
    <row r="711">
      <c r="A711" s="7" t="s">
        <v>756</v>
      </c>
      <c r="B711" s="7" t="s">
        <v>757</v>
      </c>
      <c r="C711" s="8">
        <v>6299.0</v>
      </c>
      <c r="D711" s="8">
        <v>13750.0</v>
      </c>
      <c r="E711" s="19">
        <v>0.54</v>
      </c>
      <c r="F711" s="10">
        <v>4.2</v>
      </c>
      <c r="G711" s="11">
        <v>2014.0</v>
      </c>
      <c r="K711" s="23">
        <v>7451.0</v>
      </c>
    </row>
    <row r="712">
      <c r="A712" s="7" t="s">
        <v>758</v>
      </c>
      <c r="B712" s="7" t="s">
        <v>759</v>
      </c>
      <c r="C712" s="8">
        <v>59.0</v>
      </c>
      <c r="D712" s="8">
        <v>59.0</v>
      </c>
      <c r="E712" s="19">
        <v>0.0</v>
      </c>
      <c r="F712" s="10">
        <v>3.8</v>
      </c>
      <c r="G712" s="11">
        <v>5958.0</v>
      </c>
      <c r="K712" s="23">
        <v>0.0</v>
      </c>
    </row>
    <row r="713">
      <c r="A713" s="7" t="s">
        <v>760</v>
      </c>
      <c r="B713" s="7" t="s">
        <v>399</v>
      </c>
      <c r="C713" s="8">
        <v>571.0</v>
      </c>
      <c r="D713" s="8">
        <v>999.0</v>
      </c>
      <c r="E713" s="19">
        <v>0.43</v>
      </c>
      <c r="F713" s="10">
        <v>4.3</v>
      </c>
      <c r="G713" s="11">
        <v>38221.0</v>
      </c>
      <c r="K713" s="23">
        <v>428.0</v>
      </c>
    </row>
    <row r="714">
      <c r="A714" s="7" t="s">
        <v>761</v>
      </c>
      <c r="B714" s="7" t="s">
        <v>719</v>
      </c>
      <c r="C714" s="8">
        <v>549.0</v>
      </c>
      <c r="D714" s="8">
        <v>999.0</v>
      </c>
      <c r="E714" s="19">
        <v>0.45</v>
      </c>
      <c r="F714" s="10">
        <v>3.9</v>
      </c>
      <c r="G714" s="11">
        <v>64705.0</v>
      </c>
      <c r="K714" s="23">
        <v>450.0</v>
      </c>
    </row>
    <row r="715">
      <c r="A715" s="7" t="s">
        <v>501</v>
      </c>
      <c r="B715" s="7" t="s">
        <v>502</v>
      </c>
      <c r="C715" s="8">
        <v>2099.0</v>
      </c>
      <c r="D715" s="8">
        <v>5999.0</v>
      </c>
      <c r="E715" s="19">
        <v>0.65</v>
      </c>
      <c r="F715" s="10">
        <v>4.3</v>
      </c>
      <c r="G715" s="11">
        <v>17129.0</v>
      </c>
      <c r="K715" s="23">
        <v>3900.0</v>
      </c>
    </row>
    <row r="716">
      <c r="A716" s="7" t="s">
        <v>40</v>
      </c>
      <c r="B716" s="7" t="s">
        <v>37</v>
      </c>
      <c r="C716" s="8">
        <v>13490.0</v>
      </c>
      <c r="D716" s="8">
        <v>21990.0</v>
      </c>
      <c r="E716" s="19">
        <v>0.39</v>
      </c>
      <c r="F716" s="10">
        <v>4.3</v>
      </c>
      <c r="G716" s="11">
        <v>11976.0</v>
      </c>
      <c r="K716" s="23">
        <v>8500.0</v>
      </c>
    </row>
    <row r="717">
      <c r="A717" s="7" t="s">
        <v>762</v>
      </c>
      <c r="B717" s="7" t="s">
        <v>660</v>
      </c>
      <c r="C717" s="8">
        <v>448.0</v>
      </c>
      <c r="D717" s="8">
        <v>699.0</v>
      </c>
      <c r="E717" s="19">
        <v>0.36</v>
      </c>
      <c r="F717" s="10">
        <v>3.9</v>
      </c>
      <c r="G717" s="11">
        <v>17348.0</v>
      </c>
      <c r="K717" s="23">
        <v>251.0</v>
      </c>
    </row>
    <row r="718">
      <c r="A718" s="7" t="s">
        <v>763</v>
      </c>
      <c r="B718" s="7" t="s">
        <v>393</v>
      </c>
      <c r="C718" s="8">
        <v>1499.0</v>
      </c>
      <c r="D718" s="8">
        <v>2999.0</v>
      </c>
      <c r="E718" s="19">
        <v>0.5</v>
      </c>
      <c r="F718" s="10">
        <v>3.7</v>
      </c>
      <c r="G718" s="11">
        <v>87798.0</v>
      </c>
      <c r="K718" s="23">
        <v>1500.0</v>
      </c>
    </row>
    <row r="719">
      <c r="A719" s="7" t="s">
        <v>764</v>
      </c>
      <c r="B719" s="7" t="s">
        <v>765</v>
      </c>
      <c r="C719" s="8">
        <v>299.0</v>
      </c>
      <c r="D719" s="8">
        <v>499.0</v>
      </c>
      <c r="E719" s="19">
        <v>0.4</v>
      </c>
      <c r="F719" s="10">
        <v>4.2</v>
      </c>
      <c r="G719" s="11">
        <v>24432.0</v>
      </c>
      <c r="K719" s="23">
        <v>200.0</v>
      </c>
    </row>
    <row r="720">
      <c r="A720" s="7" t="s">
        <v>766</v>
      </c>
      <c r="B720" s="7" t="s">
        <v>622</v>
      </c>
      <c r="C720" s="8">
        <v>579.0</v>
      </c>
      <c r="D720" s="8">
        <v>1400.0</v>
      </c>
      <c r="E720" s="19">
        <v>0.59</v>
      </c>
      <c r="F720" s="10">
        <v>4.3</v>
      </c>
      <c r="G720" s="7" t="s">
        <v>767</v>
      </c>
      <c r="K720" s="23">
        <v>821.0</v>
      </c>
    </row>
    <row r="721">
      <c r="A721" s="7" t="s">
        <v>768</v>
      </c>
      <c r="B721" s="7" t="s">
        <v>769</v>
      </c>
      <c r="C721" s="8">
        <v>2499.0</v>
      </c>
      <c r="D721" s="8">
        <v>3299.0</v>
      </c>
      <c r="E721" s="19">
        <v>0.24</v>
      </c>
      <c r="F721" s="10">
        <v>4.2</v>
      </c>
      <c r="G721" s="11">
        <v>93112.0</v>
      </c>
      <c r="K721" s="23">
        <v>800.0</v>
      </c>
    </row>
    <row r="722">
      <c r="A722" s="7" t="s">
        <v>770</v>
      </c>
      <c r="B722" s="7" t="s">
        <v>393</v>
      </c>
      <c r="C722" s="8">
        <v>1199.0</v>
      </c>
      <c r="D722" s="8">
        <v>5999.0</v>
      </c>
      <c r="E722" s="19">
        <v>0.8</v>
      </c>
      <c r="F722" s="10">
        <v>3.9</v>
      </c>
      <c r="G722" s="11">
        <v>47521.0</v>
      </c>
      <c r="K722" s="23">
        <v>4800.0</v>
      </c>
    </row>
    <row r="723">
      <c r="A723" s="7" t="s">
        <v>771</v>
      </c>
      <c r="B723" s="7" t="s">
        <v>735</v>
      </c>
      <c r="C723" s="8">
        <v>399.0</v>
      </c>
      <c r="D723" s="8">
        <v>499.0</v>
      </c>
      <c r="E723" s="19">
        <v>0.2</v>
      </c>
      <c r="F723" s="10">
        <v>4.3</v>
      </c>
      <c r="G723" s="11">
        <v>27201.0</v>
      </c>
      <c r="K723" s="23">
        <v>100.0</v>
      </c>
    </row>
    <row r="724">
      <c r="A724" s="7" t="s">
        <v>42</v>
      </c>
      <c r="B724" s="7" t="s">
        <v>31</v>
      </c>
      <c r="C724" s="8">
        <v>279.0</v>
      </c>
      <c r="D724" s="8">
        <v>499.0</v>
      </c>
      <c r="E724" s="19">
        <v>0.44</v>
      </c>
      <c r="F724" s="10">
        <v>3.7</v>
      </c>
      <c r="G724" s="11">
        <v>10962.0</v>
      </c>
      <c r="K724" s="23">
        <v>220.0</v>
      </c>
    </row>
    <row r="725">
      <c r="A725" s="7" t="s">
        <v>43</v>
      </c>
      <c r="B725" s="7" t="s">
        <v>37</v>
      </c>
      <c r="C725" s="8">
        <v>13490.0</v>
      </c>
      <c r="D725" s="8">
        <v>22900.0</v>
      </c>
      <c r="E725" s="19">
        <v>0.41</v>
      </c>
      <c r="F725" s="10">
        <v>4.3</v>
      </c>
      <c r="G725" s="11">
        <v>16299.0</v>
      </c>
      <c r="K725" s="23">
        <v>9410.0</v>
      </c>
    </row>
    <row r="726">
      <c r="A726" s="7" t="s">
        <v>772</v>
      </c>
      <c r="B726" s="7" t="s">
        <v>625</v>
      </c>
      <c r="C726" s="8">
        <v>279.0</v>
      </c>
      <c r="D726" s="8">
        <v>375.0</v>
      </c>
      <c r="E726" s="19">
        <v>0.26</v>
      </c>
      <c r="F726" s="10">
        <v>4.3</v>
      </c>
      <c r="G726" s="11">
        <v>31534.0</v>
      </c>
      <c r="K726" s="23">
        <v>96.0</v>
      </c>
    </row>
    <row r="727">
      <c r="A727" s="7" t="s">
        <v>773</v>
      </c>
      <c r="B727" s="7" t="s">
        <v>373</v>
      </c>
      <c r="C727" s="8">
        <v>2499.0</v>
      </c>
      <c r="D727" s="8">
        <v>4999.0</v>
      </c>
      <c r="E727" s="19">
        <v>0.5</v>
      </c>
      <c r="F727" s="10">
        <v>3.9</v>
      </c>
      <c r="G727" s="11">
        <v>7571.0</v>
      </c>
      <c r="K727" s="23">
        <v>2500.0</v>
      </c>
    </row>
    <row r="728">
      <c r="A728" s="7" t="s">
        <v>774</v>
      </c>
      <c r="B728" s="7" t="s">
        <v>732</v>
      </c>
      <c r="C728" s="8">
        <v>137.0</v>
      </c>
      <c r="D728" s="8">
        <v>160.0</v>
      </c>
      <c r="E728" s="19">
        <v>0.14</v>
      </c>
      <c r="F728" s="10">
        <v>4.4</v>
      </c>
      <c r="G728" s="11">
        <v>6537.0</v>
      </c>
      <c r="K728" s="23">
        <v>23.0</v>
      </c>
    </row>
    <row r="729">
      <c r="A729" s="7" t="s">
        <v>44</v>
      </c>
      <c r="B729" s="7" t="s">
        <v>15</v>
      </c>
      <c r="C729" s="8">
        <v>59.0</v>
      </c>
      <c r="D729" s="8">
        <v>199.0</v>
      </c>
      <c r="E729" s="19">
        <v>0.7</v>
      </c>
      <c r="F729" s="10">
        <v>4.0</v>
      </c>
      <c r="G729" s="11">
        <v>9377.0</v>
      </c>
      <c r="K729" s="23">
        <v>140.0</v>
      </c>
    </row>
    <row r="730">
      <c r="A730" s="7" t="s">
        <v>775</v>
      </c>
      <c r="B730" s="7" t="s">
        <v>698</v>
      </c>
      <c r="C730" s="8">
        <v>299.0</v>
      </c>
      <c r="D730" s="8">
        <v>499.0</v>
      </c>
      <c r="E730" s="19">
        <v>0.4</v>
      </c>
      <c r="F730" s="10">
        <v>4.5</v>
      </c>
      <c r="G730" s="11">
        <v>21010.0</v>
      </c>
      <c r="K730" s="23">
        <v>200.0</v>
      </c>
    </row>
    <row r="731">
      <c r="A731" s="7" t="s">
        <v>776</v>
      </c>
      <c r="B731" s="7" t="s">
        <v>393</v>
      </c>
      <c r="C731" s="8">
        <v>1799.0</v>
      </c>
      <c r="D731" s="8">
        <v>3999.0</v>
      </c>
      <c r="E731" s="19">
        <v>0.55</v>
      </c>
      <c r="F731" s="10">
        <v>3.9</v>
      </c>
      <c r="G731" s="11">
        <v>3517.0</v>
      </c>
      <c r="K731" s="23">
        <v>2200.0</v>
      </c>
    </row>
    <row r="732">
      <c r="A732" s="7" t="s">
        <v>777</v>
      </c>
      <c r="B732" s="7" t="s">
        <v>719</v>
      </c>
      <c r="C732" s="8">
        <v>1999.0</v>
      </c>
      <c r="D732" s="8">
        <v>2999.0</v>
      </c>
      <c r="E732" s="19">
        <v>0.33</v>
      </c>
      <c r="F732" s="10">
        <v>4.3</v>
      </c>
      <c r="G732" s="11">
        <v>63899.0</v>
      </c>
      <c r="K732" s="23">
        <v>1000.0</v>
      </c>
    </row>
    <row r="733">
      <c r="A733" s="7" t="s">
        <v>46</v>
      </c>
      <c r="B733" s="7" t="s">
        <v>31</v>
      </c>
      <c r="C733" s="8">
        <v>199.0</v>
      </c>
      <c r="D733" s="8">
        <v>699.0</v>
      </c>
      <c r="E733" s="19">
        <v>0.72</v>
      </c>
      <c r="F733" s="10">
        <v>4.2</v>
      </c>
      <c r="G733" s="11">
        <v>12153.0</v>
      </c>
      <c r="K733" s="23">
        <v>500.0</v>
      </c>
    </row>
    <row r="734">
      <c r="A734" s="7" t="s">
        <v>778</v>
      </c>
      <c r="B734" s="7" t="s">
        <v>779</v>
      </c>
      <c r="C734" s="8">
        <v>399.0</v>
      </c>
      <c r="D734" s="8">
        <v>1499.0</v>
      </c>
      <c r="E734" s="19">
        <v>0.73</v>
      </c>
      <c r="F734" s="10">
        <v>4.1</v>
      </c>
      <c r="G734" s="11">
        <v>5730.0</v>
      </c>
      <c r="K734" s="23">
        <v>1100.0</v>
      </c>
    </row>
    <row r="735">
      <c r="A735" s="7" t="s">
        <v>780</v>
      </c>
      <c r="B735" s="7" t="s">
        <v>781</v>
      </c>
      <c r="C735" s="8">
        <v>1699.0</v>
      </c>
      <c r="D735" s="8">
        <v>3999.0</v>
      </c>
      <c r="E735" s="19">
        <v>0.58</v>
      </c>
      <c r="F735" s="10">
        <v>4.2</v>
      </c>
      <c r="G735" s="11">
        <v>25488.0</v>
      </c>
      <c r="K735" s="23">
        <v>2300.0</v>
      </c>
    </row>
    <row r="736">
      <c r="A736" s="7" t="s">
        <v>782</v>
      </c>
      <c r="B736" s="7" t="s">
        <v>625</v>
      </c>
      <c r="C736" s="8">
        <v>699.0</v>
      </c>
      <c r="D736" s="8">
        <v>995.0</v>
      </c>
      <c r="E736" s="19">
        <v>0.3</v>
      </c>
      <c r="F736" s="10">
        <v>4.5</v>
      </c>
      <c r="G736" s="11">
        <v>54405.0</v>
      </c>
      <c r="K736" s="23">
        <v>296.0</v>
      </c>
    </row>
    <row r="737">
      <c r="A737" s="7" t="s">
        <v>524</v>
      </c>
      <c r="B737" s="7" t="s">
        <v>469</v>
      </c>
      <c r="C737" s="8">
        <v>95.0</v>
      </c>
      <c r="D737" s="8">
        <v>499.0</v>
      </c>
      <c r="E737" s="19">
        <v>0.81</v>
      </c>
      <c r="F737" s="10">
        <v>4.2</v>
      </c>
      <c r="G737" s="11">
        <v>1949.0</v>
      </c>
      <c r="K737" s="23">
        <v>404.0</v>
      </c>
    </row>
    <row r="738">
      <c r="A738" s="7" t="s">
        <v>783</v>
      </c>
      <c r="B738" s="7" t="s">
        <v>709</v>
      </c>
      <c r="C738" s="8">
        <v>1149.0</v>
      </c>
      <c r="D738" s="8">
        <v>1699.0</v>
      </c>
      <c r="E738" s="19">
        <v>0.32</v>
      </c>
      <c r="F738" s="10">
        <v>4.2</v>
      </c>
      <c r="G738" s="7" t="s">
        <v>784</v>
      </c>
      <c r="K738" s="23">
        <v>550.0</v>
      </c>
    </row>
    <row r="739">
      <c r="A739" s="7" t="s">
        <v>785</v>
      </c>
      <c r="B739" s="7" t="s">
        <v>660</v>
      </c>
      <c r="C739" s="8">
        <v>1495.0</v>
      </c>
      <c r="D739" s="8">
        <v>1995.0</v>
      </c>
      <c r="E739" s="19">
        <v>0.25</v>
      </c>
      <c r="F739" s="10">
        <v>4.3</v>
      </c>
      <c r="G739" s="11">
        <v>7241.0</v>
      </c>
      <c r="K739" s="23">
        <v>500.0</v>
      </c>
    </row>
    <row r="740">
      <c r="A740" s="7" t="s">
        <v>786</v>
      </c>
      <c r="B740" s="7" t="s">
        <v>631</v>
      </c>
      <c r="C740" s="8">
        <v>849.0</v>
      </c>
      <c r="D740" s="8">
        <v>4999.0</v>
      </c>
      <c r="E740" s="19">
        <v>0.83</v>
      </c>
      <c r="F740" s="10">
        <v>4.0</v>
      </c>
      <c r="G740" s="11">
        <v>20457.0</v>
      </c>
      <c r="K740" s="23">
        <v>4150.0</v>
      </c>
    </row>
    <row r="741">
      <c r="A741" s="7" t="s">
        <v>787</v>
      </c>
      <c r="B741" s="7" t="s">
        <v>788</v>
      </c>
      <c r="C741" s="8">
        <v>440.0</v>
      </c>
      <c r="D741" s="8">
        <v>440.0</v>
      </c>
      <c r="E741" s="19">
        <v>0.0</v>
      </c>
      <c r="F741" s="10">
        <v>4.5</v>
      </c>
      <c r="G741" s="11">
        <v>8610.0</v>
      </c>
      <c r="K741" s="23">
        <v>0.0</v>
      </c>
    </row>
    <row r="742">
      <c r="A742" s="7" t="s">
        <v>521</v>
      </c>
      <c r="B742" s="7" t="s">
        <v>502</v>
      </c>
      <c r="C742" s="8">
        <v>349.0</v>
      </c>
      <c r="D742" s="8">
        <v>999.0</v>
      </c>
      <c r="E742" s="19">
        <v>0.65</v>
      </c>
      <c r="F742" s="10">
        <v>3.8</v>
      </c>
      <c r="G742" s="11">
        <v>16557.0</v>
      </c>
      <c r="K742" s="23">
        <v>650.0</v>
      </c>
    </row>
    <row r="743">
      <c r="A743" s="7" t="s">
        <v>789</v>
      </c>
      <c r="B743" s="7" t="s">
        <v>631</v>
      </c>
      <c r="C743" s="8">
        <v>599.0</v>
      </c>
      <c r="D743" s="8">
        <v>3999.0</v>
      </c>
      <c r="E743" s="19">
        <v>0.85</v>
      </c>
      <c r="F743" s="10">
        <v>3.9</v>
      </c>
      <c r="G743" s="11">
        <v>1087.0</v>
      </c>
      <c r="K743" s="23">
        <v>3400.0</v>
      </c>
    </row>
    <row r="744">
      <c r="A744" s="7" t="s">
        <v>790</v>
      </c>
      <c r="B744" s="7" t="s">
        <v>741</v>
      </c>
      <c r="C744" s="8">
        <v>149.0</v>
      </c>
      <c r="D744" s="8">
        <v>399.0</v>
      </c>
      <c r="E744" s="19">
        <v>0.63</v>
      </c>
      <c r="F744" s="10">
        <v>4.0</v>
      </c>
      <c r="G744" s="11">
        <v>1540.0</v>
      </c>
      <c r="K744" s="23">
        <v>250.0</v>
      </c>
    </row>
    <row r="745">
      <c r="A745" s="7" t="s">
        <v>791</v>
      </c>
      <c r="B745" s="7" t="s">
        <v>627</v>
      </c>
      <c r="C745" s="8">
        <v>289.0</v>
      </c>
      <c r="D745" s="8">
        <v>999.0</v>
      </c>
      <c r="E745" s="19">
        <v>0.71</v>
      </c>
      <c r="F745" s="10">
        <v>4.1</v>
      </c>
      <c r="G745" s="10">
        <v>401.0</v>
      </c>
      <c r="K745" s="23">
        <v>710.0</v>
      </c>
    </row>
    <row r="746">
      <c r="A746" s="7" t="s">
        <v>792</v>
      </c>
      <c r="B746" s="7" t="s">
        <v>793</v>
      </c>
      <c r="C746" s="8">
        <v>179.0</v>
      </c>
      <c r="D746" s="8">
        <v>499.0</v>
      </c>
      <c r="E746" s="19">
        <v>0.64</v>
      </c>
      <c r="F746" s="10">
        <v>3.4</v>
      </c>
      <c r="G746" s="11">
        <v>9385.0</v>
      </c>
      <c r="K746" s="23">
        <v>320.0</v>
      </c>
    </row>
    <row r="747">
      <c r="A747" s="7" t="s">
        <v>794</v>
      </c>
      <c r="B747" s="7" t="s">
        <v>373</v>
      </c>
      <c r="C747" s="8">
        <v>1499.0</v>
      </c>
      <c r="D747" s="8">
        <v>4999.0</v>
      </c>
      <c r="E747" s="19">
        <v>0.7</v>
      </c>
      <c r="F747" s="10">
        <v>4.0</v>
      </c>
      <c r="G747" s="11">
        <v>92588.0</v>
      </c>
      <c r="K747" s="23">
        <v>3500.0</v>
      </c>
    </row>
    <row r="748">
      <c r="A748" s="7" t="s">
        <v>795</v>
      </c>
      <c r="B748" s="7" t="s">
        <v>393</v>
      </c>
      <c r="C748" s="8">
        <v>399.0</v>
      </c>
      <c r="D748" s="8">
        <v>699.0</v>
      </c>
      <c r="E748" s="19">
        <v>0.43</v>
      </c>
      <c r="F748" s="10">
        <v>3.4</v>
      </c>
      <c r="G748" s="11">
        <v>3454.0</v>
      </c>
      <c r="K748" s="23">
        <v>300.0</v>
      </c>
    </row>
    <row r="749">
      <c r="A749" s="7" t="s">
        <v>796</v>
      </c>
      <c r="B749" s="7" t="s">
        <v>692</v>
      </c>
      <c r="C749" s="8">
        <v>599.0</v>
      </c>
      <c r="D749" s="8">
        <v>799.0</v>
      </c>
      <c r="E749" s="19">
        <v>0.25</v>
      </c>
      <c r="F749" s="10">
        <v>4.3</v>
      </c>
      <c r="G749" s="11">
        <v>15790.0</v>
      </c>
      <c r="K749" s="23">
        <v>200.0</v>
      </c>
    </row>
    <row r="750">
      <c r="A750" s="7" t="s">
        <v>797</v>
      </c>
      <c r="B750" s="7" t="s">
        <v>798</v>
      </c>
      <c r="C750" s="8">
        <v>949.0</v>
      </c>
      <c r="D750" s="8">
        <v>2000.0</v>
      </c>
      <c r="E750" s="19">
        <v>0.53</v>
      </c>
      <c r="F750" s="10">
        <v>3.9</v>
      </c>
      <c r="G750" s="11">
        <v>14969.0</v>
      </c>
      <c r="K750" s="23">
        <v>1051.0</v>
      </c>
    </row>
    <row r="751">
      <c r="A751" s="7" t="s">
        <v>799</v>
      </c>
      <c r="B751" s="7" t="s">
        <v>373</v>
      </c>
      <c r="C751" s="8">
        <v>2499.0</v>
      </c>
      <c r="D751" s="8">
        <v>9999.0</v>
      </c>
      <c r="E751" s="19">
        <v>0.75</v>
      </c>
      <c r="F751" s="10">
        <v>4.1</v>
      </c>
      <c r="G751" s="11">
        <v>42139.0</v>
      </c>
      <c r="K751" s="23">
        <v>7500.0</v>
      </c>
    </row>
    <row r="752">
      <c r="A752" s="7" t="s">
        <v>800</v>
      </c>
      <c r="B752" s="7" t="s">
        <v>652</v>
      </c>
      <c r="C752" s="8">
        <v>159.0</v>
      </c>
      <c r="D752" s="8">
        <v>180.0</v>
      </c>
      <c r="E752" s="19">
        <v>0.12</v>
      </c>
      <c r="F752" s="10">
        <v>4.3</v>
      </c>
      <c r="G752" s="10">
        <v>989.0</v>
      </c>
      <c r="K752" s="23">
        <v>21.0</v>
      </c>
    </row>
    <row r="753">
      <c r="A753" s="7" t="s">
        <v>801</v>
      </c>
      <c r="B753" s="7" t="s">
        <v>386</v>
      </c>
      <c r="C753" s="8">
        <v>1329.0</v>
      </c>
      <c r="D753" s="8">
        <v>2900.0</v>
      </c>
      <c r="E753" s="19">
        <v>0.54</v>
      </c>
      <c r="F753" s="10">
        <v>4.5</v>
      </c>
      <c r="G753" s="11">
        <v>19624.0</v>
      </c>
      <c r="K753" s="23">
        <v>1571.0</v>
      </c>
    </row>
    <row r="754">
      <c r="A754" s="7" t="s">
        <v>802</v>
      </c>
      <c r="B754" s="7" t="s">
        <v>793</v>
      </c>
      <c r="C754" s="8">
        <v>570.0</v>
      </c>
      <c r="D754" s="8">
        <v>999.0</v>
      </c>
      <c r="E754" s="19">
        <v>0.43</v>
      </c>
      <c r="F754" s="10">
        <v>4.2</v>
      </c>
      <c r="G754" s="11">
        <v>3201.0</v>
      </c>
      <c r="K754" s="23">
        <v>429.0</v>
      </c>
    </row>
    <row r="755">
      <c r="A755" s="7" t="s">
        <v>803</v>
      </c>
      <c r="B755" s="7" t="s">
        <v>804</v>
      </c>
      <c r="C755" s="8">
        <v>899.0</v>
      </c>
      <c r="D755" s="8">
        <v>1999.0</v>
      </c>
      <c r="E755" s="19">
        <v>0.55</v>
      </c>
      <c r="F755" s="10">
        <v>4.1</v>
      </c>
      <c r="G755" s="11">
        <v>30469.0</v>
      </c>
      <c r="K755" s="23">
        <v>1100.0</v>
      </c>
    </row>
    <row r="756">
      <c r="A756" s="7" t="s">
        <v>805</v>
      </c>
      <c r="B756" s="7" t="s">
        <v>806</v>
      </c>
      <c r="C756" s="8">
        <v>449.0</v>
      </c>
      <c r="D756" s="8">
        <v>999.0</v>
      </c>
      <c r="E756" s="19">
        <v>0.55</v>
      </c>
      <c r="F756" s="10">
        <v>4.4</v>
      </c>
      <c r="G756" s="11">
        <v>9940.0</v>
      </c>
      <c r="K756" s="23">
        <v>550.0</v>
      </c>
    </row>
    <row r="757">
      <c r="A757" s="7" t="s">
        <v>807</v>
      </c>
      <c r="B757" s="7" t="s">
        <v>808</v>
      </c>
      <c r="C757" s="8">
        <v>549.0</v>
      </c>
      <c r="D757" s="8">
        <v>999.0</v>
      </c>
      <c r="E757" s="19">
        <v>0.45</v>
      </c>
      <c r="F757" s="10">
        <v>4.3</v>
      </c>
      <c r="G757" s="11">
        <v>7758.0</v>
      </c>
      <c r="K757" s="23">
        <v>450.0</v>
      </c>
    </row>
    <row r="758">
      <c r="A758" s="7" t="s">
        <v>809</v>
      </c>
      <c r="B758" s="7" t="s">
        <v>709</v>
      </c>
      <c r="C758" s="8">
        <v>1529.0</v>
      </c>
      <c r="D758" s="8">
        <v>2399.0</v>
      </c>
      <c r="E758" s="19">
        <v>0.36</v>
      </c>
      <c r="F758" s="10">
        <v>4.3</v>
      </c>
      <c r="G758" s="11">
        <v>68409.0</v>
      </c>
      <c r="K758" s="23">
        <v>870.0</v>
      </c>
    </row>
    <row r="759">
      <c r="A759" s="7" t="s">
        <v>810</v>
      </c>
      <c r="B759" s="7" t="s">
        <v>811</v>
      </c>
      <c r="C759" s="8">
        <v>100.0</v>
      </c>
      <c r="D759" s="8">
        <v>100.0</v>
      </c>
      <c r="E759" s="19">
        <v>0.0</v>
      </c>
      <c r="F759" s="10">
        <v>4.3</v>
      </c>
      <c r="G759" s="11">
        <v>3095.0</v>
      </c>
      <c r="K759" s="23">
        <v>0.0</v>
      </c>
    </row>
    <row r="760">
      <c r="A760" s="7" t="s">
        <v>812</v>
      </c>
      <c r="B760" s="7" t="s">
        <v>635</v>
      </c>
      <c r="C760" s="8">
        <v>299.0</v>
      </c>
      <c r="D760" s="8">
        <v>1499.0</v>
      </c>
      <c r="E760" s="19">
        <v>0.8</v>
      </c>
      <c r="F760" s="10">
        <v>4.2</v>
      </c>
      <c r="G760" s="10">
        <v>903.0</v>
      </c>
      <c r="K760" s="23">
        <v>1200.0</v>
      </c>
    </row>
    <row r="761">
      <c r="A761" s="7" t="s">
        <v>813</v>
      </c>
      <c r="B761" s="7" t="s">
        <v>660</v>
      </c>
      <c r="C761" s="8">
        <v>1295.0</v>
      </c>
      <c r="D761" s="8">
        <v>1795.0</v>
      </c>
      <c r="E761" s="19">
        <v>0.28</v>
      </c>
      <c r="F761" s="10">
        <v>4.1</v>
      </c>
      <c r="G761" s="11">
        <v>25771.0</v>
      </c>
      <c r="K761" s="23">
        <v>500.0</v>
      </c>
    </row>
    <row r="762">
      <c r="A762" s="7" t="s">
        <v>814</v>
      </c>
      <c r="B762" s="7" t="s">
        <v>393</v>
      </c>
      <c r="C762" s="8">
        <v>699.0</v>
      </c>
      <c r="D762" s="8">
        <v>999.0</v>
      </c>
      <c r="E762" s="19">
        <v>0.3</v>
      </c>
      <c r="F762" s="10">
        <v>4.1</v>
      </c>
      <c r="G762" s="7" t="s">
        <v>815</v>
      </c>
      <c r="K762" s="23">
        <v>300.0</v>
      </c>
    </row>
    <row r="763">
      <c r="A763" s="7" t="s">
        <v>816</v>
      </c>
      <c r="B763" s="7" t="s">
        <v>817</v>
      </c>
      <c r="C763" s="8">
        <v>252.0</v>
      </c>
      <c r="D763" s="8">
        <v>315.0</v>
      </c>
      <c r="E763" s="19">
        <v>0.2</v>
      </c>
      <c r="F763" s="10">
        <v>4.5</v>
      </c>
      <c r="G763" s="11">
        <v>3785.0</v>
      </c>
      <c r="K763" s="23">
        <v>63.0</v>
      </c>
    </row>
    <row r="764">
      <c r="A764" s="7" t="s">
        <v>818</v>
      </c>
      <c r="B764" s="7" t="s">
        <v>652</v>
      </c>
      <c r="C764" s="8">
        <v>190.0</v>
      </c>
      <c r="D764" s="8">
        <v>220.0</v>
      </c>
      <c r="E764" s="19">
        <v>0.14</v>
      </c>
      <c r="F764" s="10">
        <v>4.4</v>
      </c>
      <c r="G764" s="11">
        <v>2866.0</v>
      </c>
      <c r="K764" s="23">
        <v>30.0</v>
      </c>
    </row>
    <row r="765">
      <c r="A765" s="7" t="s">
        <v>819</v>
      </c>
      <c r="B765" s="7" t="s">
        <v>660</v>
      </c>
      <c r="C765" s="8">
        <v>1299.0</v>
      </c>
      <c r="D765" s="8">
        <v>1599.0</v>
      </c>
      <c r="E765" s="19">
        <v>0.19</v>
      </c>
      <c r="F765" s="10">
        <v>4.3</v>
      </c>
      <c r="G765" s="11">
        <v>27223.0</v>
      </c>
      <c r="K765" s="23">
        <v>300.0</v>
      </c>
    </row>
    <row r="766">
      <c r="A766" s="7" t="s">
        <v>820</v>
      </c>
      <c r="B766" s="7" t="s">
        <v>622</v>
      </c>
      <c r="C766" s="8">
        <v>729.0</v>
      </c>
      <c r="D766" s="8">
        <v>1650.0</v>
      </c>
      <c r="E766" s="19">
        <v>0.56</v>
      </c>
      <c r="F766" s="10">
        <v>4.3</v>
      </c>
      <c r="G766" s="11">
        <v>82356.0</v>
      </c>
      <c r="K766" s="23">
        <v>921.0</v>
      </c>
    </row>
    <row r="767">
      <c r="A767" s="7" t="s">
        <v>821</v>
      </c>
      <c r="B767" s="7" t="s">
        <v>822</v>
      </c>
      <c r="C767" s="8">
        <v>480.0</v>
      </c>
      <c r="D767" s="8">
        <v>600.0</v>
      </c>
      <c r="E767" s="19">
        <v>0.2</v>
      </c>
      <c r="F767" s="10">
        <v>4.3</v>
      </c>
      <c r="G767" s="11">
        <v>5719.0</v>
      </c>
      <c r="K767" s="23">
        <v>120.0</v>
      </c>
    </row>
    <row r="768">
      <c r="A768" s="7" t="s">
        <v>534</v>
      </c>
      <c r="B768" s="7" t="s">
        <v>373</v>
      </c>
      <c r="C768" s="8">
        <v>1799.0</v>
      </c>
      <c r="D768" s="8">
        <v>6990.0</v>
      </c>
      <c r="E768" s="19">
        <v>0.74</v>
      </c>
      <c r="F768" s="10">
        <v>4.0</v>
      </c>
      <c r="G768" s="11">
        <v>26880.0</v>
      </c>
      <c r="K768" s="23">
        <v>5191.0</v>
      </c>
    </row>
    <row r="769">
      <c r="A769" s="7" t="s">
        <v>823</v>
      </c>
      <c r="B769" s="7" t="s">
        <v>631</v>
      </c>
      <c r="C769" s="8">
        <v>999.0</v>
      </c>
      <c r="D769" s="8">
        <v>2499.0</v>
      </c>
      <c r="E769" s="19">
        <v>0.6</v>
      </c>
      <c r="F769" s="10">
        <v>4.3</v>
      </c>
      <c r="G769" s="11">
        <v>1690.0</v>
      </c>
      <c r="K769" s="23">
        <v>1500.0</v>
      </c>
    </row>
    <row r="770">
      <c r="A770" s="7" t="s">
        <v>48</v>
      </c>
      <c r="B770" s="7" t="s">
        <v>15</v>
      </c>
      <c r="C770" s="8">
        <v>299.0</v>
      </c>
      <c r="D770" s="8">
        <v>399.0</v>
      </c>
      <c r="E770" s="19">
        <v>0.25</v>
      </c>
      <c r="F770" s="10">
        <v>4.0</v>
      </c>
      <c r="G770" s="11">
        <v>2766.0</v>
      </c>
      <c r="K770" s="23">
        <v>100.0</v>
      </c>
    </row>
    <row r="771">
      <c r="A771" s="7" t="s">
        <v>824</v>
      </c>
      <c r="B771" s="7" t="s">
        <v>825</v>
      </c>
      <c r="C771" s="8">
        <v>238.0</v>
      </c>
      <c r="D771" s="8">
        <v>699.0</v>
      </c>
      <c r="E771" s="19">
        <v>0.66</v>
      </c>
      <c r="F771" s="10">
        <v>4.4</v>
      </c>
      <c r="G771" s="11">
        <v>8372.0</v>
      </c>
      <c r="K771" s="23">
        <v>461.0</v>
      </c>
    </row>
    <row r="772">
      <c r="A772" s="7" t="s">
        <v>826</v>
      </c>
      <c r="B772" s="7" t="s">
        <v>660</v>
      </c>
      <c r="C772" s="8">
        <v>1349.0</v>
      </c>
      <c r="D772" s="8">
        <v>2198.0</v>
      </c>
      <c r="E772" s="19">
        <v>0.39</v>
      </c>
      <c r="F772" s="10">
        <v>4.0</v>
      </c>
      <c r="G772" s="11">
        <v>7113.0</v>
      </c>
      <c r="K772" s="23">
        <v>849.0</v>
      </c>
    </row>
    <row r="773">
      <c r="A773" s="7" t="s">
        <v>50</v>
      </c>
      <c r="B773" s="7" t="s">
        <v>15</v>
      </c>
      <c r="C773" s="8">
        <v>299.0</v>
      </c>
      <c r="D773" s="8">
        <v>999.0</v>
      </c>
      <c r="E773" s="19">
        <v>0.7</v>
      </c>
      <c r="F773" s="10">
        <v>4.3</v>
      </c>
      <c r="G773" s="11">
        <v>20850.0</v>
      </c>
      <c r="K773" s="23">
        <v>700.0</v>
      </c>
    </row>
    <row r="774">
      <c r="A774" s="7" t="s">
        <v>827</v>
      </c>
      <c r="B774" s="7" t="s">
        <v>798</v>
      </c>
      <c r="C774" s="8">
        <v>199.0</v>
      </c>
      <c r="D774" s="8">
        <v>499.0</v>
      </c>
      <c r="E774" s="19">
        <v>0.6</v>
      </c>
      <c r="F774" s="10">
        <v>3.3</v>
      </c>
      <c r="G774" s="11">
        <v>2804.0</v>
      </c>
      <c r="K774" s="23">
        <v>300.0</v>
      </c>
    </row>
    <row r="775">
      <c r="A775" s="7" t="s">
        <v>828</v>
      </c>
      <c r="B775" s="7" t="s">
        <v>393</v>
      </c>
      <c r="C775" s="8">
        <v>1999.0</v>
      </c>
      <c r="D775" s="8">
        <v>9999.0</v>
      </c>
      <c r="E775" s="19">
        <v>0.8</v>
      </c>
      <c r="F775" s="10">
        <v>3.7</v>
      </c>
      <c r="G775" s="11">
        <v>1986.0</v>
      </c>
      <c r="K775" s="23">
        <v>8000.0</v>
      </c>
    </row>
    <row r="776">
      <c r="A776" s="7" t="s">
        <v>829</v>
      </c>
      <c r="B776" s="7" t="s">
        <v>450</v>
      </c>
      <c r="C776" s="8">
        <v>99.0</v>
      </c>
      <c r="D776" s="8">
        <v>499.0</v>
      </c>
      <c r="E776" s="19">
        <v>0.8</v>
      </c>
      <c r="F776" s="10">
        <v>4.1</v>
      </c>
      <c r="G776" s="11">
        <v>2451.0</v>
      </c>
      <c r="K776" s="23">
        <v>400.0</v>
      </c>
    </row>
    <row r="777">
      <c r="A777" s="7" t="s">
        <v>830</v>
      </c>
      <c r="B777" s="7" t="s">
        <v>625</v>
      </c>
      <c r="C777" s="8">
        <v>499.0</v>
      </c>
      <c r="D777" s="8">
        <v>1000.0</v>
      </c>
      <c r="E777" s="19">
        <v>0.5</v>
      </c>
      <c r="F777" s="10">
        <v>5.0</v>
      </c>
      <c r="G777" s="10">
        <v>23.0</v>
      </c>
      <c r="K777" s="23">
        <v>501.0</v>
      </c>
    </row>
    <row r="778">
      <c r="A778" s="7" t="s">
        <v>831</v>
      </c>
      <c r="B778" s="7" t="s">
        <v>832</v>
      </c>
      <c r="C778" s="8">
        <v>1792.0</v>
      </c>
      <c r="D778" s="8">
        <v>3500.0</v>
      </c>
      <c r="E778" s="19">
        <v>0.49</v>
      </c>
      <c r="F778" s="10">
        <v>4.5</v>
      </c>
      <c r="G778" s="11">
        <v>26194.0</v>
      </c>
      <c r="K778" s="23">
        <v>1708.0</v>
      </c>
    </row>
    <row r="779">
      <c r="A779" s="7" t="s">
        <v>833</v>
      </c>
      <c r="B779" s="7" t="s">
        <v>834</v>
      </c>
      <c r="C779" s="8">
        <v>3299.0</v>
      </c>
      <c r="D779" s="8">
        <v>4100.0</v>
      </c>
      <c r="E779" s="19">
        <v>0.2</v>
      </c>
      <c r="F779" s="10">
        <v>3.9</v>
      </c>
      <c r="G779" s="11">
        <v>15783.0</v>
      </c>
      <c r="K779" s="23">
        <v>801.0</v>
      </c>
    </row>
    <row r="780">
      <c r="A780" s="7" t="s">
        <v>835</v>
      </c>
      <c r="B780" s="7" t="s">
        <v>817</v>
      </c>
      <c r="C780" s="8">
        <v>125.0</v>
      </c>
      <c r="D780" s="8">
        <v>180.0</v>
      </c>
      <c r="E780" s="19">
        <v>0.31</v>
      </c>
      <c r="F780" s="10">
        <v>4.4</v>
      </c>
      <c r="G780" s="11">
        <v>8053.0</v>
      </c>
      <c r="K780" s="23">
        <v>55.0</v>
      </c>
    </row>
    <row r="781">
      <c r="A781" s="7" t="s">
        <v>836</v>
      </c>
      <c r="B781" s="7" t="s">
        <v>625</v>
      </c>
      <c r="C781" s="8">
        <v>399.0</v>
      </c>
      <c r="D781" s="8">
        <v>1190.0</v>
      </c>
      <c r="E781" s="19">
        <v>0.66</v>
      </c>
      <c r="F781" s="10">
        <v>4.1</v>
      </c>
      <c r="G781" s="11">
        <v>2809.0</v>
      </c>
      <c r="K781" s="23">
        <v>791.0</v>
      </c>
    </row>
    <row r="782">
      <c r="A782" s="7" t="s">
        <v>837</v>
      </c>
      <c r="B782" s="7" t="s">
        <v>393</v>
      </c>
      <c r="C782" s="8">
        <v>1199.0</v>
      </c>
      <c r="D782" s="8">
        <v>7999.0</v>
      </c>
      <c r="E782" s="19">
        <v>0.85</v>
      </c>
      <c r="F782" s="10">
        <v>3.6</v>
      </c>
      <c r="G782" s="11">
        <v>25910.0</v>
      </c>
      <c r="K782" s="23">
        <v>6800.0</v>
      </c>
    </row>
    <row r="783">
      <c r="A783" s="7" t="s">
        <v>838</v>
      </c>
      <c r="B783" s="7" t="s">
        <v>627</v>
      </c>
      <c r="C783" s="8">
        <v>235.0</v>
      </c>
      <c r="D783" s="8">
        <v>1599.0</v>
      </c>
      <c r="E783" s="19">
        <v>0.85</v>
      </c>
      <c r="F783" s="10">
        <v>3.8</v>
      </c>
      <c r="G783" s="11">
        <v>1173.0</v>
      </c>
      <c r="K783" s="23">
        <v>1364.0</v>
      </c>
    </row>
    <row r="784">
      <c r="A784" s="7" t="s">
        <v>839</v>
      </c>
      <c r="B784" s="7" t="s">
        <v>631</v>
      </c>
      <c r="C784" s="8">
        <v>549.0</v>
      </c>
      <c r="D784" s="8">
        <v>1999.0</v>
      </c>
      <c r="E784" s="19">
        <v>0.73</v>
      </c>
      <c r="F784" s="10">
        <v>3.6</v>
      </c>
      <c r="G784" s="11">
        <v>6422.0</v>
      </c>
      <c r="K784" s="23">
        <v>1450.0</v>
      </c>
    </row>
    <row r="785">
      <c r="A785" s="7" t="s">
        <v>840</v>
      </c>
      <c r="B785" s="7" t="s">
        <v>759</v>
      </c>
      <c r="C785" s="8">
        <v>89.0</v>
      </c>
      <c r="D785" s="8">
        <v>99.0</v>
      </c>
      <c r="E785" s="19">
        <v>0.1</v>
      </c>
      <c r="F785" s="10">
        <v>4.2</v>
      </c>
      <c r="G785" s="10">
        <v>241.0</v>
      </c>
      <c r="K785" s="23">
        <v>10.0</v>
      </c>
    </row>
    <row r="786">
      <c r="A786" s="7" t="s">
        <v>49</v>
      </c>
      <c r="B786" s="7" t="s">
        <v>15</v>
      </c>
      <c r="C786" s="8">
        <v>970.0</v>
      </c>
      <c r="D786" s="8">
        <v>1999.0</v>
      </c>
      <c r="E786" s="19">
        <v>0.51</v>
      </c>
      <c r="F786" s="10">
        <v>4.4</v>
      </c>
      <c r="G786" s="10">
        <v>184.0</v>
      </c>
      <c r="K786" s="23">
        <v>1029.0</v>
      </c>
    </row>
    <row r="787">
      <c r="A787" s="7" t="s">
        <v>841</v>
      </c>
      <c r="B787" s="7" t="s">
        <v>393</v>
      </c>
      <c r="C787" s="8">
        <v>1299.0</v>
      </c>
      <c r="D787" s="8">
        <v>2999.0</v>
      </c>
      <c r="E787" s="19">
        <v>0.57</v>
      </c>
      <c r="F787" s="10">
        <v>3.8</v>
      </c>
      <c r="G787" s="11">
        <v>14629.0</v>
      </c>
      <c r="K787" s="23">
        <v>1700.0</v>
      </c>
    </row>
    <row r="788">
      <c r="A788" s="7" t="s">
        <v>842</v>
      </c>
      <c r="B788" s="7" t="s">
        <v>696</v>
      </c>
      <c r="C788" s="8">
        <v>230.0</v>
      </c>
      <c r="D788" s="8">
        <v>999.0</v>
      </c>
      <c r="E788" s="19">
        <v>0.77</v>
      </c>
      <c r="F788" s="10">
        <v>4.2</v>
      </c>
      <c r="G788" s="11">
        <v>1528.0</v>
      </c>
      <c r="K788" s="23">
        <v>769.0</v>
      </c>
    </row>
    <row r="789">
      <c r="A789" s="7" t="s">
        <v>843</v>
      </c>
      <c r="B789" s="7" t="s">
        <v>844</v>
      </c>
      <c r="C789" s="8">
        <v>119.0</v>
      </c>
      <c r="D789" s="8">
        <v>499.0</v>
      </c>
      <c r="E789" s="19">
        <v>0.76</v>
      </c>
      <c r="F789" s="10">
        <v>4.3</v>
      </c>
      <c r="G789" s="11">
        <v>15032.0</v>
      </c>
      <c r="K789" s="23">
        <v>380.0</v>
      </c>
    </row>
    <row r="790">
      <c r="A790" s="7" t="s">
        <v>845</v>
      </c>
      <c r="B790" s="7" t="s">
        <v>846</v>
      </c>
      <c r="C790" s="8">
        <v>449.0</v>
      </c>
      <c r="D790" s="8">
        <v>800.0</v>
      </c>
      <c r="E790" s="19">
        <v>0.44</v>
      </c>
      <c r="F790" s="10">
        <v>4.4</v>
      </c>
      <c r="G790" s="11">
        <v>69585.0</v>
      </c>
      <c r="K790" s="23">
        <v>351.0</v>
      </c>
    </row>
    <row r="791">
      <c r="A791" s="7" t="s">
        <v>847</v>
      </c>
      <c r="B791" s="7" t="s">
        <v>848</v>
      </c>
      <c r="C791" s="8">
        <v>1699.0</v>
      </c>
      <c r="D791" s="8">
        <v>3495.0</v>
      </c>
      <c r="E791" s="19">
        <v>0.51</v>
      </c>
      <c r="F791" s="10">
        <v>4.1</v>
      </c>
      <c r="G791" s="11">
        <v>14371.0</v>
      </c>
      <c r="K791" s="23">
        <v>1796.0</v>
      </c>
    </row>
    <row r="792">
      <c r="A792" s="7" t="s">
        <v>849</v>
      </c>
      <c r="B792" s="7" t="s">
        <v>817</v>
      </c>
      <c r="C792" s="8">
        <v>561.0</v>
      </c>
      <c r="D792" s="8">
        <v>720.0</v>
      </c>
      <c r="E792" s="19">
        <v>0.22</v>
      </c>
      <c r="F792" s="10">
        <v>4.4</v>
      </c>
      <c r="G792" s="11">
        <v>3182.0</v>
      </c>
      <c r="K792" s="23">
        <v>159.0</v>
      </c>
    </row>
    <row r="793">
      <c r="A793" s="7" t="s">
        <v>850</v>
      </c>
      <c r="B793" s="7" t="s">
        <v>625</v>
      </c>
      <c r="C793" s="8">
        <v>289.0</v>
      </c>
      <c r="D793" s="8">
        <v>590.0</v>
      </c>
      <c r="E793" s="19">
        <v>0.51</v>
      </c>
      <c r="F793" s="10">
        <v>4.4</v>
      </c>
      <c r="G793" s="11">
        <v>25886.0</v>
      </c>
      <c r="K793" s="23">
        <v>301.0</v>
      </c>
    </row>
    <row r="794">
      <c r="A794" s="7" t="s">
        <v>851</v>
      </c>
      <c r="B794" s="7" t="s">
        <v>635</v>
      </c>
      <c r="C794" s="8">
        <v>599.0</v>
      </c>
      <c r="D794" s="8">
        <v>1999.0</v>
      </c>
      <c r="E794" s="19">
        <v>0.7</v>
      </c>
      <c r="F794" s="10">
        <v>4.4</v>
      </c>
      <c r="G794" s="11">
        <v>4736.0</v>
      </c>
      <c r="K794" s="23">
        <v>1400.0</v>
      </c>
    </row>
    <row r="795">
      <c r="A795" s="7" t="s">
        <v>852</v>
      </c>
      <c r="B795" s="7" t="s">
        <v>662</v>
      </c>
      <c r="C795" s="8">
        <v>5599.0</v>
      </c>
      <c r="D795" s="8">
        <v>7350.0</v>
      </c>
      <c r="E795" s="19">
        <v>0.24</v>
      </c>
      <c r="F795" s="10">
        <v>4.4</v>
      </c>
      <c r="G795" s="11">
        <v>73005.0</v>
      </c>
      <c r="K795" s="23">
        <v>1751.0</v>
      </c>
    </row>
    <row r="796">
      <c r="A796" s="7" t="s">
        <v>853</v>
      </c>
      <c r="B796" s="7" t="s">
        <v>854</v>
      </c>
      <c r="C796" s="8">
        <v>1990.0</v>
      </c>
      <c r="D796" s="8">
        <v>2595.0</v>
      </c>
      <c r="E796" s="19">
        <v>0.23</v>
      </c>
      <c r="F796" s="10">
        <v>4.3</v>
      </c>
      <c r="G796" s="11">
        <v>20398.0</v>
      </c>
      <c r="K796" s="23">
        <v>605.0</v>
      </c>
    </row>
    <row r="797">
      <c r="A797" s="7" t="s">
        <v>855</v>
      </c>
      <c r="B797" s="7" t="s">
        <v>793</v>
      </c>
      <c r="C797" s="8">
        <v>499.0</v>
      </c>
      <c r="D797" s="8">
        <v>799.0</v>
      </c>
      <c r="E797" s="19">
        <v>0.38</v>
      </c>
      <c r="F797" s="10">
        <v>4.3</v>
      </c>
      <c r="G797" s="11">
        <v>2125.0</v>
      </c>
      <c r="K797" s="23">
        <v>300.0</v>
      </c>
    </row>
    <row r="798">
      <c r="A798" s="7" t="s">
        <v>856</v>
      </c>
      <c r="B798" s="7" t="s">
        <v>806</v>
      </c>
      <c r="C798" s="8">
        <v>449.0</v>
      </c>
      <c r="D798" s="8">
        <v>999.0</v>
      </c>
      <c r="E798" s="19">
        <v>0.55</v>
      </c>
      <c r="F798" s="10">
        <v>4.3</v>
      </c>
      <c r="G798" s="11">
        <v>11330.0</v>
      </c>
      <c r="K798" s="23">
        <v>550.0</v>
      </c>
    </row>
    <row r="799">
      <c r="A799" s="7" t="s">
        <v>857</v>
      </c>
      <c r="B799" s="7" t="s">
        <v>858</v>
      </c>
      <c r="C799" s="8">
        <v>999.0</v>
      </c>
      <c r="D799" s="8">
        <v>1999.0</v>
      </c>
      <c r="E799" s="19">
        <v>0.5</v>
      </c>
      <c r="F799" s="10">
        <v>4.2</v>
      </c>
      <c r="G799" s="11">
        <v>27441.0</v>
      </c>
      <c r="K799" s="23">
        <v>1000.0</v>
      </c>
    </row>
    <row r="800">
      <c r="A800" s="7" t="s">
        <v>859</v>
      </c>
      <c r="B800" s="7" t="s">
        <v>576</v>
      </c>
      <c r="C800" s="8">
        <v>69.0</v>
      </c>
      <c r="D800" s="8">
        <v>299.0</v>
      </c>
      <c r="E800" s="19">
        <v>0.77</v>
      </c>
      <c r="F800" s="10">
        <v>4.3</v>
      </c>
      <c r="G800" s="10">
        <v>255.0</v>
      </c>
      <c r="K800" s="23">
        <v>230.0</v>
      </c>
    </row>
    <row r="801">
      <c r="A801" s="7" t="s">
        <v>860</v>
      </c>
      <c r="B801" s="7" t="s">
        <v>625</v>
      </c>
      <c r="C801" s="8">
        <v>899.0</v>
      </c>
      <c r="D801" s="8">
        <v>1499.0</v>
      </c>
      <c r="E801" s="19">
        <v>0.4</v>
      </c>
      <c r="F801" s="10">
        <v>4.2</v>
      </c>
      <c r="G801" s="11">
        <v>23174.0</v>
      </c>
      <c r="K801" s="23">
        <v>600.0</v>
      </c>
    </row>
    <row r="802">
      <c r="A802" s="7" t="s">
        <v>861</v>
      </c>
      <c r="B802" s="7" t="s">
        <v>650</v>
      </c>
      <c r="C802" s="8">
        <v>478.0</v>
      </c>
      <c r="D802" s="8">
        <v>699.0</v>
      </c>
      <c r="E802" s="19">
        <v>0.32</v>
      </c>
      <c r="F802" s="10">
        <v>3.8</v>
      </c>
      <c r="G802" s="11">
        <v>20218.0</v>
      </c>
      <c r="K802" s="23">
        <v>221.0</v>
      </c>
    </row>
    <row r="803">
      <c r="A803" s="7" t="s">
        <v>862</v>
      </c>
      <c r="B803" s="7" t="s">
        <v>863</v>
      </c>
      <c r="C803" s="8">
        <v>1399.0</v>
      </c>
      <c r="D803" s="8">
        <v>2490.0</v>
      </c>
      <c r="E803" s="19">
        <v>0.44</v>
      </c>
      <c r="F803" s="10">
        <v>4.3</v>
      </c>
      <c r="G803" s="11">
        <v>11074.0</v>
      </c>
      <c r="K803" s="23">
        <v>1091.0</v>
      </c>
    </row>
    <row r="804">
      <c r="A804" s="7" t="s">
        <v>51</v>
      </c>
      <c r="B804" s="7" t="s">
        <v>15</v>
      </c>
      <c r="C804" s="8">
        <v>199.0</v>
      </c>
      <c r="D804" s="8">
        <v>750.0</v>
      </c>
      <c r="E804" s="19">
        <v>0.73</v>
      </c>
      <c r="F804" s="10">
        <v>4.5</v>
      </c>
      <c r="G804" s="11">
        <v>74976.0</v>
      </c>
      <c r="K804" s="23">
        <v>551.0</v>
      </c>
    </row>
    <row r="805">
      <c r="A805" s="7" t="s">
        <v>864</v>
      </c>
      <c r="B805" s="7" t="s">
        <v>865</v>
      </c>
      <c r="C805" s="8">
        <v>149.0</v>
      </c>
      <c r="D805" s="8">
        <v>499.0</v>
      </c>
      <c r="E805" s="19">
        <v>0.7</v>
      </c>
      <c r="F805" s="10">
        <v>4.1</v>
      </c>
      <c r="G805" s="11">
        <v>25607.0</v>
      </c>
      <c r="K805" s="23">
        <v>350.0</v>
      </c>
    </row>
    <row r="806">
      <c r="A806" s="7" t="s">
        <v>866</v>
      </c>
      <c r="B806" s="7" t="s">
        <v>719</v>
      </c>
      <c r="C806" s="8">
        <v>1799.0</v>
      </c>
      <c r="D806" s="8">
        <v>4990.0</v>
      </c>
      <c r="E806" s="19">
        <v>0.64</v>
      </c>
      <c r="F806" s="10">
        <v>4.2</v>
      </c>
      <c r="G806" s="11">
        <v>41226.0</v>
      </c>
      <c r="K806" s="23">
        <v>3191.0</v>
      </c>
    </row>
    <row r="807">
      <c r="A807" s="7" t="s">
        <v>867</v>
      </c>
      <c r="B807" s="7" t="s">
        <v>868</v>
      </c>
      <c r="C807" s="8">
        <v>425.0</v>
      </c>
      <c r="D807" s="8">
        <v>999.0</v>
      </c>
      <c r="E807" s="19">
        <v>0.57</v>
      </c>
      <c r="F807" s="10">
        <v>4.0</v>
      </c>
      <c r="G807" s="11">
        <v>2581.0</v>
      </c>
      <c r="K807" s="23">
        <v>574.0</v>
      </c>
    </row>
    <row r="808">
      <c r="A808" s="7" t="s">
        <v>869</v>
      </c>
      <c r="B808" s="7" t="s">
        <v>804</v>
      </c>
      <c r="C808" s="8">
        <v>999.0</v>
      </c>
      <c r="D808" s="8">
        <v>2490.0</v>
      </c>
      <c r="E808" s="19">
        <v>0.6</v>
      </c>
      <c r="F808" s="10">
        <v>4.1</v>
      </c>
      <c r="G808" s="11">
        <v>18331.0</v>
      </c>
      <c r="K808" s="23">
        <v>1491.0</v>
      </c>
    </row>
    <row r="809">
      <c r="A809" s="7" t="s">
        <v>870</v>
      </c>
      <c r="B809" s="7" t="s">
        <v>627</v>
      </c>
      <c r="C809" s="8">
        <v>378.0</v>
      </c>
      <c r="D809" s="8">
        <v>999.0</v>
      </c>
      <c r="E809" s="19">
        <v>0.62</v>
      </c>
      <c r="F809" s="10">
        <v>4.1</v>
      </c>
      <c r="G809" s="11">
        <v>1779.0</v>
      </c>
      <c r="K809" s="23">
        <v>621.0</v>
      </c>
    </row>
    <row r="810">
      <c r="A810" s="7" t="s">
        <v>871</v>
      </c>
      <c r="B810" s="7" t="s">
        <v>872</v>
      </c>
      <c r="C810" s="8">
        <v>99.0</v>
      </c>
      <c r="D810" s="8">
        <v>99.0</v>
      </c>
      <c r="E810" s="19">
        <v>0.0</v>
      </c>
      <c r="F810" s="10">
        <v>4.3</v>
      </c>
      <c r="G810" s="10">
        <v>388.0</v>
      </c>
      <c r="K810" s="23">
        <v>0.0</v>
      </c>
    </row>
    <row r="811">
      <c r="A811" s="7" t="s">
        <v>873</v>
      </c>
      <c r="B811" s="7" t="s">
        <v>709</v>
      </c>
      <c r="C811" s="8">
        <v>1499.0</v>
      </c>
      <c r="D811" s="8">
        <v>2999.0</v>
      </c>
      <c r="E811" s="19">
        <v>0.5</v>
      </c>
      <c r="F811" s="10">
        <v>4.5</v>
      </c>
      <c r="G811" s="11">
        <v>8656.0</v>
      </c>
      <c r="K811" s="23">
        <v>1500.0</v>
      </c>
    </row>
    <row r="812">
      <c r="A812" s="7" t="s">
        <v>874</v>
      </c>
      <c r="B812" s="7" t="s">
        <v>875</v>
      </c>
      <c r="C812" s="8">
        <v>1815.0</v>
      </c>
      <c r="D812" s="8">
        <v>3100.0</v>
      </c>
      <c r="E812" s="19">
        <v>0.41</v>
      </c>
      <c r="F812" s="10">
        <v>4.5</v>
      </c>
      <c r="G812" s="11">
        <v>92925.0</v>
      </c>
      <c r="K812" s="23">
        <v>1285.0</v>
      </c>
    </row>
    <row r="813">
      <c r="A813" s="7" t="s">
        <v>876</v>
      </c>
      <c r="B813" s="7" t="s">
        <v>817</v>
      </c>
      <c r="C813" s="8">
        <v>67.0</v>
      </c>
      <c r="D813" s="8">
        <v>75.0</v>
      </c>
      <c r="E813" s="19">
        <v>0.11</v>
      </c>
      <c r="F813" s="10">
        <v>4.1</v>
      </c>
      <c r="G813" s="11">
        <v>1269.0</v>
      </c>
      <c r="K813" s="23">
        <v>8.0</v>
      </c>
    </row>
    <row r="814">
      <c r="A814" s="7" t="s">
        <v>877</v>
      </c>
      <c r="B814" s="7" t="s">
        <v>631</v>
      </c>
      <c r="C814" s="8">
        <v>1889.0</v>
      </c>
      <c r="D814" s="8">
        <v>2699.0</v>
      </c>
      <c r="E814" s="19">
        <v>0.3</v>
      </c>
      <c r="F814" s="10">
        <v>4.3</v>
      </c>
      <c r="G814" s="11">
        <v>17394.0</v>
      </c>
      <c r="K814" s="23">
        <v>810.0</v>
      </c>
    </row>
    <row r="815">
      <c r="A815" s="7" t="s">
        <v>878</v>
      </c>
      <c r="B815" s="7" t="s">
        <v>393</v>
      </c>
      <c r="C815" s="8">
        <v>499.0</v>
      </c>
      <c r="D815" s="8">
        <v>1499.0</v>
      </c>
      <c r="E815" s="19">
        <v>0.67</v>
      </c>
      <c r="F815" s="10">
        <v>3.6</v>
      </c>
      <c r="G815" s="11">
        <v>9169.0</v>
      </c>
      <c r="K815" s="23">
        <v>1000.0</v>
      </c>
    </row>
    <row r="816">
      <c r="A816" s="7" t="s">
        <v>879</v>
      </c>
      <c r="B816" s="7" t="s">
        <v>696</v>
      </c>
      <c r="C816" s="8">
        <v>499.0</v>
      </c>
      <c r="D816" s="8">
        <v>999.0</v>
      </c>
      <c r="E816" s="19">
        <v>0.5</v>
      </c>
      <c r="F816" s="10">
        <v>4.4</v>
      </c>
      <c r="G816" s="11">
        <v>1030.0</v>
      </c>
      <c r="K816" s="23">
        <v>500.0</v>
      </c>
    </row>
    <row r="817">
      <c r="A817" s="7" t="s">
        <v>880</v>
      </c>
      <c r="B817" s="7" t="s">
        <v>662</v>
      </c>
      <c r="C817" s="8">
        <v>5799.0</v>
      </c>
      <c r="D817" s="8">
        <v>7999.0</v>
      </c>
      <c r="E817" s="19">
        <v>0.28</v>
      </c>
      <c r="F817" s="10">
        <v>4.5</v>
      </c>
      <c r="G817" s="11">
        <v>50273.0</v>
      </c>
      <c r="K817" s="23">
        <v>2200.0</v>
      </c>
    </row>
    <row r="818">
      <c r="A818" s="7" t="s">
        <v>881</v>
      </c>
      <c r="B818" s="7" t="s">
        <v>882</v>
      </c>
      <c r="C818" s="8">
        <v>499.0</v>
      </c>
      <c r="D818" s="8">
        <v>799.0</v>
      </c>
      <c r="E818" s="19">
        <v>0.38</v>
      </c>
      <c r="F818" s="10">
        <v>3.9</v>
      </c>
      <c r="G818" s="11">
        <v>6742.0</v>
      </c>
      <c r="K818" s="23">
        <v>300.0</v>
      </c>
    </row>
    <row r="819">
      <c r="A819" s="7" t="s">
        <v>883</v>
      </c>
      <c r="B819" s="7" t="s">
        <v>627</v>
      </c>
      <c r="C819" s="8">
        <v>249.0</v>
      </c>
      <c r="D819" s="8">
        <v>600.0</v>
      </c>
      <c r="E819" s="19">
        <v>0.59</v>
      </c>
      <c r="F819" s="10">
        <v>4.0</v>
      </c>
      <c r="G819" s="11">
        <v>1208.0</v>
      </c>
      <c r="K819" s="23">
        <v>351.0</v>
      </c>
    </row>
    <row r="820">
      <c r="A820" s="7" t="s">
        <v>52</v>
      </c>
      <c r="B820" s="7" t="s">
        <v>15</v>
      </c>
      <c r="C820" s="8">
        <v>179.0</v>
      </c>
      <c r="D820" s="8">
        <v>499.0</v>
      </c>
      <c r="E820" s="19">
        <v>0.64</v>
      </c>
      <c r="F820" s="10">
        <v>4.0</v>
      </c>
      <c r="G820" s="11">
        <v>1933.0</v>
      </c>
      <c r="K820" s="23">
        <v>320.0</v>
      </c>
    </row>
    <row r="821">
      <c r="A821" s="7" t="s">
        <v>884</v>
      </c>
      <c r="B821" s="7" t="s">
        <v>662</v>
      </c>
      <c r="C821" s="8">
        <v>4449.0</v>
      </c>
      <c r="D821" s="8">
        <v>5734.0</v>
      </c>
      <c r="E821" s="19">
        <v>0.22</v>
      </c>
      <c r="F821" s="10">
        <v>4.4</v>
      </c>
      <c r="G821" s="11">
        <v>25006.0</v>
      </c>
      <c r="K821" s="23">
        <v>1285.0</v>
      </c>
    </row>
    <row r="822">
      <c r="A822" s="7" t="s">
        <v>885</v>
      </c>
      <c r="B822" s="7" t="s">
        <v>781</v>
      </c>
      <c r="C822" s="8">
        <v>299.0</v>
      </c>
      <c r="D822" s="8">
        <v>550.0</v>
      </c>
      <c r="E822" s="19">
        <v>0.46</v>
      </c>
      <c r="F822" s="10">
        <v>4.6</v>
      </c>
      <c r="G822" s="11">
        <v>33434.0</v>
      </c>
      <c r="K822" s="23">
        <v>251.0</v>
      </c>
    </row>
    <row r="823">
      <c r="A823" s="7" t="s">
        <v>886</v>
      </c>
      <c r="B823" s="7" t="s">
        <v>625</v>
      </c>
      <c r="C823" s="8">
        <v>629.0</v>
      </c>
      <c r="D823" s="8">
        <v>1390.0</v>
      </c>
      <c r="E823" s="19">
        <v>0.55</v>
      </c>
      <c r="F823" s="10">
        <v>4.4</v>
      </c>
      <c r="G823" s="11">
        <v>6301.0</v>
      </c>
      <c r="K823" s="23">
        <v>761.0</v>
      </c>
    </row>
    <row r="824">
      <c r="A824" s="7" t="s">
        <v>887</v>
      </c>
      <c r="B824" s="7" t="s">
        <v>647</v>
      </c>
      <c r="C824" s="8">
        <v>2595.0</v>
      </c>
      <c r="D824" s="8">
        <v>3295.0</v>
      </c>
      <c r="E824" s="19">
        <v>0.21</v>
      </c>
      <c r="F824" s="10">
        <v>4.4</v>
      </c>
      <c r="G824" s="11">
        <v>22618.0</v>
      </c>
      <c r="K824" s="23">
        <v>700.0</v>
      </c>
    </row>
    <row r="825">
      <c r="A825" s="7" t="s">
        <v>53</v>
      </c>
      <c r="B825" s="7" t="s">
        <v>15</v>
      </c>
      <c r="C825" s="8">
        <v>389.0</v>
      </c>
      <c r="D825" s="8">
        <v>1099.0</v>
      </c>
      <c r="E825" s="19">
        <v>0.65</v>
      </c>
      <c r="F825" s="10">
        <v>4.3</v>
      </c>
      <c r="G825" s="10">
        <v>974.0</v>
      </c>
      <c r="K825" s="23">
        <v>710.0</v>
      </c>
    </row>
    <row r="826">
      <c r="A826" s="7" t="s">
        <v>888</v>
      </c>
      <c r="B826" s="7" t="s">
        <v>709</v>
      </c>
      <c r="C826" s="8">
        <v>1799.0</v>
      </c>
      <c r="D826" s="8">
        <v>2911.0</v>
      </c>
      <c r="E826" s="19">
        <v>0.38</v>
      </c>
      <c r="F826" s="10">
        <v>4.3</v>
      </c>
      <c r="G826" s="11">
        <v>20342.0</v>
      </c>
      <c r="K826" s="23">
        <v>1112.0</v>
      </c>
    </row>
    <row r="827">
      <c r="A827" s="7" t="s">
        <v>889</v>
      </c>
      <c r="B827" s="7" t="s">
        <v>749</v>
      </c>
      <c r="C827" s="8">
        <v>90.0</v>
      </c>
      <c r="D827" s="8">
        <v>175.0</v>
      </c>
      <c r="E827" s="19">
        <v>0.49</v>
      </c>
      <c r="F827" s="10">
        <v>4.4</v>
      </c>
      <c r="G827" s="11">
        <v>7429.0</v>
      </c>
      <c r="K827" s="23">
        <v>85.0</v>
      </c>
    </row>
    <row r="828">
      <c r="A828" s="7" t="s">
        <v>890</v>
      </c>
      <c r="B828" s="7" t="s">
        <v>631</v>
      </c>
      <c r="C828" s="8">
        <v>599.0</v>
      </c>
      <c r="D828" s="8">
        <v>599.0</v>
      </c>
      <c r="E828" s="19">
        <v>0.0</v>
      </c>
      <c r="F828" s="10">
        <v>4.0</v>
      </c>
      <c r="G828" s="11">
        <v>26423.0</v>
      </c>
      <c r="K828" s="23">
        <v>0.0</v>
      </c>
    </row>
    <row r="829">
      <c r="A829" s="7" t="s">
        <v>891</v>
      </c>
      <c r="B829" s="7" t="s">
        <v>373</v>
      </c>
      <c r="C829" s="8">
        <v>1999.0</v>
      </c>
      <c r="D829" s="8">
        <v>7999.0</v>
      </c>
      <c r="E829" s="19">
        <v>0.75</v>
      </c>
      <c r="F829" s="10">
        <v>4.2</v>
      </c>
      <c r="G829" s="11">
        <v>31305.0</v>
      </c>
      <c r="K829" s="23">
        <v>6000.0</v>
      </c>
    </row>
    <row r="830">
      <c r="A830" s="7" t="s">
        <v>892</v>
      </c>
      <c r="B830" s="7" t="s">
        <v>893</v>
      </c>
      <c r="C830" s="8">
        <v>2099.0</v>
      </c>
      <c r="D830" s="8">
        <v>3250.0</v>
      </c>
      <c r="E830" s="19">
        <v>0.35</v>
      </c>
      <c r="F830" s="10">
        <v>3.8</v>
      </c>
      <c r="G830" s="11">
        <v>11213.0</v>
      </c>
      <c r="K830" s="23">
        <v>1151.0</v>
      </c>
    </row>
    <row r="831">
      <c r="A831" s="7" t="s">
        <v>894</v>
      </c>
      <c r="B831" s="7" t="s">
        <v>895</v>
      </c>
      <c r="C831" s="8">
        <v>179.0</v>
      </c>
      <c r="D831" s="8">
        <v>499.0</v>
      </c>
      <c r="E831" s="19">
        <v>0.64</v>
      </c>
      <c r="F831" s="10">
        <v>4.1</v>
      </c>
      <c r="G831" s="11">
        <v>10174.0</v>
      </c>
      <c r="K831" s="23">
        <v>320.0</v>
      </c>
    </row>
    <row r="832">
      <c r="A832" s="7" t="s">
        <v>896</v>
      </c>
      <c r="B832" s="7" t="s">
        <v>660</v>
      </c>
      <c r="C832" s="8">
        <v>1345.0</v>
      </c>
      <c r="D832" s="8">
        <v>2295.0</v>
      </c>
      <c r="E832" s="19">
        <v>0.41</v>
      </c>
      <c r="F832" s="10">
        <v>4.2</v>
      </c>
      <c r="G832" s="11">
        <v>17413.0</v>
      </c>
      <c r="K832" s="23">
        <v>950.0</v>
      </c>
    </row>
    <row r="833">
      <c r="A833" s="7" t="s">
        <v>897</v>
      </c>
      <c r="B833" s="7" t="s">
        <v>680</v>
      </c>
      <c r="C833" s="8">
        <v>349.0</v>
      </c>
      <c r="D833" s="8">
        <v>995.0</v>
      </c>
      <c r="E833" s="19">
        <v>0.65</v>
      </c>
      <c r="F833" s="10">
        <v>4.2</v>
      </c>
      <c r="G833" s="11">
        <v>6676.0</v>
      </c>
      <c r="K833" s="23">
        <v>646.0</v>
      </c>
    </row>
    <row r="834">
      <c r="A834" s="7" t="s">
        <v>898</v>
      </c>
      <c r="B834" s="7" t="s">
        <v>825</v>
      </c>
      <c r="C834" s="8">
        <v>287.0</v>
      </c>
      <c r="D834" s="8">
        <v>499.0</v>
      </c>
      <c r="E834" s="19">
        <v>0.42</v>
      </c>
      <c r="F834" s="10">
        <v>4.4</v>
      </c>
      <c r="G834" s="11">
        <v>8076.0</v>
      </c>
      <c r="K834" s="23">
        <v>212.0</v>
      </c>
    </row>
    <row r="835">
      <c r="A835" s="7" t="s">
        <v>54</v>
      </c>
      <c r="B835" s="7" t="s">
        <v>15</v>
      </c>
      <c r="C835" s="8">
        <v>599.0</v>
      </c>
      <c r="D835" s="8">
        <v>599.0</v>
      </c>
      <c r="E835" s="19">
        <v>0.0</v>
      </c>
      <c r="F835" s="10">
        <v>4.3</v>
      </c>
      <c r="G835" s="10">
        <v>355.0</v>
      </c>
      <c r="K835" s="23">
        <v>0.0</v>
      </c>
    </row>
    <row r="836">
      <c r="A836" s="7" t="s">
        <v>899</v>
      </c>
      <c r="B836" s="7" t="s">
        <v>622</v>
      </c>
      <c r="C836" s="8">
        <v>349.0</v>
      </c>
      <c r="D836" s="8">
        <v>450.0</v>
      </c>
      <c r="E836" s="19">
        <v>0.22</v>
      </c>
      <c r="F836" s="10">
        <v>4.1</v>
      </c>
      <c r="G836" s="11">
        <v>18656.0</v>
      </c>
      <c r="K836" s="23">
        <v>101.0</v>
      </c>
    </row>
    <row r="837">
      <c r="A837" s="7" t="s">
        <v>900</v>
      </c>
      <c r="B837" s="7" t="s">
        <v>652</v>
      </c>
      <c r="C837" s="8">
        <v>879.0</v>
      </c>
      <c r="D837" s="8">
        <v>1109.0</v>
      </c>
      <c r="E837" s="19">
        <v>0.21</v>
      </c>
      <c r="F837" s="10">
        <v>4.4</v>
      </c>
      <c r="G837" s="11">
        <v>31599.0</v>
      </c>
      <c r="K837" s="23">
        <v>230.0</v>
      </c>
    </row>
    <row r="838">
      <c r="A838" s="7" t="s">
        <v>55</v>
      </c>
      <c r="B838" s="7" t="s">
        <v>15</v>
      </c>
      <c r="C838" s="8">
        <v>199.0</v>
      </c>
      <c r="D838" s="8">
        <v>999.0</v>
      </c>
      <c r="E838" s="19">
        <v>0.8</v>
      </c>
      <c r="F838" s="10">
        <v>3.9</v>
      </c>
      <c r="G838" s="11">
        <v>1075.0</v>
      </c>
      <c r="K838" s="23">
        <v>800.0</v>
      </c>
    </row>
    <row r="839">
      <c r="A839" s="7" t="s">
        <v>901</v>
      </c>
      <c r="B839" s="7" t="s">
        <v>735</v>
      </c>
      <c r="C839" s="8">
        <v>250.0</v>
      </c>
      <c r="D839" s="8">
        <v>250.0</v>
      </c>
      <c r="E839" s="19">
        <v>0.0</v>
      </c>
      <c r="F839" s="10">
        <v>3.9</v>
      </c>
      <c r="G839" s="11">
        <v>13971.0</v>
      </c>
      <c r="K839" s="23">
        <v>0.0</v>
      </c>
    </row>
    <row r="840">
      <c r="A840" s="7" t="s">
        <v>902</v>
      </c>
      <c r="B840" s="7" t="s">
        <v>393</v>
      </c>
      <c r="C840" s="8">
        <v>199.0</v>
      </c>
      <c r="D840" s="8">
        <v>499.0</v>
      </c>
      <c r="E840" s="19">
        <v>0.6</v>
      </c>
      <c r="F840" s="10">
        <v>3.6</v>
      </c>
      <c r="G840" s="11">
        <v>2492.0</v>
      </c>
      <c r="K840" s="23">
        <v>300.0</v>
      </c>
    </row>
    <row r="841">
      <c r="A841" s="7" t="s">
        <v>57</v>
      </c>
      <c r="B841" s="7" t="s">
        <v>15</v>
      </c>
      <c r="C841" s="8">
        <v>899.0</v>
      </c>
      <c r="D841" s="8">
        <v>1900.0</v>
      </c>
      <c r="E841" s="19">
        <v>0.53</v>
      </c>
      <c r="F841" s="10">
        <v>4.4</v>
      </c>
      <c r="G841" s="11">
        <v>13552.0</v>
      </c>
      <c r="K841" s="23">
        <v>1001.0</v>
      </c>
    </row>
    <row r="842">
      <c r="A842" s="7" t="s">
        <v>58</v>
      </c>
      <c r="B842" s="7" t="s">
        <v>15</v>
      </c>
      <c r="C842" s="8">
        <v>199.0</v>
      </c>
      <c r="D842" s="8">
        <v>999.0</v>
      </c>
      <c r="E842" s="19">
        <v>0.8</v>
      </c>
      <c r="F842" s="10">
        <v>4.0</v>
      </c>
      <c r="G842" s="10">
        <v>575.0</v>
      </c>
      <c r="K842" s="23">
        <v>800.0</v>
      </c>
    </row>
    <row r="843">
      <c r="A843" s="7" t="s">
        <v>903</v>
      </c>
      <c r="B843" s="7" t="s">
        <v>895</v>
      </c>
      <c r="C843" s="8">
        <v>149.0</v>
      </c>
      <c r="D843" s="8">
        <v>999.0</v>
      </c>
      <c r="E843" s="19">
        <v>0.85</v>
      </c>
      <c r="F843" s="10">
        <v>3.5</v>
      </c>
      <c r="G843" s="11">
        <v>2523.0</v>
      </c>
      <c r="K843" s="23">
        <v>850.0</v>
      </c>
    </row>
    <row r="844">
      <c r="A844" s="7" t="s">
        <v>904</v>
      </c>
      <c r="B844" s="7" t="s">
        <v>627</v>
      </c>
      <c r="C844" s="8">
        <v>469.0</v>
      </c>
      <c r="D844" s="8">
        <v>1499.0</v>
      </c>
      <c r="E844" s="19">
        <v>0.69</v>
      </c>
      <c r="F844" s="10">
        <v>4.1</v>
      </c>
      <c r="G844" s="10">
        <v>352.0</v>
      </c>
      <c r="K844" s="23">
        <v>1030.0</v>
      </c>
    </row>
    <row r="845">
      <c r="A845" s="7" t="s">
        <v>905</v>
      </c>
      <c r="B845" s="7" t="s">
        <v>793</v>
      </c>
      <c r="C845" s="8">
        <v>1187.0</v>
      </c>
      <c r="D845" s="8">
        <v>1929.0</v>
      </c>
      <c r="E845" s="19">
        <v>0.38</v>
      </c>
      <c r="F845" s="10">
        <v>4.1</v>
      </c>
      <c r="G845" s="11">
        <v>1662.0</v>
      </c>
      <c r="K845" s="23">
        <v>742.0</v>
      </c>
    </row>
    <row r="846">
      <c r="A846" s="7" t="s">
        <v>906</v>
      </c>
      <c r="B846" s="7" t="s">
        <v>907</v>
      </c>
      <c r="C846" s="8">
        <v>849.0</v>
      </c>
      <c r="D846" s="8">
        <v>1499.0</v>
      </c>
      <c r="E846" s="19">
        <v>0.43</v>
      </c>
      <c r="F846" s="10">
        <v>4.0</v>
      </c>
      <c r="G846" s="11">
        <v>7352.0</v>
      </c>
      <c r="K846" s="23">
        <v>650.0</v>
      </c>
    </row>
    <row r="847">
      <c r="A847" s="7" t="s">
        <v>908</v>
      </c>
      <c r="B847" s="7" t="s">
        <v>625</v>
      </c>
      <c r="C847" s="8">
        <v>328.0</v>
      </c>
      <c r="D847" s="8">
        <v>399.0</v>
      </c>
      <c r="E847" s="19">
        <v>0.18</v>
      </c>
      <c r="F847" s="10">
        <v>4.1</v>
      </c>
      <c r="G847" s="11">
        <v>3441.0</v>
      </c>
      <c r="K847" s="23">
        <v>71.0</v>
      </c>
    </row>
    <row r="848">
      <c r="A848" s="7" t="s">
        <v>909</v>
      </c>
      <c r="B848" s="7" t="s">
        <v>631</v>
      </c>
      <c r="C848" s="8">
        <v>269.0</v>
      </c>
      <c r="D848" s="8">
        <v>699.0</v>
      </c>
      <c r="E848" s="19">
        <v>0.62</v>
      </c>
      <c r="F848" s="10">
        <v>4.0</v>
      </c>
      <c r="G848" s="10">
        <v>93.0</v>
      </c>
      <c r="K848" s="23">
        <v>430.0</v>
      </c>
    </row>
    <row r="849">
      <c r="A849" s="7" t="s">
        <v>910</v>
      </c>
      <c r="B849" s="7" t="s">
        <v>911</v>
      </c>
      <c r="C849" s="8">
        <v>299.0</v>
      </c>
      <c r="D849" s="8">
        <v>400.0</v>
      </c>
      <c r="E849" s="19">
        <v>0.25</v>
      </c>
      <c r="F849" s="10">
        <v>3.8</v>
      </c>
      <c r="G849" s="11">
        <v>40895.0</v>
      </c>
      <c r="K849" s="23">
        <v>101.0</v>
      </c>
    </row>
    <row r="850">
      <c r="A850" s="7" t="s">
        <v>912</v>
      </c>
      <c r="B850" s="7" t="s">
        <v>913</v>
      </c>
      <c r="C850" s="8">
        <v>549.0</v>
      </c>
      <c r="D850" s="8">
        <v>1499.0</v>
      </c>
      <c r="E850" s="19">
        <v>0.63</v>
      </c>
      <c r="F850" s="10">
        <v>4.3</v>
      </c>
      <c r="G850" s="11">
        <v>11006.0</v>
      </c>
      <c r="K850" s="23">
        <v>950.0</v>
      </c>
    </row>
    <row r="851">
      <c r="A851" s="7" t="s">
        <v>914</v>
      </c>
      <c r="B851" s="7" t="s">
        <v>732</v>
      </c>
      <c r="C851" s="8">
        <v>114.0</v>
      </c>
      <c r="D851" s="8">
        <v>120.0</v>
      </c>
      <c r="E851" s="19">
        <v>0.05</v>
      </c>
      <c r="F851" s="10">
        <v>4.2</v>
      </c>
      <c r="G851" s="11">
        <v>8938.0</v>
      </c>
      <c r="K851" s="23">
        <v>6.0</v>
      </c>
    </row>
    <row r="852">
      <c r="A852" s="7" t="s">
        <v>915</v>
      </c>
      <c r="B852" s="7" t="s">
        <v>916</v>
      </c>
      <c r="C852" s="8">
        <v>120.0</v>
      </c>
      <c r="D852" s="8">
        <v>120.0</v>
      </c>
      <c r="E852" s="19">
        <v>0.0</v>
      </c>
      <c r="F852" s="10">
        <v>4.1</v>
      </c>
      <c r="G852" s="11">
        <v>4308.0</v>
      </c>
      <c r="K852" s="23">
        <v>0.0</v>
      </c>
    </row>
    <row r="853">
      <c r="A853" s="7" t="s">
        <v>60</v>
      </c>
      <c r="B853" s="7" t="s">
        <v>15</v>
      </c>
      <c r="C853" s="8">
        <v>970.0</v>
      </c>
      <c r="D853" s="8">
        <v>1999.0</v>
      </c>
      <c r="E853" s="19">
        <v>0.51</v>
      </c>
      <c r="F853" s="10">
        <v>4.2</v>
      </c>
      <c r="G853" s="10">
        <v>462.0</v>
      </c>
      <c r="K853" s="23">
        <v>1029.0</v>
      </c>
    </row>
    <row r="854">
      <c r="A854" s="7" t="s">
        <v>61</v>
      </c>
      <c r="B854" s="7" t="s">
        <v>15</v>
      </c>
      <c r="C854" s="8">
        <v>209.0</v>
      </c>
      <c r="D854" s="8">
        <v>695.0</v>
      </c>
      <c r="E854" s="19">
        <v>0.7</v>
      </c>
      <c r="F854" s="10">
        <v>4.5</v>
      </c>
      <c r="G854" s="7" t="s">
        <v>917</v>
      </c>
      <c r="K854" s="23">
        <v>486.0</v>
      </c>
    </row>
    <row r="855">
      <c r="A855" s="7" t="s">
        <v>918</v>
      </c>
      <c r="B855" s="7" t="s">
        <v>625</v>
      </c>
      <c r="C855" s="8">
        <v>1490.0</v>
      </c>
      <c r="D855" s="8">
        <v>2295.0</v>
      </c>
      <c r="E855" s="19">
        <v>0.35</v>
      </c>
      <c r="F855" s="10">
        <v>4.6</v>
      </c>
      <c r="G855" s="11">
        <v>10652.0</v>
      </c>
      <c r="K855" s="23">
        <v>805.0</v>
      </c>
    </row>
    <row r="856">
      <c r="A856" s="7" t="s">
        <v>919</v>
      </c>
      <c r="B856" s="7" t="s">
        <v>920</v>
      </c>
      <c r="C856" s="8">
        <v>99.0</v>
      </c>
      <c r="D856" s="8">
        <v>99.0</v>
      </c>
      <c r="E856" s="19">
        <v>0.0</v>
      </c>
      <c r="F856" s="10">
        <v>4.3</v>
      </c>
      <c r="G856" s="11">
        <v>5036.0</v>
      </c>
      <c r="K856" s="23">
        <v>0.0</v>
      </c>
    </row>
    <row r="857">
      <c r="A857" s="7" t="s">
        <v>921</v>
      </c>
      <c r="B857" s="7" t="s">
        <v>625</v>
      </c>
      <c r="C857" s="8">
        <v>149.0</v>
      </c>
      <c r="D857" s="8">
        <v>249.0</v>
      </c>
      <c r="E857" s="19">
        <v>0.4</v>
      </c>
      <c r="F857" s="10">
        <v>4.0</v>
      </c>
      <c r="G857" s="11">
        <v>5057.0</v>
      </c>
      <c r="K857" s="23">
        <v>100.0</v>
      </c>
    </row>
    <row r="858">
      <c r="A858" s="7" t="s">
        <v>922</v>
      </c>
      <c r="B858" s="7" t="s">
        <v>692</v>
      </c>
      <c r="C858" s="8">
        <v>575.0</v>
      </c>
      <c r="D858" s="8">
        <v>2799.0</v>
      </c>
      <c r="E858" s="19">
        <v>0.79</v>
      </c>
      <c r="F858" s="10">
        <v>4.2</v>
      </c>
      <c r="G858" s="11">
        <v>8537.0</v>
      </c>
      <c r="K858" s="23">
        <v>2224.0</v>
      </c>
    </row>
    <row r="859">
      <c r="A859" s="7" t="s">
        <v>67</v>
      </c>
      <c r="B859" s="7" t="s">
        <v>15</v>
      </c>
      <c r="C859" s="8">
        <v>333.0</v>
      </c>
      <c r="D859" s="8">
        <v>999.0</v>
      </c>
      <c r="E859" s="19">
        <v>0.67</v>
      </c>
      <c r="F859" s="10">
        <v>3.3</v>
      </c>
      <c r="G859" s="11">
        <v>9792.0</v>
      </c>
      <c r="K859" s="23">
        <v>666.0</v>
      </c>
    </row>
    <row r="860">
      <c r="A860" s="7" t="s">
        <v>923</v>
      </c>
      <c r="B860" s="7" t="s">
        <v>822</v>
      </c>
      <c r="C860" s="8">
        <v>178.0</v>
      </c>
      <c r="D860" s="8">
        <v>210.0</v>
      </c>
      <c r="E860" s="19">
        <v>0.15</v>
      </c>
      <c r="F860" s="10">
        <v>4.3</v>
      </c>
      <c r="G860" s="11">
        <v>2450.0</v>
      </c>
      <c r="K860" s="23">
        <v>32.0</v>
      </c>
    </row>
    <row r="861">
      <c r="A861" s="7" t="s">
        <v>924</v>
      </c>
      <c r="B861" s="7" t="s">
        <v>393</v>
      </c>
      <c r="C861" s="8">
        <v>1599.0</v>
      </c>
      <c r="D861" s="8">
        <v>3490.0</v>
      </c>
      <c r="E861" s="19">
        <v>0.54</v>
      </c>
      <c r="F861" s="10">
        <v>3.7</v>
      </c>
      <c r="G861" s="10">
        <v>676.0</v>
      </c>
      <c r="K861" s="23">
        <v>1891.0</v>
      </c>
    </row>
    <row r="862">
      <c r="A862" s="7" t="s">
        <v>925</v>
      </c>
      <c r="B862" s="7" t="s">
        <v>393</v>
      </c>
      <c r="C862" s="8">
        <v>499.0</v>
      </c>
      <c r="D862" s="8">
        <v>1299.0</v>
      </c>
      <c r="E862" s="19">
        <v>0.62</v>
      </c>
      <c r="F862" s="10">
        <v>3.9</v>
      </c>
      <c r="G862" s="11">
        <v>1173.0</v>
      </c>
      <c r="K862" s="23">
        <v>800.0</v>
      </c>
    </row>
    <row r="863">
      <c r="A863" s="7" t="s">
        <v>926</v>
      </c>
      <c r="B863" s="7" t="s">
        <v>696</v>
      </c>
      <c r="C863" s="8">
        <v>199.0</v>
      </c>
      <c r="D863" s="8">
        <v>499.0</v>
      </c>
      <c r="E863" s="19">
        <v>0.6</v>
      </c>
      <c r="F863" s="10">
        <v>4.3</v>
      </c>
      <c r="G863" s="11">
        <v>9998.0</v>
      </c>
      <c r="K863" s="23">
        <v>300.0</v>
      </c>
    </row>
    <row r="864">
      <c r="A864" s="7" t="s">
        <v>927</v>
      </c>
      <c r="B864" s="7" t="s">
        <v>373</v>
      </c>
      <c r="C864" s="8">
        <v>2499.0</v>
      </c>
      <c r="D864" s="8">
        <v>5999.0</v>
      </c>
      <c r="E864" s="19">
        <v>0.58</v>
      </c>
      <c r="F864" s="10">
        <v>4.1</v>
      </c>
      <c r="G864" s="11">
        <v>5852.0</v>
      </c>
      <c r="K864" s="23">
        <v>3500.0</v>
      </c>
    </row>
    <row r="865">
      <c r="A865" s="7" t="s">
        <v>928</v>
      </c>
      <c r="B865" s="7" t="s">
        <v>929</v>
      </c>
      <c r="C865" s="8">
        <v>199.0</v>
      </c>
      <c r="D865" s="8">
        <v>999.0</v>
      </c>
      <c r="E865" s="19">
        <v>0.8</v>
      </c>
      <c r="F865" s="10">
        <v>4.2</v>
      </c>
      <c r="G865" s="10">
        <v>362.0</v>
      </c>
      <c r="K865" s="23">
        <v>800.0</v>
      </c>
    </row>
    <row r="866">
      <c r="A866" s="7" t="s">
        <v>930</v>
      </c>
      <c r="B866" s="7" t="s">
        <v>386</v>
      </c>
      <c r="C866" s="8">
        <v>939.0</v>
      </c>
      <c r="D866" s="8">
        <v>1800.0</v>
      </c>
      <c r="E866" s="19">
        <v>0.48</v>
      </c>
      <c r="F866" s="10">
        <v>4.5</v>
      </c>
      <c r="G866" s="7" t="s">
        <v>931</v>
      </c>
      <c r="K866" s="23">
        <v>861.0</v>
      </c>
    </row>
    <row r="867">
      <c r="A867" s="7" t="s">
        <v>932</v>
      </c>
      <c r="B867" s="7" t="s">
        <v>373</v>
      </c>
      <c r="C867" s="8">
        <v>2499.0</v>
      </c>
      <c r="D867" s="8">
        <v>9999.0</v>
      </c>
      <c r="E867" s="19">
        <v>0.75</v>
      </c>
      <c r="F867" s="10">
        <v>4.0</v>
      </c>
      <c r="G867" s="11">
        <v>9090.0</v>
      </c>
      <c r="K867" s="23">
        <v>7500.0</v>
      </c>
    </row>
    <row r="868">
      <c r="A868" s="7" t="s">
        <v>933</v>
      </c>
      <c r="B868" s="7" t="s">
        <v>625</v>
      </c>
      <c r="C868" s="8">
        <v>1439.0</v>
      </c>
      <c r="D868" s="8">
        <v>2890.0</v>
      </c>
      <c r="E868" s="19">
        <v>0.5</v>
      </c>
      <c r="F868" s="10">
        <v>4.5</v>
      </c>
      <c r="G868" s="11">
        <v>4099.0</v>
      </c>
      <c r="K868" s="23">
        <v>1451.0</v>
      </c>
    </row>
    <row r="869">
      <c r="A869" s="7" t="s">
        <v>934</v>
      </c>
      <c r="B869" s="7" t="s">
        <v>393</v>
      </c>
      <c r="C869" s="8">
        <v>1099.0</v>
      </c>
      <c r="D869" s="8">
        <v>5999.0</v>
      </c>
      <c r="E869" s="19">
        <v>0.82</v>
      </c>
      <c r="F869" s="10">
        <v>3.5</v>
      </c>
      <c r="G869" s="11">
        <v>12966.0</v>
      </c>
      <c r="K869" s="23">
        <v>4900.0</v>
      </c>
    </row>
    <row r="870">
      <c r="A870" s="7" t="s">
        <v>935</v>
      </c>
      <c r="B870" s="7" t="s">
        <v>732</v>
      </c>
      <c r="C870" s="8">
        <v>157.0</v>
      </c>
      <c r="D870" s="8">
        <v>160.0</v>
      </c>
      <c r="E870" s="19">
        <v>0.02</v>
      </c>
      <c r="F870" s="10">
        <v>4.5</v>
      </c>
      <c r="G870" s="11">
        <v>4428.0</v>
      </c>
      <c r="K870" s="23">
        <v>3.0</v>
      </c>
    </row>
    <row r="871">
      <c r="A871" s="7" t="s">
        <v>65</v>
      </c>
      <c r="B871" s="7" t="s">
        <v>25</v>
      </c>
      <c r="C871" s="8">
        <v>999.0</v>
      </c>
      <c r="D871" s="8">
        <v>1599.0</v>
      </c>
      <c r="E871" s="19">
        <v>0.38</v>
      </c>
      <c r="F871" s="10">
        <v>4.3</v>
      </c>
      <c r="G871" s="11">
        <v>12093.0</v>
      </c>
      <c r="K871" s="23">
        <v>600.0</v>
      </c>
    </row>
    <row r="872">
      <c r="A872" s="7" t="s">
        <v>936</v>
      </c>
      <c r="B872" s="7" t="s">
        <v>685</v>
      </c>
      <c r="C872" s="8">
        <v>115.0</v>
      </c>
      <c r="D872" s="8">
        <v>999.0</v>
      </c>
      <c r="E872" s="19">
        <v>0.88</v>
      </c>
      <c r="F872" s="10">
        <v>3.3</v>
      </c>
      <c r="G872" s="11">
        <v>5692.0</v>
      </c>
      <c r="K872" s="23">
        <v>884.0</v>
      </c>
    </row>
    <row r="873">
      <c r="A873" s="7" t="s">
        <v>937</v>
      </c>
      <c r="B873" s="7" t="s">
        <v>627</v>
      </c>
      <c r="C873" s="8">
        <v>175.0</v>
      </c>
      <c r="D873" s="8">
        <v>499.0</v>
      </c>
      <c r="E873" s="19">
        <v>0.65</v>
      </c>
      <c r="F873" s="10">
        <v>4.1</v>
      </c>
      <c r="G873" s="10">
        <v>21.0</v>
      </c>
      <c r="K873" s="23">
        <v>324.0</v>
      </c>
    </row>
    <row r="874">
      <c r="A874" s="7" t="s">
        <v>938</v>
      </c>
      <c r="B874" s="7" t="s">
        <v>769</v>
      </c>
      <c r="C874" s="8">
        <v>1999.0</v>
      </c>
      <c r="D874" s="8">
        <v>4700.0</v>
      </c>
      <c r="E874" s="19">
        <v>0.57</v>
      </c>
      <c r="F874" s="10">
        <v>3.8</v>
      </c>
      <c r="G874" s="11">
        <v>1880.0</v>
      </c>
      <c r="K874" s="23">
        <v>2701.0</v>
      </c>
    </row>
    <row r="875">
      <c r="A875" s="7" t="s">
        <v>939</v>
      </c>
      <c r="B875" s="7" t="s">
        <v>940</v>
      </c>
      <c r="C875" s="8">
        <v>3999.0</v>
      </c>
      <c r="D875" s="8">
        <v>4332.96</v>
      </c>
      <c r="E875" s="19">
        <v>0.08</v>
      </c>
      <c r="F875" s="10">
        <v>3.5</v>
      </c>
      <c r="G875" s="11">
        <v>21762.0</v>
      </c>
      <c r="K875" s="23">
        <v>333.96000000000004</v>
      </c>
    </row>
    <row r="876">
      <c r="A876" s="7" t="s">
        <v>941</v>
      </c>
      <c r="B876" s="7" t="s">
        <v>709</v>
      </c>
      <c r="C876" s="8">
        <v>899.0</v>
      </c>
      <c r="D876" s="8">
        <v>1800.0</v>
      </c>
      <c r="E876" s="19">
        <v>0.5</v>
      </c>
      <c r="F876" s="10">
        <v>4.1</v>
      </c>
      <c r="G876" s="11">
        <v>22375.0</v>
      </c>
      <c r="K876" s="23">
        <v>901.0</v>
      </c>
    </row>
    <row r="877">
      <c r="A877" s="7" t="s">
        <v>942</v>
      </c>
      <c r="B877" s="7" t="s">
        <v>696</v>
      </c>
      <c r="C877" s="8">
        <v>299.0</v>
      </c>
      <c r="D877" s="8">
        <v>990.0</v>
      </c>
      <c r="E877" s="19">
        <v>0.7</v>
      </c>
      <c r="F877" s="10">
        <v>4.5</v>
      </c>
      <c r="G877" s="11">
        <v>2453.0</v>
      </c>
      <c r="K877" s="23">
        <v>691.0</v>
      </c>
    </row>
    <row r="878">
      <c r="A878" s="7" t="s">
        <v>943</v>
      </c>
      <c r="B878" s="7" t="s">
        <v>627</v>
      </c>
      <c r="C878" s="8">
        <v>3303.0</v>
      </c>
      <c r="D878" s="8">
        <v>4699.0</v>
      </c>
      <c r="E878" s="19">
        <v>0.3</v>
      </c>
      <c r="F878" s="10">
        <v>4.4</v>
      </c>
      <c r="G878" s="11">
        <v>13544.0</v>
      </c>
      <c r="K878" s="23">
        <v>1396.0</v>
      </c>
    </row>
    <row r="879">
      <c r="A879" s="7" t="s">
        <v>944</v>
      </c>
      <c r="B879" s="7" t="s">
        <v>854</v>
      </c>
      <c r="C879" s="8">
        <v>1890.0</v>
      </c>
      <c r="D879" s="8">
        <v>5490.0</v>
      </c>
      <c r="E879" s="19">
        <v>0.66</v>
      </c>
      <c r="F879" s="10">
        <v>4.1</v>
      </c>
      <c r="G879" s="11">
        <v>10976.0</v>
      </c>
      <c r="K879" s="23">
        <v>3600.0</v>
      </c>
    </row>
    <row r="880">
      <c r="A880" s="7" t="s">
        <v>945</v>
      </c>
      <c r="B880" s="7" t="s">
        <v>811</v>
      </c>
      <c r="C880" s="8">
        <v>90.0</v>
      </c>
      <c r="D880" s="8">
        <v>100.0</v>
      </c>
      <c r="E880" s="19">
        <v>0.1</v>
      </c>
      <c r="F880" s="10">
        <v>4.3</v>
      </c>
      <c r="G880" s="11">
        <v>3061.0</v>
      </c>
      <c r="K880" s="23">
        <v>10.0</v>
      </c>
    </row>
    <row r="881">
      <c r="A881" s="7" t="s">
        <v>946</v>
      </c>
      <c r="B881" s="7" t="s">
        <v>393</v>
      </c>
      <c r="C881" s="8">
        <v>1599.0</v>
      </c>
      <c r="D881" s="8">
        <v>2790.0</v>
      </c>
      <c r="E881" s="19">
        <v>0.43</v>
      </c>
      <c r="F881" s="10">
        <v>3.6</v>
      </c>
      <c r="G881" s="11">
        <v>2272.0</v>
      </c>
      <c r="K881" s="23">
        <v>1191.0</v>
      </c>
    </row>
    <row r="882">
      <c r="A882" s="7" t="s">
        <v>947</v>
      </c>
      <c r="B882" s="7" t="s">
        <v>858</v>
      </c>
      <c r="C882" s="8">
        <v>599.0</v>
      </c>
      <c r="D882" s="8">
        <v>999.0</v>
      </c>
      <c r="E882" s="19">
        <v>0.4</v>
      </c>
      <c r="F882" s="10">
        <v>4.0</v>
      </c>
      <c r="G882" s="11">
        <v>7601.0</v>
      </c>
      <c r="K882" s="23">
        <v>400.0</v>
      </c>
    </row>
    <row r="883">
      <c r="A883" s="7" t="s">
        <v>68</v>
      </c>
      <c r="B883" s="7" t="s">
        <v>25</v>
      </c>
      <c r="C883" s="8">
        <v>507.0</v>
      </c>
      <c r="D883" s="8">
        <v>1208.0</v>
      </c>
      <c r="E883" s="19">
        <v>0.58</v>
      </c>
      <c r="F883" s="10">
        <v>4.1</v>
      </c>
      <c r="G883" s="11">
        <v>8131.0</v>
      </c>
      <c r="K883" s="23">
        <v>701.0</v>
      </c>
    </row>
    <row r="884">
      <c r="A884" s="7" t="s">
        <v>948</v>
      </c>
      <c r="B884" s="7" t="s">
        <v>696</v>
      </c>
      <c r="C884" s="8">
        <v>425.0</v>
      </c>
      <c r="D884" s="8">
        <v>899.0</v>
      </c>
      <c r="E884" s="19">
        <v>0.53</v>
      </c>
      <c r="F884" s="10">
        <v>4.5</v>
      </c>
      <c r="G884" s="11">
        <v>4219.0</v>
      </c>
      <c r="K884" s="23">
        <v>474.0</v>
      </c>
    </row>
    <row r="885">
      <c r="A885" s="7" t="s">
        <v>949</v>
      </c>
      <c r="B885" s="7" t="s">
        <v>572</v>
      </c>
      <c r="C885" s="8">
        <v>1499.0</v>
      </c>
      <c r="D885" s="8">
        <v>3999.0</v>
      </c>
      <c r="E885" s="19">
        <v>0.63</v>
      </c>
      <c r="F885" s="10">
        <v>4.2</v>
      </c>
      <c r="G885" s="11">
        <v>42775.0</v>
      </c>
      <c r="K885" s="23">
        <v>2500.0</v>
      </c>
    </row>
    <row r="886">
      <c r="A886" s="7" t="s">
        <v>950</v>
      </c>
      <c r="B886" s="7" t="s">
        <v>913</v>
      </c>
      <c r="C886" s="8">
        <v>549.0</v>
      </c>
      <c r="D886" s="8">
        <v>2499.0</v>
      </c>
      <c r="E886" s="19">
        <v>0.78</v>
      </c>
      <c r="F886" s="10">
        <v>4.3</v>
      </c>
      <c r="G886" s="11">
        <v>5556.0</v>
      </c>
      <c r="K886" s="23">
        <v>1950.0</v>
      </c>
    </row>
    <row r="887">
      <c r="A887" s="7" t="s">
        <v>72</v>
      </c>
      <c r="B887" s="7" t="s">
        <v>15</v>
      </c>
      <c r="C887" s="8">
        <v>199.0</v>
      </c>
      <c r="D887" s="8">
        <v>395.0</v>
      </c>
      <c r="E887" s="19">
        <v>0.5</v>
      </c>
      <c r="F887" s="10">
        <v>4.2</v>
      </c>
      <c r="G887" s="11">
        <v>92595.0</v>
      </c>
      <c r="K887" s="23">
        <v>196.0</v>
      </c>
    </row>
    <row r="888">
      <c r="A888" s="7" t="s">
        <v>951</v>
      </c>
      <c r="B888" s="7" t="s">
        <v>625</v>
      </c>
      <c r="C888" s="8">
        <v>1295.0</v>
      </c>
      <c r="D888" s="8">
        <v>1645.0</v>
      </c>
      <c r="E888" s="19">
        <v>0.21</v>
      </c>
      <c r="F888" s="10">
        <v>4.6</v>
      </c>
      <c r="G888" s="11">
        <v>12375.0</v>
      </c>
      <c r="K888" s="23">
        <v>350.0</v>
      </c>
    </row>
    <row r="889">
      <c r="A889" s="7" t="s">
        <v>952</v>
      </c>
      <c r="B889" s="7" t="s">
        <v>694</v>
      </c>
      <c r="C889" s="8">
        <v>310.0</v>
      </c>
      <c r="D889" s="8">
        <v>310.0</v>
      </c>
      <c r="E889" s="19">
        <v>0.0</v>
      </c>
      <c r="F889" s="10">
        <v>4.5</v>
      </c>
      <c r="G889" s="11">
        <v>5882.0</v>
      </c>
      <c r="K889" s="23">
        <v>0.0</v>
      </c>
    </row>
    <row r="890">
      <c r="A890" s="7" t="s">
        <v>575</v>
      </c>
      <c r="B890" s="7" t="s">
        <v>576</v>
      </c>
      <c r="C890" s="8">
        <v>149.0</v>
      </c>
      <c r="D890" s="8">
        <v>149.0</v>
      </c>
      <c r="E890" s="19">
        <v>0.0</v>
      </c>
      <c r="F890" s="10">
        <v>4.3</v>
      </c>
      <c r="G890" s="11">
        <v>10833.0</v>
      </c>
      <c r="K890" s="23">
        <v>0.0</v>
      </c>
    </row>
    <row r="891">
      <c r="A891" s="7" t="s">
        <v>953</v>
      </c>
      <c r="B891" s="7" t="s">
        <v>660</v>
      </c>
      <c r="C891" s="8">
        <v>1149.0</v>
      </c>
      <c r="D891" s="8">
        <v>1499.0</v>
      </c>
      <c r="E891" s="19">
        <v>0.23</v>
      </c>
      <c r="F891" s="10">
        <v>4.1</v>
      </c>
      <c r="G891" s="11">
        <v>10443.0</v>
      </c>
      <c r="K891" s="23">
        <v>350.0</v>
      </c>
    </row>
    <row r="892">
      <c r="A892" s="7" t="s">
        <v>954</v>
      </c>
      <c r="B892" s="7" t="s">
        <v>631</v>
      </c>
      <c r="C892" s="8">
        <v>499.0</v>
      </c>
      <c r="D892" s="8">
        <v>1299.0</v>
      </c>
      <c r="E892" s="19">
        <v>0.62</v>
      </c>
      <c r="F892" s="10">
        <v>4.5</v>
      </c>
      <c r="G892" s="10">
        <v>434.0</v>
      </c>
      <c r="K892" s="23">
        <v>800.0</v>
      </c>
    </row>
    <row r="893">
      <c r="A893" s="7" t="s">
        <v>955</v>
      </c>
      <c r="B893" s="7" t="s">
        <v>393</v>
      </c>
      <c r="C893" s="8">
        <v>999.0</v>
      </c>
      <c r="D893" s="8">
        <v>4199.0</v>
      </c>
      <c r="E893" s="19">
        <v>0.76</v>
      </c>
      <c r="F893" s="10">
        <v>3.5</v>
      </c>
      <c r="G893" s="11">
        <v>1913.0</v>
      </c>
      <c r="K893" s="23">
        <v>3200.0</v>
      </c>
    </row>
    <row r="894">
      <c r="A894" s="7" t="s">
        <v>956</v>
      </c>
      <c r="B894" s="7" t="s">
        <v>875</v>
      </c>
      <c r="C894" s="8">
        <v>1709.0</v>
      </c>
      <c r="D894" s="8">
        <v>4000.0</v>
      </c>
      <c r="E894" s="19">
        <v>0.57</v>
      </c>
      <c r="F894" s="10">
        <v>4.4</v>
      </c>
      <c r="G894" s="11">
        <v>3029.0</v>
      </c>
      <c r="K894" s="23">
        <v>2291.0</v>
      </c>
    </row>
    <row r="895">
      <c r="A895" s="7" t="s">
        <v>957</v>
      </c>
      <c r="B895" s="7" t="s">
        <v>654</v>
      </c>
      <c r="C895" s="8">
        <v>250.0</v>
      </c>
      <c r="D895" s="8">
        <v>250.0</v>
      </c>
      <c r="E895" s="19">
        <v>0.0</v>
      </c>
      <c r="F895" s="10">
        <v>4.2</v>
      </c>
      <c r="G895" s="11">
        <v>2628.0</v>
      </c>
      <c r="K895" s="23">
        <v>0.0</v>
      </c>
    </row>
    <row r="896">
      <c r="A896" s="7" t="s">
        <v>73</v>
      </c>
      <c r="B896" s="7" t="s">
        <v>25</v>
      </c>
      <c r="C896" s="8">
        <v>1199.0</v>
      </c>
      <c r="D896" s="8">
        <v>2199.0</v>
      </c>
      <c r="E896" s="19">
        <v>0.45</v>
      </c>
      <c r="F896" s="10">
        <v>4.4</v>
      </c>
      <c r="G896" s="11">
        <v>24780.0</v>
      </c>
      <c r="K896" s="23">
        <v>1000.0</v>
      </c>
    </row>
    <row r="897">
      <c r="A897" s="7" t="s">
        <v>958</v>
      </c>
      <c r="B897" s="7" t="s">
        <v>959</v>
      </c>
      <c r="C897" s="8">
        <v>90.0</v>
      </c>
      <c r="D897" s="8">
        <v>100.0</v>
      </c>
      <c r="E897" s="19">
        <v>0.1</v>
      </c>
      <c r="F897" s="10">
        <v>4.4</v>
      </c>
      <c r="G897" s="11">
        <v>10718.0</v>
      </c>
      <c r="K897" s="23">
        <v>10.0</v>
      </c>
    </row>
    <row r="898">
      <c r="A898" s="7" t="s">
        <v>960</v>
      </c>
      <c r="B898" s="7" t="s">
        <v>502</v>
      </c>
      <c r="C898" s="8">
        <v>2025.0</v>
      </c>
      <c r="D898" s="8">
        <v>5999.0</v>
      </c>
      <c r="E898" s="19">
        <v>0.66</v>
      </c>
      <c r="F898" s="10">
        <v>4.2</v>
      </c>
      <c r="G898" s="11">
        <v>6233.0</v>
      </c>
      <c r="K898" s="23">
        <v>3974.0</v>
      </c>
    </row>
    <row r="899">
      <c r="A899" s="7" t="s">
        <v>961</v>
      </c>
      <c r="B899" s="7" t="s">
        <v>692</v>
      </c>
      <c r="C899" s="8">
        <v>1495.0</v>
      </c>
      <c r="D899" s="8">
        <v>1995.0</v>
      </c>
      <c r="E899" s="19">
        <v>0.25</v>
      </c>
      <c r="F899" s="10">
        <v>4.5</v>
      </c>
      <c r="G899" s="11">
        <v>10541.0</v>
      </c>
      <c r="K899" s="23">
        <v>500.0</v>
      </c>
    </row>
    <row r="900">
      <c r="A900" s="7" t="s">
        <v>75</v>
      </c>
      <c r="B900" s="7" t="s">
        <v>15</v>
      </c>
      <c r="C900" s="8">
        <v>799.0</v>
      </c>
      <c r="D900" s="8">
        <v>2100.0</v>
      </c>
      <c r="E900" s="19">
        <v>0.62</v>
      </c>
      <c r="F900" s="10">
        <v>4.3</v>
      </c>
      <c r="G900" s="11">
        <v>8188.0</v>
      </c>
      <c r="K900" s="23">
        <v>1301.0</v>
      </c>
    </row>
    <row r="901">
      <c r="A901" s="7" t="s">
        <v>962</v>
      </c>
      <c r="B901" s="7" t="s">
        <v>719</v>
      </c>
      <c r="C901" s="8">
        <v>899.0</v>
      </c>
      <c r="D901" s="8">
        <v>1199.0</v>
      </c>
      <c r="E901" s="19">
        <v>0.25</v>
      </c>
      <c r="F901" s="10">
        <v>3.8</v>
      </c>
      <c r="G901" s="11">
        <v>10751.0</v>
      </c>
      <c r="K901" s="23">
        <v>300.0</v>
      </c>
    </row>
    <row r="902">
      <c r="A902" s="7" t="s">
        <v>963</v>
      </c>
      <c r="B902" s="7" t="s">
        <v>964</v>
      </c>
      <c r="C902" s="8">
        <v>349.0</v>
      </c>
      <c r="D902" s="8">
        <v>999.0</v>
      </c>
      <c r="E902" s="19">
        <v>0.65</v>
      </c>
      <c r="F902" s="10">
        <v>3.9</v>
      </c>
      <c r="G902" s="10">
        <v>817.0</v>
      </c>
      <c r="K902" s="23">
        <v>650.0</v>
      </c>
    </row>
    <row r="903">
      <c r="A903" s="7" t="s">
        <v>965</v>
      </c>
      <c r="B903" s="7" t="s">
        <v>377</v>
      </c>
      <c r="C903" s="8">
        <v>900.0</v>
      </c>
      <c r="D903" s="8">
        <v>2499.0</v>
      </c>
      <c r="E903" s="19">
        <v>0.64</v>
      </c>
      <c r="F903" s="10">
        <v>4.0</v>
      </c>
      <c r="G903" s="11">
        <v>36384.0</v>
      </c>
      <c r="K903" s="23">
        <v>1599.0</v>
      </c>
    </row>
    <row r="904">
      <c r="A904" s="7" t="s">
        <v>966</v>
      </c>
      <c r="B904" s="7" t="s">
        <v>769</v>
      </c>
      <c r="C904" s="8">
        <v>2490.0</v>
      </c>
      <c r="D904" s="8">
        <v>3990.0</v>
      </c>
      <c r="E904" s="19">
        <v>0.38</v>
      </c>
      <c r="F904" s="10">
        <v>4.1</v>
      </c>
      <c r="G904" s="11">
        <v>3606.0</v>
      </c>
      <c r="K904" s="23">
        <v>1500.0</v>
      </c>
    </row>
    <row r="905">
      <c r="A905" s="7" t="s">
        <v>967</v>
      </c>
      <c r="B905" s="7" t="s">
        <v>721</v>
      </c>
      <c r="C905" s="8">
        <v>116.0</v>
      </c>
      <c r="D905" s="8">
        <v>200.0</v>
      </c>
      <c r="E905" s="19">
        <v>0.42</v>
      </c>
      <c r="F905" s="10">
        <v>4.4</v>
      </c>
      <c r="G905" s="10">
        <v>357.0</v>
      </c>
      <c r="K905" s="23">
        <v>84.0</v>
      </c>
    </row>
    <row r="906">
      <c r="A906" s="7" t="s">
        <v>968</v>
      </c>
      <c r="B906" s="7" t="s">
        <v>694</v>
      </c>
      <c r="C906" s="8">
        <v>200.0</v>
      </c>
      <c r="D906" s="8">
        <v>230.0</v>
      </c>
      <c r="E906" s="19">
        <v>0.13</v>
      </c>
      <c r="F906" s="10">
        <v>4.4</v>
      </c>
      <c r="G906" s="11">
        <v>10170.0</v>
      </c>
      <c r="K906" s="23">
        <v>30.0</v>
      </c>
    </row>
    <row r="907">
      <c r="A907" s="7" t="s">
        <v>969</v>
      </c>
      <c r="B907" s="7" t="s">
        <v>895</v>
      </c>
      <c r="C907" s="8">
        <v>1249.0</v>
      </c>
      <c r="D907" s="8">
        <v>2796.0</v>
      </c>
      <c r="E907" s="19">
        <v>0.55</v>
      </c>
      <c r="F907" s="10">
        <v>4.4</v>
      </c>
      <c r="G907" s="11">
        <v>4598.0</v>
      </c>
      <c r="K907" s="23">
        <v>1547.0</v>
      </c>
    </row>
    <row r="908">
      <c r="A908" s="7" t="s">
        <v>970</v>
      </c>
      <c r="B908" s="7" t="s">
        <v>971</v>
      </c>
      <c r="C908" s="8">
        <v>649.0</v>
      </c>
      <c r="D908" s="8">
        <v>999.0</v>
      </c>
      <c r="E908" s="19">
        <v>0.35</v>
      </c>
      <c r="F908" s="10">
        <v>3.5</v>
      </c>
      <c r="G908" s="11">
        <v>7222.0</v>
      </c>
      <c r="K908" s="23">
        <v>350.0</v>
      </c>
    </row>
    <row r="909">
      <c r="A909" s="7" t="s">
        <v>972</v>
      </c>
      <c r="B909" s="7" t="s">
        <v>973</v>
      </c>
      <c r="C909" s="8">
        <v>2649.0</v>
      </c>
      <c r="D909" s="8">
        <v>3499.0</v>
      </c>
      <c r="E909" s="19">
        <v>0.24</v>
      </c>
      <c r="F909" s="10">
        <v>4.5</v>
      </c>
      <c r="G909" s="11">
        <v>1271.0</v>
      </c>
      <c r="K909" s="23">
        <v>850.0</v>
      </c>
    </row>
    <row r="910">
      <c r="A910" s="7" t="s">
        <v>78</v>
      </c>
      <c r="B910" s="7" t="s">
        <v>15</v>
      </c>
      <c r="C910" s="8">
        <v>199.0</v>
      </c>
      <c r="D910" s="8">
        <v>349.0</v>
      </c>
      <c r="E910" s="19">
        <v>0.43</v>
      </c>
      <c r="F910" s="10">
        <v>4.1</v>
      </c>
      <c r="G910" s="10">
        <v>314.0</v>
      </c>
      <c r="K910" s="23">
        <v>150.0</v>
      </c>
    </row>
    <row r="911">
      <c r="A911" s="7" t="s">
        <v>974</v>
      </c>
      <c r="B911" s="7" t="s">
        <v>683</v>
      </c>
      <c r="C911" s="8">
        <v>596.0</v>
      </c>
      <c r="D911" s="8">
        <v>723.0</v>
      </c>
      <c r="E911" s="19">
        <v>0.18</v>
      </c>
      <c r="F911" s="10">
        <v>4.4</v>
      </c>
      <c r="G911" s="11">
        <v>3219.0</v>
      </c>
      <c r="K911" s="23">
        <v>127.0</v>
      </c>
    </row>
    <row r="912">
      <c r="A912" s="7" t="s">
        <v>975</v>
      </c>
      <c r="B912" s="7" t="s">
        <v>373</v>
      </c>
      <c r="C912" s="8">
        <v>2499.0</v>
      </c>
      <c r="D912" s="8">
        <v>5999.0</v>
      </c>
      <c r="E912" s="19">
        <v>0.58</v>
      </c>
      <c r="F912" s="10">
        <v>4.1</v>
      </c>
      <c r="G912" s="11">
        <v>38879.0</v>
      </c>
      <c r="K912" s="23">
        <v>3500.0</v>
      </c>
    </row>
    <row r="913">
      <c r="A913" s="7" t="s">
        <v>976</v>
      </c>
      <c r="B913" s="7" t="s">
        <v>977</v>
      </c>
      <c r="C913" s="8">
        <v>4999.0</v>
      </c>
      <c r="D913" s="8">
        <v>12499.0</v>
      </c>
      <c r="E913" s="19">
        <v>0.6</v>
      </c>
      <c r="F913" s="10">
        <v>4.2</v>
      </c>
      <c r="G913" s="11">
        <v>4541.0</v>
      </c>
      <c r="K913" s="23">
        <v>7500.0</v>
      </c>
    </row>
    <row r="914">
      <c r="A914" s="7" t="s">
        <v>978</v>
      </c>
      <c r="B914" s="7" t="s">
        <v>393</v>
      </c>
      <c r="C914" s="8">
        <v>399.0</v>
      </c>
      <c r="D914" s="8">
        <v>1290.0</v>
      </c>
      <c r="E914" s="19">
        <v>0.69</v>
      </c>
      <c r="F914" s="10">
        <v>4.2</v>
      </c>
      <c r="G914" s="11">
        <v>76042.0</v>
      </c>
      <c r="K914" s="23">
        <v>891.0</v>
      </c>
    </row>
    <row r="915">
      <c r="A915" s="7" t="s">
        <v>979</v>
      </c>
      <c r="B915" s="7" t="s">
        <v>721</v>
      </c>
      <c r="C915" s="8">
        <v>116.0</v>
      </c>
      <c r="D915" s="8">
        <v>200.0</v>
      </c>
      <c r="E915" s="19">
        <v>0.42</v>
      </c>
      <c r="F915" s="10">
        <v>4.3</v>
      </c>
      <c r="G915" s="10">
        <v>485.0</v>
      </c>
      <c r="K915" s="23">
        <v>84.0</v>
      </c>
    </row>
    <row r="916">
      <c r="A916" s="7" t="s">
        <v>980</v>
      </c>
      <c r="B916" s="7" t="s">
        <v>769</v>
      </c>
      <c r="C916" s="8">
        <v>4499.0</v>
      </c>
      <c r="D916" s="8">
        <v>5999.0</v>
      </c>
      <c r="E916" s="19">
        <v>0.25</v>
      </c>
      <c r="F916" s="10">
        <v>4.3</v>
      </c>
      <c r="G916" s="11">
        <v>44696.0</v>
      </c>
      <c r="K916" s="23">
        <v>1500.0</v>
      </c>
    </row>
    <row r="917">
      <c r="A917" s="7" t="s">
        <v>981</v>
      </c>
      <c r="B917" s="7" t="s">
        <v>793</v>
      </c>
      <c r="C917" s="8">
        <v>330.0</v>
      </c>
      <c r="D917" s="8">
        <v>499.0</v>
      </c>
      <c r="E917" s="19">
        <v>0.34</v>
      </c>
      <c r="F917" s="10">
        <v>3.7</v>
      </c>
      <c r="G917" s="11">
        <v>8566.0</v>
      </c>
      <c r="K917" s="23">
        <v>169.0</v>
      </c>
    </row>
    <row r="918">
      <c r="A918" s="7" t="s">
        <v>982</v>
      </c>
      <c r="B918" s="7" t="s">
        <v>711</v>
      </c>
      <c r="C918" s="8">
        <v>649.0</v>
      </c>
      <c r="D918" s="8">
        <v>2499.0</v>
      </c>
      <c r="E918" s="19">
        <v>0.74</v>
      </c>
      <c r="F918" s="10">
        <v>3.9</v>
      </c>
      <c r="G918" s="11">
        <v>13049.0</v>
      </c>
      <c r="K918" s="23">
        <v>1850.0</v>
      </c>
    </row>
    <row r="919">
      <c r="A919" s="7" t="s">
        <v>983</v>
      </c>
      <c r="B919" s="7" t="s">
        <v>779</v>
      </c>
      <c r="C919" s="8">
        <v>1234.0</v>
      </c>
      <c r="D919" s="8">
        <v>1599.0</v>
      </c>
      <c r="E919" s="19">
        <v>0.23</v>
      </c>
      <c r="F919" s="10">
        <v>4.5</v>
      </c>
      <c r="G919" s="11">
        <v>16680.0</v>
      </c>
      <c r="K919" s="23">
        <v>365.0</v>
      </c>
    </row>
    <row r="920">
      <c r="A920" s="7" t="s">
        <v>571</v>
      </c>
      <c r="B920" s="7" t="s">
        <v>572</v>
      </c>
      <c r="C920" s="8">
        <v>1399.0</v>
      </c>
      <c r="D920" s="8">
        <v>2990.0</v>
      </c>
      <c r="E920" s="19">
        <v>0.53</v>
      </c>
      <c r="F920" s="10">
        <v>4.1</v>
      </c>
      <c r="G920" s="11">
        <v>97174.0</v>
      </c>
      <c r="K920" s="23">
        <v>1591.0</v>
      </c>
    </row>
    <row r="921">
      <c r="A921" s="7" t="s">
        <v>984</v>
      </c>
      <c r="B921" s="7" t="s">
        <v>916</v>
      </c>
      <c r="C921" s="8">
        <v>272.0</v>
      </c>
      <c r="D921" s="8">
        <v>320.0</v>
      </c>
      <c r="E921" s="19">
        <v>0.15</v>
      </c>
      <c r="F921" s="10">
        <v>4.0</v>
      </c>
      <c r="G921" s="11">
        <v>3686.0</v>
      </c>
      <c r="K921" s="23">
        <v>48.0</v>
      </c>
    </row>
    <row r="922">
      <c r="A922" s="7" t="s">
        <v>985</v>
      </c>
      <c r="B922" s="7" t="s">
        <v>986</v>
      </c>
      <c r="C922" s="8">
        <v>99.0</v>
      </c>
      <c r="D922" s="8">
        <v>999.0</v>
      </c>
      <c r="E922" s="19">
        <v>0.9</v>
      </c>
      <c r="F922" s="10">
        <v>3.8</v>
      </c>
      <c r="G922" s="10">
        <v>594.0</v>
      </c>
      <c r="K922" s="23">
        <v>900.0</v>
      </c>
    </row>
    <row r="923">
      <c r="A923" s="7" t="s">
        <v>987</v>
      </c>
      <c r="B923" s="7" t="s">
        <v>988</v>
      </c>
      <c r="C923" s="8">
        <v>3498.0</v>
      </c>
      <c r="D923" s="8">
        <v>3875.0</v>
      </c>
      <c r="E923" s="19">
        <v>0.1</v>
      </c>
      <c r="F923" s="10">
        <v>3.4</v>
      </c>
      <c r="G923" s="11">
        <v>12185.0</v>
      </c>
      <c r="K923" s="23">
        <v>377.0</v>
      </c>
    </row>
    <row r="924">
      <c r="A924" s="7" t="s">
        <v>989</v>
      </c>
      <c r="B924" s="7" t="s">
        <v>757</v>
      </c>
      <c r="C924" s="8">
        <v>10099.0</v>
      </c>
      <c r="D924" s="8">
        <v>19110.0</v>
      </c>
      <c r="E924" s="19">
        <v>0.47</v>
      </c>
      <c r="F924" s="10">
        <v>4.3</v>
      </c>
      <c r="G924" s="11">
        <v>2623.0</v>
      </c>
      <c r="K924" s="23">
        <v>9011.0</v>
      </c>
    </row>
    <row r="925">
      <c r="A925" s="7" t="s">
        <v>990</v>
      </c>
      <c r="B925" s="7" t="s">
        <v>806</v>
      </c>
      <c r="C925" s="8">
        <v>449.0</v>
      </c>
      <c r="D925" s="8">
        <v>999.0</v>
      </c>
      <c r="E925" s="19">
        <v>0.55</v>
      </c>
      <c r="F925" s="10">
        <v>4.3</v>
      </c>
      <c r="G925" s="11">
        <v>9701.0</v>
      </c>
      <c r="K925" s="23">
        <v>550.0</v>
      </c>
    </row>
    <row r="926">
      <c r="A926" s="7" t="s">
        <v>991</v>
      </c>
      <c r="B926" s="7" t="s">
        <v>992</v>
      </c>
      <c r="C926" s="8">
        <v>150.0</v>
      </c>
      <c r="D926" s="8">
        <v>150.0</v>
      </c>
      <c r="E926" s="19">
        <v>0.0</v>
      </c>
      <c r="F926" s="10">
        <v>4.3</v>
      </c>
      <c r="G926" s="11">
        <v>15867.0</v>
      </c>
      <c r="K926" s="23">
        <v>0.0</v>
      </c>
    </row>
    <row r="927">
      <c r="A927" s="7" t="s">
        <v>82</v>
      </c>
      <c r="B927" s="7" t="s">
        <v>15</v>
      </c>
      <c r="C927" s="8">
        <v>348.0</v>
      </c>
      <c r="D927" s="8">
        <v>1499.0</v>
      </c>
      <c r="E927" s="19">
        <v>0.77</v>
      </c>
      <c r="F927" s="10">
        <v>4.2</v>
      </c>
      <c r="G927" s="10">
        <v>656.0</v>
      </c>
      <c r="K927" s="23">
        <v>1151.0</v>
      </c>
    </row>
    <row r="928">
      <c r="A928" s="7" t="s">
        <v>993</v>
      </c>
      <c r="B928" s="7" t="s">
        <v>709</v>
      </c>
      <c r="C928" s="8">
        <v>1199.0</v>
      </c>
      <c r="D928" s="8">
        <v>2999.0</v>
      </c>
      <c r="E928" s="19">
        <v>0.6</v>
      </c>
      <c r="F928" s="10">
        <v>4.1</v>
      </c>
      <c r="G928" s="11">
        <v>10725.0</v>
      </c>
      <c r="K928" s="23">
        <v>1800.0</v>
      </c>
    </row>
    <row r="929">
      <c r="A929" s="7" t="s">
        <v>994</v>
      </c>
      <c r="B929" s="7" t="s">
        <v>698</v>
      </c>
      <c r="C929" s="8">
        <v>397.0</v>
      </c>
      <c r="D929" s="8">
        <v>899.0</v>
      </c>
      <c r="E929" s="19">
        <v>0.56</v>
      </c>
      <c r="F929" s="10">
        <v>4.0</v>
      </c>
      <c r="G929" s="11">
        <v>3025.0</v>
      </c>
      <c r="K929" s="23">
        <v>502.0</v>
      </c>
    </row>
    <row r="930">
      <c r="A930" s="7" t="s">
        <v>83</v>
      </c>
      <c r="B930" s="7" t="s">
        <v>15</v>
      </c>
      <c r="C930" s="8">
        <v>154.0</v>
      </c>
      <c r="D930" s="8">
        <v>349.0</v>
      </c>
      <c r="E930" s="19">
        <v>0.56</v>
      </c>
      <c r="F930" s="10">
        <v>4.3</v>
      </c>
      <c r="G930" s="11">
        <v>7064.0</v>
      </c>
      <c r="K930" s="23">
        <v>195.0</v>
      </c>
    </row>
    <row r="931">
      <c r="A931" s="7" t="s">
        <v>995</v>
      </c>
      <c r="B931" s="7" t="s">
        <v>781</v>
      </c>
      <c r="C931" s="8">
        <v>699.0</v>
      </c>
      <c r="D931" s="8">
        <v>1490.0</v>
      </c>
      <c r="E931" s="19">
        <v>0.53</v>
      </c>
      <c r="F931" s="10">
        <v>4.0</v>
      </c>
      <c r="G931" s="11">
        <v>5736.0</v>
      </c>
      <c r="K931" s="23">
        <v>791.0</v>
      </c>
    </row>
    <row r="932">
      <c r="A932" s="7" t="s">
        <v>996</v>
      </c>
      <c r="B932" s="7" t="s">
        <v>393</v>
      </c>
      <c r="C932" s="8">
        <v>1679.0</v>
      </c>
      <c r="D932" s="8">
        <v>1999.0</v>
      </c>
      <c r="E932" s="19">
        <v>0.16</v>
      </c>
      <c r="F932" s="10">
        <v>4.1</v>
      </c>
      <c r="G932" s="11">
        <v>72563.0</v>
      </c>
      <c r="K932" s="23">
        <v>320.0</v>
      </c>
    </row>
    <row r="933">
      <c r="A933" s="7" t="s">
        <v>997</v>
      </c>
      <c r="B933" s="7" t="s">
        <v>627</v>
      </c>
      <c r="C933" s="8">
        <v>354.0</v>
      </c>
      <c r="D933" s="8">
        <v>1500.0</v>
      </c>
      <c r="E933" s="19">
        <v>0.76</v>
      </c>
      <c r="F933" s="10">
        <v>4.0</v>
      </c>
      <c r="G933" s="11">
        <v>1026.0</v>
      </c>
      <c r="K933" s="23">
        <v>1146.0</v>
      </c>
    </row>
    <row r="934">
      <c r="A934" s="7" t="s">
        <v>998</v>
      </c>
      <c r="B934" s="7" t="s">
        <v>999</v>
      </c>
      <c r="C934" s="8">
        <v>1199.0</v>
      </c>
      <c r="D934" s="8">
        <v>5499.0</v>
      </c>
      <c r="E934" s="19">
        <v>0.78</v>
      </c>
      <c r="F934" s="10">
        <v>3.8</v>
      </c>
      <c r="G934" s="11">
        <v>2043.0</v>
      </c>
      <c r="K934" s="23">
        <v>4300.0</v>
      </c>
    </row>
    <row r="935">
      <c r="A935" s="7" t="s">
        <v>1000</v>
      </c>
      <c r="B935" s="7" t="s">
        <v>779</v>
      </c>
      <c r="C935" s="8">
        <v>379.0</v>
      </c>
      <c r="D935" s="8">
        <v>1499.0</v>
      </c>
      <c r="E935" s="19">
        <v>0.75</v>
      </c>
      <c r="F935" s="10">
        <v>4.2</v>
      </c>
      <c r="G935" s="11">
        <v>4149.0</v>
      </c>
      <c r="K935" s="23">
        <v>1120.0</v>
      </c>
    </row>
    <row r="936">
      <c r="A936" s="7" t="s">
        <v>1001</v>
      </c>
      <c r="B936" s="7" t="s">
        <v>662</v>
      </c>
      <c r="C936" s="8">
        <v>499.0</v>
      </c>
      <c r="D936" s="8">
        <v>775.0</v>
      </c>
      <c r="E936" s="19">
        <v>0.36</v>
      </c>
      <c r="F936" s="10">
        <v>4.3</v>
      </c>
      <c r="G936" s="10">
        <v>74.0</v>
      </c>
      <c r="K936" s="23">
        <v>276.0</v>
      </c>
    </row>
    <row r="937">
      <c r="A937" s="7" t="s">
        <v>1002</v>
      </c>
      <c r="B937" s="7" t="s">
        <v>1003</v>
      </c>
      <c r="C937" s="8">
        <v>10389.0</v>
      </c>
      <c r="D937" s="8">
        <v>32000.0</v>
      </c>
      <c r="E937" s="19">
        <v>0.68</v>
      </c>
      <c r="F937" s="10">
        <v>4.4</v>
      </c>
      <c r="G937" s="11">
        <v>41398.0</v>
      </c>
      <c r="K937" s="23">
        <v>21611.0</v>
      </c>
    </row>
    <row r="938">
      <c r="A938" s="7" t="s">
        <v>1004</v>
      </c>
      <c r="B938" s="7" t="s">
        <v>907</v>
      </c>
      <c r="C938" s="8">
        <v>649.0</v>
      </c>
      <c r="D938" s="8">
        <v>1300.0</v>
      </c>
      <c r="E938" s="19">
        <v>0.5</v>
      </c>
      <c r="F938" s="10">
        <v>4.1</v>
      </c>
      <c r="G938" s="11">
        <v>5195.0</v>
      </c>
      <c r="K938" s="23">
        <v>651.0</v>
      </c>
    </row>
    <row r="939">
      <c r="A939" s="7" t="s">
        <v>1005</v>
      </c>
      <c r="B939" s="7" t="s">
        <v>1006</v>
      </c>
      <c r="C939" s="8">
        <v>1199.0</v>
      </c>
      <c r="D939" s="8">
        <v>1999.0</v>
      </c>
      <c r="E939" s="19">
        <v>0.4</v>
      </c>
      <c r="F939" s="10">
        <v>4.5</v>
      </c>
      <c r="G939" s="11">
        <v>22420.0</v>
      </c>
      <c r="K939" s="23">
        <v>800.0</v>
      </c>
    </row>
    <row r="940">
      <c r="A940" s="7" t="s">
        <v>86</v>
      </c>
      <c r="B940" s="7" t="s">
        <v>15</v>
      </c>
      <c r="C940" s="8">
        <v>139.0</v>
      </c>
      <c r="D940" s="8">
        <v>999.0</v>
      </c>
      <c r="E940" s="19">
        <v>0.86</v>
      </c>
      <c r="F940" s="10">
        <v>4.0</v>
      </c>
      <c r="G940" s="11">
        <v>1313.0</v>
      </c>
      <c r="K940" s="23">
        <v>860.0</v>
      </c>
    </row>
    <row r="941">
      <c r="A941" s="7" t="s">
        <v>1007</v>
      </c>
      <c r="B941" s="7" t="s">
        <v>393</v>
      </c>
      <c r="C941" s="8">
        <v>889.0</v>
      </c>
      <c r="D941" s="8">
        <v>1999.0</v>
      </c>
      <c r="E941" s="19">
        <v>0.56</v>
      </c>
      <c r="F941" s="10">
        <v>4.2</v>
      </c>
      <c r="G941" s="11">
        <v>2284.0</v>
      </c>
      <c r="K941" s="23">
        <v>1110.0</v>
      </c>
    </row>
    <row r="942">
      <c r="A942" s="7" t="s">
        <v>1008</v>
      </c>
      <c r="B942" s="7" t="s">
        <v>660</v>
      </c>
      <c r="C942" s="8">
        <v>1409.0</v>
      </c>
      <c r="D942" s="8">
        <v>2199.0</v>
      </c>
      <c r="E942" s="19">
        <v>0.36</v>
      </c>
      <c r="F942" s="10">
        <v>3.9</v>
      </c>
      <c r="G942" s="10">
        <v>427.0</v>
      </c>
      <c r="K942" s="23">
        <v>790.0</v>
      </c>
    </row>
    <row r="943">
      <c r="A943" s="7" t="s">
        <v>1009</v>
      </c>
      <c r="B943" s="7" t="s">
        <v>1010</v>
      </c>
      <c r="C943" s="8">
        <v>549.0</v>
      </c>
      <c r="D943" s="8">
        <v>1999.0</v>
      </c>
      <c r="E943" s="19">
        <v>0.73</v>
      </c>
      <c r="F943" s="10">
        <v>4.3</v>
      </c>
      <c r="G943" s="11">
        <v>1367.0</v>
      </c>
      <c r="K943" s="23">
        <v>1450.0</v>
      </c>
    </row>
    <row r="944">
      <c r="A944" s="7" t="s">
        <v>1011</v>
      </c>
      <c r="B944" s="7" t="s">
        <v>999</v>
      </c>
      <c r="C944" s="8">
        <v>749.0</v>
      </c>
      <c r="D944" s="8">
        <v>1799.0</v>
      </c>
      <c r="E944" s="19">
        <v>0.58</v>
      </c>
      <c r="F944" s="10">
        <v>4.0</v>
      </c>
      <c r="G944" s="11">
        <v>13199.0</v>
      </c>
      <c r="K944" s="23">
        <v>1050.0</v>
      </c>
    </row>
    <row r="945">
      <c r="A945" s="7" t="s">
        <v>87</v>
      </c>
      <c r="B945" s="7" t="s">
        <v>15</v>
      </c>
      <c r="C945" s="8">
        <v>329.0</v>
      </c>
      <c r="D945" s="8">
        <v>845.0</v>
      </c>
      <c r="E945" s="19">
        <v>0.61</v>
      </c>
      <c r="F945" s="10">
        <v>4.2</v>
      </c>
      <c r="G945" s="11">
        <v>29746.0</v>
      </c>
      <c r="K945" s="23">
        <v>516.0</v>
      </c>
    </row>
    <row r="946">
      <c r="A946" s="7" t="s">
        <v>1012</v>
      </c>
      <c r="B946" s="7" t="s">
        <v>15</v>
      </c>
      <c r="C946" s="8">
        <v>379.0</v>
      </c>
      <c r="D946" s="8">
        <v>1099.0</v>
      </c>
      <c r="E946" s="19">
        <v>0.66</v>
      </c>
      <c r="F946" s="10">
        <v>4.3</v>
      </c>
      <c r="G946" s="11">
        <v>2806.0</v>
      </c>
      <c r="K946" s="23">
        <v>720.0</v>
      </c>
    </row>
    <row r="947">
      <c r="A947" s="7" t="s">
        <v>1013</v>
      </c>
      <c r="B947" s="7" t="s">
        <v>373</v>
      </c>
      <c r="C947" s="8">
        <v>5998.0</v>
      </c>
      <c r="D947" s="8">
        <v>7999.0</v>
      </c>
      <c r="E947" s="19">
        <v>0.25</v>
      </c>
      <c r="F947" s="10">
        <v>4.2</v>
      </c>
      <c r="G947" s="11">
        <v>30355.0</v>
      </c>
      <c r="K947" s="23">
        <v>2001.0</v>
      </c>
    </row>
    <row r="948">
      <c r="A948" s="7" t="s">
        <v>1014</v>
      </c>
      <c r="B948" s="7" t="s">
        <v>806</v>
      </c>
      <c r="C948" s="8">
        <v>299.0</v>
      </c>
      <c r="D948" s="8">
        <v>1499.0</v>
      </c>
      <c r="E948" s="19">
        <v>0.8</v>
      </c>
      <c r="F948" s="10">
        <v>4.2</v>
      </c>
      <c r="G948" s="11">
        <v>2868.0</v>
      </c>
      <c r="K948" s="23">
        <v>1200.0</v>
      </c>
    </row>
    <row r="949">
      <c r="A949" s="7" t="s">
        <v>1015</v>
      </c>
      <c r="B949" s="7" t="s">
        <v>779</v>
      </c>
      <c r="C949" s="8">
        <v>379.0</v>
      </c>
      <c r="D949" s="8">
        <v>1499.0</v>
      </c>
      <c r="E949" s="19">
        <v>0.75</v>
      </c>
      <c r="F949" s="10">
        <v>4.1</v>
      </c>
      <c r="G949" s="10">
        <v>670.0</v>
      </c>
      <c r="K949" s="23">
        <v>1120.0</v>
      </c>
    </row>
    <row r="950">
      <c r="A950" s="7" t="s">
        <v>1016</v>
      </c>
      <c r="B950" s="7" t="s">
        <v>1017</v>
      </c>
      <c r="C950" s="8">
        <v>1399.0</v>
      </c>
      <c r="D950" s="8">
        <v>2999.0</v>
      </c>
      <c r="E950" s="19">
        <v>0.53</v>
      </c>
      <c r="F950" s="10">
        <v>4.3</v>
      </c>
      <c r="G950" s="11">
        <v>3530.0</v>
      </c>
      <c r="K950" s="23">
        <v>1600.0</v>
      </c>
    </row>
    <row r="951">
      <c r="A951" s="7" t="s">
        <v>1018</v>
      </c>
      <c r="B951" s="7" t="s">
        <v>1019</v>
      </c>
      <c r="C951" s="8">
        <v>699.0</v>
      </c>
      <c r="D951" s="8">
        <v>1299.0</v>
      </c>
      <c r="E951" s="19">
        <v>0.46</v>
      </c>
      <c r="F951" s="10">
        <v>4.3</v>
      </c>
      <c r="G951" s="11">
        <v>6183.0</v>
      </c>
      <c r="K951" s="23">
        <v>600.0</v>
      </c>
    </row>
    <row r="952">
      <c r="A952" s="7" t="s">
        <v>1020</v>
      </c>
      <c r="B952" s="7" t="s">
        <v>817</v>
      </c>
      <c r="C952" s="8">
        <v>300.0</v>
      </c>
      <c r="D952" s="8">
        <v>300.0</v>
      </c>
      <c r="E952" s="19">
        <v>0.0</v>
      </c>
      <c r="F952" s="10">
        <v>4.2</v>
      </c>
      <c r="G952" s="10">
        <v>419.0</v>
      </c>
      <c r="K952" s="23">
        <v>0.0</v>
      </c>
    </row>
    <row r="953">
      <c r="A953" s="7" t="s">
        <v>1021</v>
      </c>
      <c r="B953" s="7" t="s">
        <v>696</v>
      </c>
      <c r="C953" s="8">
        <v>999.0</v>
      </c>
      <c r="D953" s="8">
        <v>1995.0</v>
      </c>
      <c r="E953" s="19">
        <v>0.5</v>
      </c>
      <c r="F953" s="10">
        <v>4.5</v>
      </c>
      <c r="G953" s="11">
        <v>7317.0</v>
      </c>
      <c r="K953" s="23">
        <v>996.0</v>
      </c>
    </row>
    <row r="954">
      <c r="A954" s="7" t="s">
        <v>1022</v>
      </c>
      <c r="B954" s="7" t="s">
        <v>1023</v>
      </c>
      <c r="C954" s="8">
        <v>535.0</v>
      </c>
      <c r="D954" s="8">
        <v>535.0</v>
      </c>
      <c r="E954" s="19">
        <v>0.0</v>
      </c>
      <c r="F954" s="10">
        <v>4.4</v>
      </c>
      <c r="G954" s="11">
        <v>4426.0</v>
      </c>
      <c r="K954" s="23">
        <v>0.0</v>
      </c>
    </row>
    <row r="955">
      <c r="A955" s="7" t="s">
        <v>88</v>
      </c>
      <c r="B955" s="7" t="s">
        <v>37</v>
      </c>
      <c r="C955" s="8">
        <v>13999.0</v>
      </c>
      <c r="D955" s="8">
        <v>24999.0</v>
      </c>
      <c r="E955" s="19">
        <v>0.44</v>
      </c>
      <c r="F955" s="10">
        <v>4.2</v>
      </c>
      <c r="G955" s="11">
        <v>45237.0</v>
      </c>
      <c r="K955" s="23">
        <v>11000.0</v>
      </c>
    </row>
    <row r="956">
      <c r="A956" s="7" t="s">
        <v>1024</v>
      </c>
      <c r="B956" s="7" t="s">
        <v>806</v>
      </c>
      <c r="C956" s="8">
        <v>269.0</v>
      </c>
      <c r="D956" s="8">
        <v>1099.0</v>
      </c>
      <c r="E956" s="19">
        <v>0.76</v>
      </c>
      <c r="F956" s="10">
        <v>4.1</v>
      </c>
      <c r="G956" s="11">
        <v>1092.0</v>
      </c>
      <c r="K956" s="23">
        <v>830.0</v>
      </c>
    </row>
    <row r="957">
      <c r="A957" s="7" t="s">
        <v>1025</v>
      </c>
      <c r="B957" s="7" t="s">
        <v>916</v>
      </c>
      <c r="C957" s="8">
        <v>341.0</v>
      </c>
      <c r="D957" s="8">
        <v>450.0</v>
      </c>
      <c r="E957" s="19">
        <v>0.24</v>
      </c>
      <c r="F957" s="10">
        <v>4.3</v>
      </c>
      <c r="G957" s="11">
        <v>2493.0</v>
      </c>
      <c r="K957" s="23">
        <v>109.0</v>
      </c>
    </row>
    <row r="958">
      <c r="A958" s="7" t="s">
        <v>1026</v>
      </c>
      <c r="B958" s="7" t="s">
        <v>709</v>
      </c>
      <c r="C958" s="8">
        <v>2499.0</v>
      </c>
      <c r="D958" s="8">
        <v>3999.0</v>
      </c>
      <c r="E958" s="19">
        <v>0.38</v>
      </c>
      <c r="F958" s="10">
        <v>4.4</v>
      </c>
      <c r="G958" s="11">
        <v>12679.0</v>
      </c>
      <c r="K958" s="23">
        <v>1500.0</v>
      </c>
    </row>
    <row r="959">
      <c r="A959" s="7" t="s">
        <v>96</v>
      </c>
      <c r="B959" s="7" t="s">
        <v>15</v>
      </c>
      <c r="C959" s="8">
        <v>349.0</v>
      </c>
      <c r="D959" s="8">
        <v>599.0</v>
      </c>
      <c r="E959" s="19">
        <v>0.42</v>
      </c>
      <c r="F959" s="10">
        <v>4.1</v>
      </c>
      <c r="G959" s="10">
        <v>210.0</v>
      </c>
      <c r="K959" s="23">
        <v>250.0</v>
      </c>
    </row>
    <row r="960">
      <c r="A960" s="7" t="s">
        <v>1027</v>
      </c>
      <c r="B960" s="7" t="s">
        <v>940</v>
      </c>
      <c r="C960" s="8">
        <v>5899.0</v>
      </c>
      <c r="D960" s="8">
        <v>7005.0</v>
      </c>
      <c r="E960" s="19">
        <v>0.16</v>
      </c>
      <c r="F960" s="10">
        <v>3.6</v>
      </c>
      <c r="G960" s="11">
        <v>4199.0</v>
      </c>
      <c r="K960" s="23">
        <v>1106.0</v>
      </c>
    </row>
    <row r="961">
      <c r="A961" s="7" t="s">
        <v>592</v>
      </c>
      <c r="B961" s="7" t="s">
        <v>409</v>
      </c>
      <c r="C961" s="8">
        <v>699.0</v>
      </c>
      <c r="D961" s="8">
        <v>1199.0</v>
      </c>
      <c r="E961" s="19">
        <v>0.42</v>
      </c>
      <c r="F961" s="10">
        <v>4.0</v>
      </c>
      <c r="G961" s="11">
        <v>14403.0</v>
      </c>
      <c r="K961" s="23">
        <v>500.0</v>
      </c>
    </row>
    <row r="962">
      <c r="A962" s="7" t="s">
        <v>1028</v>
      </c>
      <c r="B962" s="7" t="s">
        <v>709</v>
      </c>
      <c r="C962" s="8">
        <v>1565.0</v>
      </c>
      <c r="D962" s="8">
        <v>2999.0</v>
      </c>
      <c r="E962" s="19">
        <v>0.48</v>
      </c>
      <c r="F962" s="10">
        <v>4.0</v>
      </c>
      <c r="G962" s="11">
        <v>11113.0</v>
      </c>
      <c r="K962" s="23">
        <v>1434.0</v>
      </c>
    </row>
    <row r="963">
      <c r="A963" s="7" t="s">
        <v>1029</v>
      </c>
      <c r="B963" s="7" t="s">
        <v>668</v>
      </c>
      <c r="C963" s="8">
        <v>326.0</v>
      </c>
      <c r="D963" s="8">
        <v>799.0</v>
      </c>
      <c r="E963" s="19">
        <v>0.59</v>
      </c>
      <c r="F963" s="10">
        <v>4.4</v>
      </c>
      <c r="G963" s="11">
        <v>10773.0</v>
      </c>
      <c r="K963" s="23">
        <v>473.0</v>
      </c>
    </row>
    <row r="964">
      <c r="A964" s="7" t="s">
        <v>588</v>
      </c>
      <c r="B964" s="7" t="s">
        <v>589</v>
      </c>
      <c r="C964" s="8">
        <v>120.0</v>
      </c>
      <c r="D964" s="8">
        <v>999.0</v>
      </c>
      <c r="E964" s="19">
        <v>0.88</v>
      </c>
      <c r="F964" s="10">
        <v>3.9</v>
      </c>
      <c r="G964" s="11">
        <v>6491.0</v>
      </c>
      <c r="K964" s="23">
        <v>879.0</v>
      </c>
    </row>
    <row r="965">
      <c r="A965" s="7" t="s">
        <v>1030</v>
      </c>
      <c r="B965" s="7" t="s">
        <v>662</v>
      </c>
      <c r="C965" s="8">
        <v>657.0</v>
      </c>
      <c r="D965" s="8">
        <v>999.0</v>
      </c>
      <c r="E965" s="19">
        <v>0.34</v>
      </c>
      <c r="F965" s="10">
        <v>4.3</v>
      </c>
      <c r="G965" s="11">
        <v>13944.0</v>
      </c>
      <c r="K965" s="23">
        <v>342.0</v>
      </c>
    </row>
    <row r="966">
      <c r="A966" s="7" t="s">
        <v>1031</v>
      </c>
      <c r="B966" s="7" t="s">
        <v>692</v>
      </c>
      <c r="C966" s="8">
        <v>1995.0</v>
      </c>
      <c r="D966" s="8">
        <v>2895.0</v>
      </c>
      <c r="E966" s="19">
        <v>0.31</v>
      </c>
      <c r="F966" s="10">
        <v>4.6</v>
      </c>
      <c r="G966" s="11">
        <v>10760.0</v>
      </c>
      <c r="K966" s="23">
        <v>900.0</v>
      </c>
    </row>
    <row r="967">
      <c r="A967" s="7" t="s">
        <v>1032</v>
      </c>
      <c r="B967" s="7" t="s">
        <v>721</v>
      </c>
      <c r="C967" s="8">
        <v>1500.0</v>
      </c>
      <c r="D967" s="8">
        <v>1500.0</v>
      </c>
      <c r="E967" s="19">
        <v>0.0</v>
      </c>
      <c r="F967" s="10">
        <v>4.4</v>
      </c>
      <c r="G967" s="11">
        <v>25996.0</v>
      </c>
      <c r="K967" s="23">
        <v>0.0</v>
      </c>
    </row>
    <row r="968">
      <c r="A968" s="7" t="s">
        <v>1033</v>
      </c>
      <c r="B968" s="7" t="s">
        <v>647</v>
      </c>
      <c r="C968" s="8">
        <v>2640.0</v>
      </c>
      <c r="D968" s="8">
        <v>3195.0</v>
      </c>
      <c r="E968" s="19">
        <v>0.17</v>
      </c>
      <c r="F968" s="10">
        <v>4.5</v>
      </c>
      <c r="G968" s="11">
        <v>16146.0</v>
      </c>
      <c r="K968" s="23">
        <v>555.0</v>
      </c>
    </row>
    <row r="969">
      <c r="A969" s="7" t="s">
        <v>1034</v>
      </c>
      <c r="B969" s="7" t="s">
        <v>940</v>
      </c>
      <c r="C969" s="8">
        <v>5299.0</v>
      </c>
      <c r="D969" s="8">
        <v>6355.0</v>
      </c>
      <c r="E969" s="19">
        <v>0.17</v>
      </c>
      <c r="F969" s="10">
        <v>3.9</v>
      </c>
      <c r="G969" s="11">
        <v>8280.0</v>
      </c>
      <c r="K969" s="23">
        <v>1056.0</v>
      </c>
    </row>
    <row r="970">
      <c r="A970" s="7" t="s">
        <v>90</v>
      </c>
      <c r="B970" s="7" t="s">
        <v>15</v>
      </c>
      <c r="C970" s="8">
        <v>263.0</v>
      </c>
      <c r="D970" s="8">
        <v>699.0</v>
      </c>
      <c r="E970" s="19">
        <v>0.62</v>
      </c>
      <c r="F970" s="10">
        <v>4.1</v>
      </c>
      <c r="G970" s="10">
        <v>450.0</v>
      </c>
      <c r="K970" s="23">
        <v>436.0</v>
      </c>
    </row>
    <row r="971">
      <c r="A971" s="7" t="s">
        <v>1035</v>
      </c>
      <c r="B971" s="7" t="s">
        <v>999</v>
      </c>
      <c r="C971" s="8">
        <v>1990.0</v>
      </c>
      <c r="D971" s="8">
        <v>2999.0</v>
      </c>
      <c r="E971" s="19">
        <v>0.34</v>
      </c>
      <c r="F971" s="10">
        <v>4.3</v>
      </c>
      <c r="G971" s="11">
        <v>14237.0</v>
      </c>
      <c r="K971" s="23">
        <v>1009.0</v>
      </c>
    </row>
    <row r="972">
      <c r="A972" s="7" t="s">
        <v>1036</v>
      </c>
      <c r="B972" s="7" t="s">
        <v>1037</v>
      </c>
      <c r="C972" s="8">
        <v>1289.0</v>
      </c>
      <c r="D972" s="8">
        <v>1499.0</v>
      </c>
      <c r="E972" s="19">
        <v>0.14</v>
      </c>
      <c r="F972" s="10">
        <v>4.5</v>
      </c>
      <c r="G972" s="11">
        <v>20668.0</v>
      </c>
      <c r="K972" s="23">
        <v>210.0</v>
      </c>
    </row>
    <row r="973">
      <c r="A973" s="7" t="s">
        <v>1038</v>
      </c>
      <c r="B973" s="7" t="s">
        <v>817</v>
      </c>
      <c r="C973" s="8">
        <v>165.0</v>
      </c>
      <c r="D973" s="8">
        <v>165.0</v>
      </c>
      <c r="E973" s="19">
        <v>0.0</v>
      </c>
      <c r="F973" s="10">
        <v>4.5</v>
      </c>
      <c r="G973" s="11">
        <v>1674.0</v>
      </c>
      <c r="K973" s="23">
        <v>0.0</v>
      </c>
    </row>
    <row r="974">
      <c r="A974" s="7" t="s">
        <v>1039</v>
      </c>
      <c r="B974" s="7" t="s">
        <v>895</v>
      </c>
      <c r="C974" s="8">
        <v>1699.0</v>
      </c>
      <c r="D974" s="8">
        <v>3499.0</v>
      </c>
      <c r="E974" s="19">
        <v>0.51</v>
      </c>
      <c r="F974" s="10">
        <v>3.6</v>
      </c>
      <c r="G974" s="11">
        <v>7689.0</v>
      </c>
      <c r="K974" s="23">
        <v>1800.0</v>
      </c>
    </row>
    <row r="975">
      <c r="A975" s="7" t="s">
        <v>1040</v>
      </c>
      <c r="B975" s="7" t="s">
        <v>769</v>
      </c>
      <c r="C975" s="8">
        <v>2299.0</v>
      </c>
      <c r="D975" s="8">
        <v>7500.0</v>
      </c>
      <c r="E975" s="19">
        <v>0.69</v>
      </c>
      <c r="F975" s="10">
        <v>4.1</v>
      </c>
      <c r="G975" s="11">
        <v>5554.0</v>
      </c>
      <c r="K975" s="23">
        <v>5201.0</v>
      </c>
    </row>
    <row r="976">
      <c r="A976" s="7" t="s">
        <v>94</v>
      </c>
      <c r="B976" s="7" t="s">
        <v>15</v>
      </c>
      <c r="C976" s="8">
        <v>219.0</v>
      </c>
      <c r="D976" s="8">
        <v>700.0</v>
      </c>
      <c r="E976" s="19">
        <v>0.69</v>
      </c>
      <c r="F976" s="10">
        <v>4.3</v>
      </c>
      <c r="G976" s="11">
        <v>20053.0</v>
      </c>
      <c r="K976" s="23">
        <v>481.0</v>
      </c>
    </row>
    <row r="977">
      <c r="A977" s="7" t="s">
        <v>1041</v>
      </c>
      <c r="B977" s="7" t="s">
        <v>759</v>
      </c>
      <c r="C977" s="8">
        <v>39.0</v>
      </c>
      <c r="D977" s="8">
        <v>39.0</v>
      </c>
      <c r="E977" s="19">
        <v>0.0</v>
      </c>
      <c r="F977" s="10">
        <v>3.8</v>
      </c>
      <c r="G977" s="11">
        <v>3344.0</v>
      </c>
      <c r="K977" s="23">
        <v>0.0</v>
      </c>
    </row>
    <row r="978">
      <c r="A978" s="7" t="s">
        <v>1042</v>
      </c>
      <c r="B978" s="7" t="s">
        <v>1043</v>
      </c>
      <c r="C978" s="8">
        <v>26999.0</v>
      </c>
      <c r="D978" s="8">
        <v>37999.0</v>
      </c>
      <c r="E978" s="19">
        <v>0.29</v>
      </c>
      <c r="F978" s="10">
        <v>4.6</v>
      </c>
      <c r="G978" s="11">
        <v>2886.0</v>
      </c>
      <c r="K978" s="23">
        <v>11000.0</v>
      </c>
    </row>
    <row r="979">
      <c r="A979" s="7" t="s">
        <v>1044</v>
      </c>
      <c r="B979" s="7" t="s">
        <v>393</v>
      </c>
      <c r="C979" s="8">
        <v>1490.0</v>
      </c>
      <c r="D979" s="8">
        <v>1990.0</v>
      </c>
      <c r="E979" s="19">
        <v>0.25</v>
      </c>
      <c r="F979" s="10">
        <v>4.1</v>
      </c>
      <c r="G979" s="11">
        <v>98250.0</v>
      </c>
      <c r="K979" s="23">
        <v>500.0</v>
      </c>
    </row>
    <row r="980">
      <c r="A980" s="7" t="s">
        <v>1045</v>
      </c>
      <c r="B980" s="7" t="s">
        <v>631</v>
      </c>
      <c r="C980" s="8">
        <v>398.0</v>
      </c>
      <c r="D980" s="8">
        <v>1949.0</v>
      </c>
      <c r="E980" s="19">
        <v>0.8</v>
      </c>
      <c r="F980" s="10">
        <v>4.0</v>
      </c>
      <c r="G980" s="10">
        <v>75.0</v>
      </c>
      <c r="K980" s="23">
        <v>1551.0</v>
      </c>
    </row>
    <row r="981">
      <c r="A981" s="7" t="s">
        <v>95</v>
      </c>
      <c r="B981" s="7" t="s">
        <v>15</v>
      </c>
      <c r="C981" s="8">
        <v>349.0</v>
      </c>
      <c r="D981" s="8">
        <v>899.0</v>
      </c>
      <c r="E981" s="19">
        <v>0.61</v>
      </c>
      <c r="F981" s="10">
        <v>4.5</v>
      </c>
      <c r="G981" s="10">
        <v>149.0</v>
      </c>
      <c r="K981" s="23">
        <v>550.0</v>
      </c>
    </row>
    <row r="982">
      <c r="A982" s="7" t="s">
        <v>1046</v>
      </c>
      <c r="B982" s="7" t="s">
        <v>895</v>
      </c>
      <c r="C982" s="8">
        <v>770.0</v>
      </c>
      <c r="D982" s="8">
        <v>1547.0</v>
      </c>
      <c r="E982" s="19">
        <v>0.5</v>
      </c>
      <c r="F982" s="10">
        <v>4.3</v>
      </c>
      <c r="G982" s="11">
        <v>2585.0</v>
      </c>
      <c r="K982" s="23">
        <v>777.0</v>
      </c>
    </row>
    <row r="983">
      <c r="A983" s="7" t="s">
        <v>1047</v>
      </c>
      <c r="B983" s="7" t="s">
        <v>450</v>
      </c>
      <c r="C983" s="8">
        <v>279.0</v>
      </c>
      <c r="D983" s="8">
        <v>1299.0</v>
      </c>
      <c r="E983" s="19">
        <v>0.79</v>
      </c>
      <c r="F983" s="10">
        <v>4.0</v>
      </c>
      <c r="G983" s="11">
        <v>5072.0</v>
      </c>
      <c r="K983" s="23">
        <v>1020.0</v>
      </c>
    </row>
    <row r="984">
      <c r="A984" s="7" t="s">
        <v>1048</v>
      </c>
      <c r="B984" s="7" t="s">
        <v>1049</v>
      </c>
      <c r="C984" s="8">
        <v>249.0</v>
      </c>
      <c r="D984" s="8">
        <v>599.0</v>
      </c>
      <c r="E984" s="19">
        <v>0.58</v>
      </c>
      <c r="F984" s="10">
        <v>4.5</v>
      </c>
      <c r="G984" s="11">
        <v>5985.0</v>
      </c>
      <c r="K984" s="23">
        <v>350.0</v>
      </c>
    </row>
    <row r="985">
      <c r="A985" s="7" t="s">
        <v>98</v>
      </c>
      <c r="B985" s="7" t="s">
        <v>15</v>
      </c>
      <c r="C985" s="8">
        <v>115.0</v>
      </c>
      <c r="D985" s="8">
        <v>499.0</v>
      </c>
      <c r="E985" s="19">
        <v>0.77</v>
      </c>
      <c r="F985" s="10">
        <v>4.0</v>
      </c>
      <c r="G985" s="11">
        <v>7732.0</v>
      </c>
      <c r="K985" s="23">
        <v>384.0</v>
      </c>
    </row>
    <row r="986">
      <c r="A986" s="7" t="s">
        <v>1050</v>
      </c>
      <c r="B986" s="7" t="s">
        <v>1051</v>
      </c>
      <c r="C986" s="8">
        <v>230.0</v>
      </c>
      <c r="D986" s="8">
        <v>230.0</v>
      </c>
      <c r="E986" s="19">
        <v>0.0</v>
      </c>
      <c r="F986" s="10">
        <v>4.5</v>
      </c>
      <c r="G986" s="11">
        <v>9427.0</v>
      </c>
      <c r="K986" s="23">
        <v>0.0</v>
      </c>
    </row>
    <row r="987">
      <c r="A987" s="7" t="s">
        <v>99</v>
      </c>
      <c r="B987" s="7" t="s">
        <v>15</v>
      </c>
      <c r="C987" s="8">
        <v>399.0</v>
      </c>
      <c r="D987" s="8">
        <v>999.0</v>
      </c>
      <c r="E987" s="19">
        <v>0.6</v>
      </c>
      <c r="F987" s="10">
        <v>4.1</v>
      </c>
      <c r="G987" s="11">
        <v>1780.0</v>
      </c>
      <c r="K987" s="23">
        <v>600.0</v>
      </c>
    </row>
    <row r="988">
      <c r="A988" s="7" t="s">
        <v>1052</v>
      </c>
      <c r="B988" s="7" t="s">
        <v>692</v>
      </c>
      <c r="C988" s="8">
        <v>599.0</v>
      </c>
      <c r="D988" s="8">
        <v>700.0</v>
      </c>
      <c r="E988" s="19">
        <v>0.14</v>
      </c>
      <c r="F988" s="10">
        <v>4.3</v>
      </c>
      <c r="G988" s="11">
        <v>2301.0</v>
      </c>
      <c r="K988" s="23">
        <v>101.0</v>
      </c>
    </row>
    <row r="989">
      <c r="A989" s="7" t="s">
        <v>1053</v>
      </c>
      <c r="B989" s="7" t="s">
        <v>1054</v>
      </c>
      <c r="C989" s="8">
        <v>598.0</v>
      </c>
      <c r="D989" s="8">
        <v>1150.0</v>
      </c>
      <c r="E989" s="19">
        <v>0.48</v>
      </c>
      <c r="F989" s="10">
        <v>4.1</v>
      </c>
      <c r="G989" s="11">
        <v>2535.0</v>
      </c>
      <c r="K989" s="23">
        <v>552.0</v>
      </c>
    </row>
    <row r="990">
      <c r="A990" s="7" t="s">
        <v>1055</v>
      </c>
      <c r="B990" s="7" t="s">
        <v>779</v>
      </c>
      <c r="C990" s="8">
        <v>399.0</v>
      </c>
      <c r="D990" s="8">
        <v>1499.0</v>
      </c>
      <c r="E990" s="19">
        <v>0.73</v>
      </c>
      <c r="F990" s="10">
        <v>4.0</v>
      </c>
      <c r="G990" s="10">
        <v>691.0</v>
      </c>
      <c r="K990" s="23">
        <v>1100.0</v>
      </c>
    </row>
    <row r="991">
      <c r="A991" s="7" t="s">
        <v>1056</v>
      </c>
      <c r="B991" s="7" t="s">
        <v>631</v>
      </c>
      <c r="C991" s="8">
        <v>499.0</v>
      </c>
      <c r="D991" s="8">
        <v>1299.0</v>
      </c>
      <c r="E991" s="19">
        <v>0.62</v>
      </c>
      <c r="F991" s="10">
        <v>4.1</v>
      </c>
      <c r="G991" s="11">
        <v>2740.0</v>
      </c>
      <c r="K991" s="23">
        <v>800.0</v>
      </c>
    </row>
    <row r="992">
      <c r="A992" s="7" t="s">
        <v>100</v>
      </c>
      <c r="B992" s="7" t="s">
        <v>15</v>
      </c>
      <c r="C992" s="8">
        <v>199.0</v>
      </c>
      <c r="D992" s="8">
        <v>499.0</v>
      </c>
      <c r="E992" s="19">
        <v>0.6</v>
      </c>
      <c r="F992" s="10">
        <v>4.1</v>
      </c>
      <c r="G992" s="10">
        <v>602.0</v>
      </c>
      <c r="K992" s="23">
        <v>300.0</v>
      </c>
    </row>
    <row r="993">
      <c r="A993" s="7" t="s">
        <v>1057</v>
      </c>
      <c r="B993" s="7" t="s">
        <v>625</v>
      </c>
      <c r="C993" s="8">
        <v>579.0</v>
      </c>
      <c r="D993" s="8">
        <v>1090.0</v>
      </c>
      <c r="E993" s="19">
        <v>0.47</v>
      </c>
      <c r="F993" s="10">
        <v>4.4</v>
      </c>
      <c r="G993" s="11">
        <v>3482.0</v>
      </c>
      <c r="K993" s="23">
        <v>511.0</v>
      </c>
    </row>
    <row r="994">
      <c r="A994" s="7" t="s">
        <v>101</v>
      </c>
      <c r="B994" s="7" t="s">
        <v>15</v>
      </c>
      <c r="C994" s="8">
        <v>179.0</v>
      </c>
      <c r="D994" s="8">
        <v>399.0</v>
      </c>
      <c r="E994" s="19">
        <v>0.55</v>
      </c>
      <c r="F994" s="10">
        <v>4.0</v>
      </c>
      <c r="G994" s="11">
        <v>1423.0</v>
      </c>
      <c r="K994" s="23">
        <v>220.0</v>
      </c>
    </row>
    <row r="995">
      <c r="A995" s="7" t="s">
        <v>1058</v>
      </c>
      <c r="B995" s="7" t="s">
        <v>1059</v>
      </c>
      <c r="C995" s="8">
        <v>90.0</v>
      </c>
      <c r="D995" s="8">
        <v>100.0</v>
      </c>
      <c r="E995" s="19">
        <v>0.1</v>
      </c>
      <c r="F995" s="10">
        <v>4.1</v>
      </c>
      <c r="G995" s="11">
        <v>6199.0</v>
      </c>
      <c r="K995" s="23">
        <v>10.0</v>
      </c>
    </row>
    <row r="996">
      <c r="A996" s="7" t="s">
        <v>1060</v>
      </c>
      <c r="B996" s="7" t="s">
        <v>631</v>
      </c>
      <c r="C996" s="8">
        <v>899.0</v>
      </c>
      <c r="D996" s="8">
        <v>1999.0</v>
      </c>
      <c r="E996" s="19">
        <v>0.55</v>
      </c>
      <c r="F996" s="10">
        <v>4.4</v>
      </c>
      <c r="G996" s="11">
        <v>1667.0</v>
      </c>
      <c r="K996" s="23">
        <v>1100.0</v>
      </c>
    </row>
    <row r="997">
      <c r="A997" s="7" t="s">
        <v>1061</v>
      </c>
      <c r="B997" s="7" t="s">
        <v>973</v>
      </c>
      <c r="C997" s="8">
        <v>1149.0</v>
      </c>
      <c r="D997" s="8">
        <v>1800.0</v>
      </c>
      <c r="E997" s="19">
        <v>0.36</v>
      </c>
      <c r="F997" s="10">
        <v>4.3</v>
      </c>
      <c r="G997" s="11">
        <v>4723.0</v>
      </c>
      <c r="K997" s="23">
        <v>651.0</v>
      </c>
    </row>
    <row r="998">
      <c r="A998" s="7" t="s">
        <v>1062</v>
      </c>
      <c r="B998" s="7" t="s">
        <v>806</v>
      </c>
      <c r="C998" s="8">
        <v>249.0</v>
      </c>
      <c r="D998" s="8">
        <v>499.0</v>
      </c>
      <c r="E998" s="19">
        <v>0.5</v>
      </c>
      <c r="F998" s="10">
        <v>4.2</v>
      </c>
      <c r="G998" s="11">
        <v>22860.0</v>
      </c>
      <c r="K998" s="23">
        <v>250.0</v>
      </c>
    </row>
    <row r="999">
      <c r="A999" s="7" t="s">
        <v>1063</v>
      </c>
      <c r="B999" s="7" t="s">
        <v>759</v>
      </c>
      <c r="C999" s="8">
        <v>39.0</v>
      </c>
      <c r="D999" s="8">
        <v>39.0</v>
      </c>
      <c r="E999" s="19">
        <v>0.0</v>
      </c>
      <c r="F999" s="10">
        <v>3.6</v>
      </c>
      <c r="G999" s="11">
        <v>13572.0</v>
      </c>
      <c r="K999" s="23">
        <v>0.0</v>
      </c>
    </row>
    <row r="1000">
      <c r="A1000" s="7" t="s">
        <v>1064</v>
      </c>
      <c r="B1000" s="7" t="s">
        <v>676</v>
      </c>
      <c r="C1000" s="8">
        <v>1599.0</v>
      </c>
      <c r="D1000" s="8">
        <v>3599.0</v>
      </c>
      <c r="E1000" s="19">
        <v>0.56</v>
      </c>
      <c r="F1000" s="10">
        <v>4.2</v>
      </c>
      <c r="G1000" s="11">
        <v>16182.0</v>
      </c>
      <c r="K1000" s="23">
        <v>2000.0</v>
      </c>
    </row>
    <row r="1001">
      <c r="A1001" s="7" t="s">
        <v>1065</v>
      </c>
      <c r="B1001" s="7" t="s">
        <v>719</v>
      </c>
      <c r="C1001" s="8">
        <v>1199.0</v>
      </c>
      <c r="D1001" s="8">
        <v>3990.0</v>
      </c>
      <c r="E1001" s="19">
        <v>0.7</v>
      </c>
      <c r="F1001" s="10">
        <v>4.2</v>
      </c>
      <c r="G1001" s="11">
        <v>2908.0</v>
      </c>
      <c r="K1001" s="23">
        <v>2791.0</v>
      </c>
    </row>
    <row r="1002">
      <c r="A1002" s="7" t="s">
        <v>103</v>
      </c>
      <c r="B1002" s="7" t="s">
        <v>15</v>
      </c>
      <c r="C1002" s="8">
        <v>209.0</v>
      </c>
      <c r="D1002" s="8">
        <v>499.0</v>
      </c>
      <c r="E1002" s="19">
        <v>0.58</v>
      </c>
      <c r="F1002" s="10">
        <v>3.9</v>
      </c>
      <c r="G1002" s="10">
        <v>536.0</v>
      </c>
      <c r="K1002" s="23">
        <v>290.0</v>
      </c>
    </row>
    <row r="1003">
      <c r="A1003" s="7" t="s">
        <v>1066</v>
      </c>
      <c r="B1003" s="7" t="s">
        <v>625</v>
      </c>
      <c r="C1003" s="8">
        <v>1099.0</v>
      </c>
      <c r="D1003" s="8">
        <v>1499.0</v>
      </c>
      <c r="E1003" s="19">
        <v>0.27</v>
      </c>
      <c r="F1003" s="10">
        <v>4.2</v>
      </c>
      <c r="G1003" s="11">
        <v>2375.0</v>
      </c>
      <c r="K1003" s="23">
        <v>400.0</v>
      </c>
    </row>
    <row r="1004">
      <c r="A1004" s="7" t="s">
        <v>1067</v>
      </c>
      <c r="B1004" s="7" t="s">
        <v>817</v>
      </c>
      <c r="C1004" s="8">
        <v>120.0</v>
      </c>
      <c r="D1004" s="8">
        <v>120.0</v>
      </c>
      <c r="E1004" s="19">
        <v>0.0</v>
      </c>
      <c r="F1004" s="10">
        <v>4.5</v>
      </c>
      <c r="G1004" s="11">
        <v>4951.0</v>
      </c>
      <c r="K1004" s="23">
        <v>0.0</v>
      </c>
    </row>
    <row r="1005">
      <c r="A1005" s="7" t="s">
        <v>1068</v>
      </c>
      <c r="B1005" s="7" t="s">
        <v>973</v>
      </c>
      <c r="C1005" s="8">
        <v>1519.0</v>
      </c>
      <c r="D1005" s="8">
        <v>3499.0</v>
      </c>
      <c r="E1005" s="19">
        <v>0.57</v>
      </c>
      <c r="F1005" s="10">
        <v>4.3</v>
      </c>
      <c r="G1005" s="10">
        <v>408.0</v>
      </c>
      <c r="K1005" s="23">
        <v>1980.0</v>
      </c>
    </row>
    <row r="1006">
      <c r="A1006" s="7" t="s">
        <v>1069</v>
      </c>
      <c r="B1006" s="7" t="s">
        <v>1059</v>
      </c>
      <c r="C1006" s="8">
        <v>420.0</v>
      </c>
      <c r="D1006" s="8">
        <v>420.0</v>
      </c>
      <c r="E1006" s="19">
        <v>0.0</v>
      </c>
      <c r="F1006" s="10">
        <v>4.2</v>
      </c>
      <c r="G1006" s="11">
        <v>1926.0</v>
      </c>
      <c r="K1006" s="23">
        <v>0.0</v>
      </c>
    </row>
    <row r="1007">
      <c r="A1007" s="7" t="s">
        <v>1070</v>
      </c>
      <c r="B1007" s="7" t="s">
        <v>1071</v>
      </c>
      <c r="C1007" s="8">
        <v>225.0</v>
      </c>
      <c r="D1007" s="8">
        <v>225.0</v>
      </c>
      <c r="E1007" s="19">
        <v>0.0</v>
      </c>
      <c r="F1007" s="10">
        <v>4.1</v>
      </c>
      <c r="G1007" s="11">
        <v>4798.0</v>
      </c>
      <c r="K1007" s="23">
        <v>0.0</v>
      </c>
    </row>
    <row r="1008">
      <c r="A1008" s="7" t="s">
        <v>1072</v>
      </c>
      <c r="B1008" s="7" t="s">
        <v>1073</v>
      </c>
      <c r="C1008" s="8">
        <v>199.0</v>
      </c>
      <c r="D1008" s="8">
        <v>799.0</v>
      </c>
      <c r="E1008" s="19">
        <v>0.75</v>
      </c>
      <c r="F1008" s="10">
        <v>4.1</v>
      </c>
      <c r="G1008" s="11">
        <v>7333.0</v>
      </c>
      <c r="K1008" s="23">
        <v>600.0</v>
      </c>
    </row>
    <row r="1009">
      <c r="A1009" s="7" t="s">
        <v>604</v>
      </c>
      <c r="B1009" s="7" t="s">
        <v>441</v>
      </c>
      <c r="C1009" s="8">
        <v>1799.0</v>
      </c>
      <c r="D1009" s="8">
        <v>3999.0</v>
      </c>
      <c r="E1009" s="19">
        <v>0.55</v>
      </c>
      <c r="F1009" s="10">
        <v>4.6</v>
      </c>
      <c r="G1009" s="10">
        <v>245.0</v>
      </c>
      <c r="K1009" s="23">
        <v>2200.0</v>
      </c>
    </row>
    <row r="1010">
      <c r="A1010" s="7" t="s">
        <v>1074</v>
      </c>
      <c r="B1010" s="7" t="s">
        <v>988</v>
      </c>
      <c r="C1010" s="8">
        <v>8349.0</v>
      </c>
      <c r="D1010" s="8">
        <v>9625.0</v>
      </c>
      <c r="E1010" s="19">
        <v>0.13</v>
      </c>
      <c r="F1010" s="10">
        <v>3.8</v>
      </c>
      <c r="G1010" s="11">
        <v>3652.0</v>
      </c>
      <c r="K1010" s="23">
        <v>1276.0</v>
      </c>
    </row>
    <row r="1011">
      <c r="A1011" s="7" t="s">
        <v>1075</v>
      </c>
      <c r="B1011" s="7" t="s">
        <v>875</v>
      </c>
      <c r="C1011" s="8">
        <v>3307.0</v>
      </c>
      <c r="D1011" s="8">
        <v>6100.0</v>
      </c>
      <c r="E1011" s="19">
        <v>0.46</v>
      </c>
      <c r="F1011" s="10">
        <v>4.3</v>
      </c>
      <c r="G1011" s="11">
        <v>2515.0</v>
      </c>
      <c r="K1011" s="23">
        <v>2793.0</v>
      </c>
    </row>
    <row r="1012">
      <c r="A1012" s="7" t="s">
        <v>109</v>
      </c>
      <c r="B1012" s="7" t="s">
        <v>15</v>
      </c>
      <c r="C1012" s="8">
        <v>325.0</v>
      </c>
      <c r="D1012" s="8">
        <v>1299.0</v>
      </c>
      <c r="E1012" s="19">
        <v>0.75</v>
      </c>
      <c r="F1012" s="10">
        <v>4.2</v>
      </c>
      <c r="G1012" s="11">
        <v>10576.0</v>
      </c>
      <c r="K1012" s="23">
        <v>974.0</v>
      </c>
    </row>
    <row r="1013">
      <c r="A1013" s="7" t="s">
        <v>1076</v>
      </c>
      <c r="B1013" s="7" t="s">
        <v>622</v>
      </c>
      <c r="C1013" s="8">
        <v>449.0</v>
      </c>
      <c r="D1013" s="8">
        <v>1300.0</v>
      </c>
      <c r="E1013" s="19">
        <v>0.65</v>
      </c>
      <c r="F1013" s="10">
        <v>4.2</v>
      </c>
      <c r="G1013" s="11">
        <v>4959.0</v>
      </c>
      <c r="K1013" s="23">
        <v>851.0</v>
      </c>
    </row>
    <row r="1014">
      <c r="A1014" s="7" t="s">
        <v>1077</v>
      </c>
      <c r="B1014" s="7" t="s">
        <v>652</v>
      </c>
      <c r="C1014" s="8">
        <v>380.0</v>
      </c>
      <c r="D1014" s="8">
        <v>400.0</v>
      </c>
      <c r="E1014" s="19">
        <v>0.05</v>
      </c>
      <c r="F1014" s="10">
        <v>4.4</v>
      </c>
      <c r="G1014" s="11">
        <v>2111.0</v>
      </c>
      <c r="K1014" s="23">
        <v>20.0</v>
      </c>
    </row>
    <row r="1015">
      <c r="A1015" s="7" t="s">
        <v>1078</v>
      </c>
      <c r="B1015" s="7" t="s">
        <v>627</v>
      </c>
      <c r="C1015" s="8">
        <v>499.0</v>
      </c>
      <c r="D1015" s="8">
        <v>1399.0</v>
      </c>
      <c r="E1015" s="19">
        <v>0.64</v>
      </c>
      <c r="F1015" s="10">
        <v>3.9</v>
      </c>
      <c r="G1015" s="11">
        <v>1462.0</v>
      </c>
      <c r="K1015" s="23">
        <v>900.0</v>
      </c>
    </row>
    <row r="1016">
      <c r="A1016" s="7" t="s">
        <v>1079</v>
      </c>
      <c r="B1016" s="7" t="s">
        <v>1080</v>
      </c>
      <c r="C1016" s="8">
        <v>37247.0</v>
      </c>
      <c r="D1016" s="8">
        <v>59890.0</v>
      </c>
      <c r="E1016" s="19">
        <v>0.38</v>
      </c>
      <c r="F1016" s="10">
        <v>4.0</v>
      </c>
      <c r="G1016" s="10">
        <v>323.0</v>
      </c>
      <c r="K1016" s="23">
        <v>22643.0</v>
      </c>
    </row>
    <row r="1017">
      <c r="A1017" s="7" t="s">
        <v>1081</v>
      </c>
      <c r="B1017" s="7" t="s">
        <v>572</v>
      </c>
      <c r="C1017" s="8">
        <v>849.0</v>
      </c>
      <c r="D1017" s="8">
        <v>2490.0</v>
      </c>
      <c r="E1017" s="19">
        <v>0.66</v>
      </c>
      <c r="F1017" s="10">
        <v>4.2</v>
      </c>
      <c r="G1017" s="11">
        <v>91188.0</v>
      </c>
      <c r="K1017" s="23">
        <v>1641.0</v>
      </c>
    </row>
    <row r="1018">
      <c r="A1018" s="7" t="s">
        <v>1082</v>
      </c>
      <c r="B1018" s="7" t="s">
        <v>804</v>
      </c>
      <c r="C1018" s="8">
        <v>799.0</v>
      </c>
      <c r="D1018" s="8">
        <v>1999.0</v>
      </c>
      <c r="E1018" s="19">
        <v>0.6</v>
      </c>
      <c r="F1018" s="10">
        <v>3.7</v>
      </c>
      <c r="G1018" s="10">
        <v>418.0</v>
      </c>
      <c r="K1018" s="23">
        <v>1200.0</v>
      </c>
    </row>
    <row r="1019">
      <c r="A1019" s="7" t="s">
        <v>616</v>
      </c>
      <c r="B1019" s="7" t="s">
        <v>502</v>
      </c>
      <c r="C1019" s="8">
        <v>2599.0</v>
      </c>
      <c r="D1019" s="8">
        <v>6999.0</v>
      </c>
      <c r="E1019" s="19">
        <v>0.63</v>
      </c>
      <c r="F1019" s="10">
        <v>4.5</v>
      </c>
      <c r="G1019" s="11">
        <v>1526.0</v>
      </c>
      <c r="K1019" s="23">
        <v>4400.0</v>
      </c>
    </row>
    <row r="1020">
      <c r="A1020" s="7" t="s">
        <v>113</v>
      </c>
      <c r="B1020" s="7" t="s">
        <v>15</v>
      </c>
      <c r="C1020" s="8">
        <v>199.0</v>
      </c>
      <c r="D1020" s="8">
        <v>999.0</v>
      </c>
      <c r="E1020" s="19">
        <v>0.8</v>
      </c>
      <c r="F1020" s="10">
        <v>4.5</v>
      </c>
      <c r="G1020" s="10">
        <v>127.0</v>
      </c>
      <c r="K1020" s="23">
        <v>800.0</v>
      </c>
    </row>
    <row r="1021">
      <c r="A1021" s="7" t="s">
        <v>115</v>
      </c>
      <c r="B1021" s="7" t="s">
        <v>25</v>
      </c>
      <c r="C1021" s="8">
        <v>269.0</v>
      </c>
      <c r="D1021" s="8">
        <v>800.0</v>
      </c>
      <c r="E1021" s="19">
        <v>0.66</v>
      </c>
      <c r="F1021" s="10">
        <v>3.6</v>
      </c>
      <c r="G1021" s="11">
        <v>10134.0</v>
      </c>
      <c r="K1021" s="23">
        <v>531.0</v>
      </c>
    </row>
    <row r="1022">
      <c r="A1022" s="7" t="s">
        <v>1083</v>
      </c>
      <c r="B1022" s="7" t="s">
        <v>759</v>
      </c>
      <c r="C1022" s="8">
        <v>298.0</v>
      </c>
      <c r="D1022" s="8">
        <v>999.0</v>
      </c>
      <c r="E1022" s="19">
        <v>0.7</v>
      </c>
      <c r="F1022" s="10">
        <v>4.3</v>
      </c>
      <c r="G1022" s="11">
        <v>1552.0</v>
      </c>
      <c r="K1022" s="23">
        <v>701.0</v>
      </c>
    </row>
    <row r="1023">
      <c r="A1023" s="7" t="s">
        <v>1084</v>
      </c>
      <c r="B1023" s="7" t="s">
        <v>804</v>
      </c>
      <c r="C1023" s="8">
        <v>1499.0</v>
      </c>
      <c r="D1023" s="8">
        <v>2999.0</v>
      </c>
      <c r="E1023" s="19">
        <v>0.5</v>
      </c>
      <c r="F1023" s="10">
        <v>4.1</v>
      </c>
      <c r="G1023" s="11">
        <v>25262.0</v>
      </c>
      <c r="K1023" s="23">
        <v>1500.0</v>
      </c>
    </row>
    <row r="1024">
      <c r="A1024" s="7" t="s">
        <v>1085</v>
      </c>
      <c r="B1024" s="7" t="s">
        <v>1086</v>
      </c>
      <c r="C1024" s="8">
        <v>649.0</v>
      </c>
      <c r="D1024" s="8">
        <v>1245.0</v>
      </c>
      <c r="E1024" s="19">
        <v>0.48</v>
      </c>
      <c r="F1024" s="10">
        <v>3.9</v>
      </c>
      <c r="G1024" s="7" t="s">
        <v>1087</v>
      </c>
      <c r="K1024" s="23">
        <v>596.0</v>
      </c>
    </row>
    <row r="1025">
      <c r="A1025" s="7" t="s">
        <v>1088</v>
      </c>
      <c r="B1025" s="7" t="s">
        <v>1089</v>
      </c>
      <c r="C1025" s="8">
        <v>1199.0</v>
      </c>
      <c r="D1025" s="8">
        <v>1695.0</v>
      </c>
      <c r="E1025" s="19">
        <v>0.29</v>
      </c>
      <c r="F1025" s="10">
        <v>3.6</v>
      </c>
      <c r="G1025" s="11">
        <v>13300.0</v>
      </c>
      <c r="K1025" s="23">
        <v>496.0</v>
      </c>
    </row>
    <row r="1026">
      <c r="A1026" s="7" t="s">
        <v>1090</v>
      </c>
      <c r="B1026" s="7" t="s">
        <v>1091</v>
      </c>
      <c r="C1026" s="8">
        <v>1199.0</v>
      </c>
      <c r="D1026" s="8">
        <v>2000.0</v>
      </c>
      <c r="E1026" s="19">
        <v>0.4</v>
      </c>
      <c r="F1026" s="10">
        <v>4.0</v>
      </c>
      <c r="G1026" s="11">
        <v>18543.0</v>
      </c>
      <c r="K1026" s="23">
        <v>801.0</v>
      </c>
    </row>
    <row r="1027">
      <c r="A1027" s="7" t="s">
        <v>1092</v>
      </c>
      <c r="B1027" s="7" t="s">
        <v>1093</v>
      </c>
      <c r="C1027" s="8">
        <v>455.0</v>
      </c>
      <c r="D1027" s="8">
        <v>999.0</v>
      </c>
      <c r="E1027" s="19">
        <v>0.54</v>
      </c>
      <c r="F1027" s="10">
        <v>4.1</v>
      </c>
      <c r="G1027" s="11">
        <v>3578.0</v>
      </c>
      <c r="K1027" s="23">
        <v>544.0</v>
      </c>
    </row>
    <row r="1028">
      <c r="A1028" s="7" t="s">
        <v>1094</v>
      </c>
      <c r="B1028" s="7" t="s">
        <v>1095</v>
      </c>
      <c r="C1028" s="8">
        <v>199.0</v>
      </c>
      <c r="D1028" s="8">
        <v>1999.0</v>
      </c>
      <c r="E1028" s="19">
        <v>0.9</v>
      </c>
      <c r="F1028" s="10">
        <v>3.7</v>
      </c>
      <c r="G1028" s="11">
        <v>2031.0</v>
      </c>
      <c r="K1028" s="23">
        <v>1800.0</v>
      </c>
    </row>
    <row r="1029">
      <c r="A1029" s="7" t="s">
        <v>1096</v>
      </c>
      <c r="B1029" s="7" t="s">
        <v>1095</v>
      </c>
      <c r="C1029" s="8">
        <v>293.0</v>
      </c>
      <c r="D1029" s="8">
        <v>499.0</v>
      </c>
      <c r="E1029" s="19">
        <v>0.41</v>
      </c>
      <c r="F1029" s="10">
        <v>3.9</v>
      </c>
      <c r="G1029" s="11">
        <v>44994.0</v>
      </c>
      <c r="K1029" s="23">
        <v>206.0</v>
      </c>
    </row>
    <row r="1030">
      <c r="A1030" s="7" t="s">
        <v>1097</v>
      </c>
      <c r="B1030" s="7" t="s">
        <v>1098</v>
      </c>
      <c r="C1030" s="8">
        <v>199.0</v>
      </c>
      <c r="D1030" s="8">
        <v>495.0</v>
      </c>
      <c r="E1030" s="19">
        <v>0.6</v>
      </c>
      <c r="F1030" s="10">
        <v>4.1</v>
      </c>
      <c r="G1030" s="7" t="s">
        <v>1099</v>
      </c>
      <c r="K1030" s="23">
        <v>296.0</v>
      </c>
    </row>
    <row r="1031">
      <c r="A1031" s="7" t="s">
        <v>1100</v>
      </c>
      <c r="B1031" s="7" t="s">
        <v>1086</v>
      </c>
      <c r="C1031" s="8">
        <v>749.0</v>
      </c>
      <c r="D1031" s="8">
        <v>1245.0</v>
      </c>
      <c r="E1031" s="19">
        <v>0.4</v>
      </c>
      <c r="F1031" s="10">
        <v>3.9</v>
      </c>
      <c r="G1031" s="11">
        <v>31783.0</v>
      </c>
      <c r="K1031" s="23">
        <v>496.0</v>
      </c>
    </row>
    <row r="1032">
      <c r="A1032" s="7" t="s">
        <v>1101</v>
      </c>
      <c r="B1032" s="7" t="s">
        <v>1089</v>
      </c>
      <c r="C1032" s="8">
        <v>1399.0</v>
      </c>
      <c r="D1032" s="8">
        <v>1549.0</v>
      </c>
      <c r="E1032" s="19">
        <v>0.1</v>
      </c>
      <c r="F1032" s="10">
        <v>3.9</v>
      </c>
      <c r="G1032" s="11">
        <v>2602.0</v>
      </c>
      <c r="K1032" s="23">
        <v>150.0</v>
      </c>
    </row>
    <row r="1033">
      <c r="A1033" s="7" t="s">
        <v>1102</v>
      </c>
      <c r="B1033" s="7" t="s">
        <v>1086</v>
      </c>
      <c r="C1033" s="8">
        <v>749.0</v>
      </c>
      <c r="D1033" s="8">
        <v>1445.0</v>
      </c>
      <c r="E1033" s="19">
        <v>0.48</v>
      </c>
      <c r="F1033" s="10">
        <v>3.9</v>
      </c>
      <c r="G1033" s="11">
        <v>63350.0</v>
      </c>
      <c r="K1033" s="23">
        <v>696.0</v>
      </c>
    </row>
    <row r="1034">
      <c r="A1034" s="7" t="s">
        <v>1103</v>
      </c>
      <c r="B1034" s="7" t="s">
        <v>1104</v>
      </c>
      <c r="C1034" s="8">
        <v>1699.0</v>
      </c>
      <c r="D1034" s="8">
        <v>3193.0</v>
      </c>
      <c r="E1034" s="19">
        <v>0.47</v>
      </c>
      <c r="F1034" s="10">
        <v>3.8</v>
      </c>
      <c r="G1034" s="11">
        <v>54032.0</v>
      </c>
      <c r="K1034" s="23">
        <v>1494.0</v>
      </c>
    </row>
    <row r="1035">
      <c r="A1035" s="7" t="s">
        <v>1105</v>
      </c>
      <c r="B1035" s="7" t="s">
        <v>1086</v>
      </c>
      <c r="C1035" s="8">
        <v>1043.0</v>
      </c>
      <c r="D1035" s="8">
        <v>1345.0</v>
      </c>
      <c r="E1035" s="19">
        <v>0.22</v>
      </c>
      <c r="F1035" s="10">
        <v>3.8</v>
      </c>
      <c r="G1035" s="11">
        <v>15592.0</v>
      </c>
      <c r="K1035" s="23">
        <v>302.0</v>
      </c>
    </row>
    <row r="1036">
      <c r="A1036" s="7" t="s">
        <v>1106</v>
      </c>
      <c r="B1036" s="7" t="s">
        <v>1093</v>
      </c>
      <c r="C1036" s="8">
        <v>499.0</v>
      </c>
      <c r="D1036" s="8">
        <v>999.0</v>
      </c>
      <c r="E1036" s="19">
        <v>0.5</v>
      </c>
      <c r="F1036" s="10">
        <v>4.1</v>
      </c>
      <c r="G1036" s="11">
        <v>4859.0</v>
      </c>
      <c r="K1036" s="23">
        <v>500.0</v>
      </c>
    </row>
    <row r="1037">
      <c r="A1037" s="7" t="s">
        <v>1107</v>
      </c>
      <c r="B1037" s="7" t="s">
        <v>1091</v>
      </c>
      <c r="C1037" s="8">
        <v>1464.0</v>
      </c>
      <c r="D1037" s="8">
        <v>1650.0</v>
      </c>
      <c r="E1037" s="19">
        <v>0.11</v>
      </c>
      <c r="F1037" s="10">
        <v>4.1</v>
      </c>
      <c r="G1037" s="11">
        <v>14120.0</v>
      </c>
      <c r="K1037" s="23">
        <v>186.0</v>
      </c>
    </row>
    <row r="1038">
      <c r="A1038" s="7" t="s">
        <v>1108</v>
      </c>
      <c r="B1038" s="7" t="s">
        <v>1109</v>
      </c>
      <c r="C1038" s="8">
        <v>249.0</v>
      </c>
      <c r="D1038" s="8">
        <v>499.0</v>
      </c>
      <c r="E1038" s="19">
        <v>0.5</v>
      </c>
      <c r="F1038" s="10">
        <v>3.3</v>
      </c>
      <c r="G1038" s="11">
        <v>8427.0</v>
      </c>
      <c r="K1038" s="23">
        <v>250.0</v>
      </c>
    </row>
    <row r="1039">
      <c r="A1039" s="7" t="s">
        <v>1110</v>
      </c>
      <c r="B1039" s="7" t="s">
        <v>1111</v>
      </c>
      <c r="C1039" s="8">
        <v>625.0</v>
      </c>
      <c r="D1039" s="8">
        <v>1400.0</v>
      </c>
      <c r="E1039" s="19">
        <v>0.55</v>
      </c>
      <c r="F1039" s="10">
        <v>4.2</v>
      </c>
      <c r="G1039" s="11">
        <v>23316.0</v>
      </c>
      <c r="K1039" s="23">
        <v>775.0</v>
      </c>
    </row>
    <row r="1040">
      <c r="A1040" s="7" t="s">
        <v>1112</v>
      </c>
      <c r="B1040" s="7" t="s">
        <v>1113</v>
      </c>
      <c r="C1040" s="8">
        <v>1290.0</v>
      </c>
      <c r="D1040" s="8">
        <v>2500.0</v>
      </c>
      <c r="E1040" s="19">
        <v>0.48</v>
      </c>
      <c r="F1040" s="10">
        <v>4.0</v>
      </c>
      <c r="G1040" s="11">
        <v>6530.0</v>
      </c>
      <c r="K1040" s="23">
        <v>1210.0</v>
      </c>
    </row>
    <row r="1041">
      <c r="A1041" s="7" t="s">
        <v>1114</v>
      </c>
      <c r="B1041" s="7" t="s">
        <v>1115</v>
      </c>
      <c r="C1041" s="8">
        <v>3600.0</v>
      </c>
      <c r="D1041" s="8">
        <v>6190.0</v>
      </c>
      <c r="E1041" s="19">
        <v>0.42</v>
      </c>
      <c r="F1041" s="10">
        <v>4.3</v>
      </c>
      <c r="G1041" s="11">
        <v>11924.0</v>
      </c>
      <c r="K1041" s="23">
        <v>2590.0</v>
      </c>
    </row>
    <row r="1042">
      <c r="A1042" s="7" t="s">
        <v>1116</v>
      </c>
      <c r="B1042" s="7" t="s">
        <v>1117</v>
      </c>
      <c r="C1042" s="8">
        <v>6549.0</v>
      </c>
      <c r="D1042" s="8">
        <v>13999.0</v>
      </c>
      <c r="E1042" s="19">
        <v>0.53</v>
      </c>
      <c r="F1042" s="10">
        <v>4.0</v>
      </c>
      <c r="G1042" s="11">
        <v>2961.0</v>
      </c>
      <c r="K1042" s="23">
        <v>7450.0</v>
      </c>
    </row>
    <row r="1043">
      <c r="A1043" s="7" t="s">
        <v>1118</v>
      </c>
      <c r="B1043" s="7" t="s">
        <v>1086</v>
      </c>
      <c r="C1043" s="8">
        <v>1625.0</v>
      </c>
      <c r="D1043" s="8">
        <v>2995.0</v>
      </c>
      <c r="E1043" s="19">
        <v>0.46</v>
      </c>
      <c r="F1043" s="10">
        <v>4.5</v>
      </c>
      <c r="G1043" s="11">
        <v>23484.0</v>
      </c>
      <c r="K1043" s="23">
        <v>1370.0</v>
      </c>
    </row>
    <row r="1044">
      <c r="A1044" s="7" t="s">
        <v>1119</v>
      </c>
      <c r="B1044" s="7" t="s">
        <v>1115</v>
      </c>
      <c r="C1044" s="8">
        <v>2599.0</v>
      </c>
      <c r="D1044" s="8">
        <v>5890.0</v>
      </c>
      <c r="E1044" s="19">
        <v>0.56</v>
      </c>
      <c r="F1044" s="10">
        <v>4.1</v>
      </c>
      <c r="G1044" s="11">
        <v>21783.0</v>
      </c>
      <c r="K1044" s="23">
        <v>3291.0</v>
      </c>
    </row>
    <row r="1045">
      <c r="A1045" s="7" t="s">
        <v>1120</v>
      </c>
      <c r="B1045" s="7" t="s">
        <v>1121</v>
      </c>
      <c r="C1045" s="8">
        <v>1199.0</v>
      </c>
      <c r="D1045" s="8">
        <v>2000.0</v>
      </c>
      <c r="E1045" s="19">
        <v>0.4</v>
      </c>
      <c r="F1045" s="10">
        <v>4.0</v>
      </c>
      <c r="G1045" s="11">
        <v>14030.0</v>
      </c>
      <c r="K1045" s="23">
        <v>801.0</v>
      </c>
    </row>
    <row r="1046">
      <c r="A1046" s="7" t="s">
        <v>1122</v>
      </c>
      <c r="B1046" s="7" t="s">
        <v>1123</v>
      </c>
      <c r="C1046" s="8">
        <v>5499.0</v>
      </c>
      <c r="D1046" s="8">
        <v>13150.0</v>
      </c>
      <c r="E1046" s="19">
        <v>0.58</v>
      </c>
      <c r="F1046" s="10">
        <v>4.2</v>
      </c>
      <c r="G1046" s="11">
        <v>6398.0</v>
      </c>
      <c r="K1046" s="23">
        <v>7651.0</v>
      </c>
    </row>
    <row r="1047">
      <c r="A1047" s="7" t="s">
        <v>1124</v>
      </c>
      <c r="B1047" s="7" t="s">
        <v>1113</v>
      </c>
      <c r="C1047" s="8">
        <v>1299.0</v>
      </c>
      <c r="D1047" s="8">
        <v>3500.0</v>
      </c>
      <c r="E1047" s="19">
        <v>0.63</v>
      </c>
      <c r="F1047" s="10">
        <v>3.8</v>
      </c>
      <c r="G1047" s="11">
        <v>44050.0</v>
      </c>
      <c r="K1047" s="23">
        <v>2201.0</v>
      </c>
    </row>
    <row r="1048">
      <c r="A1048" s="7" t="s">
        <v>1125</v>
      </c>
      <c r="B1048" s="7" t="s">
        <v>1111</v>
      </c>
      <c r="C1048" s="8">
        <v>599.0</v>
      </c>
      <c r="D1048" s="8">
        <v>785.0</v>
      </c>
      <c r="E1048" s="19">
        <v>0.24</v>
      </c>
      <c r="F1048" s="10">
        <v>4.2</v>
      </c>
      <c r="G1048" s="11">
        <v>24247.0</v>
      </c>
      <c r="K1048" s="23">
        <v>186.0</v>
      </c>
    </row>
    <row r="1049">
      <c r="A1049" s="7" t="s">
        <v>1126</v>
      </c>
      <c r="B1049" s="7" t="s">
        <v>1113</v>
      </c>
      <c r="C1049" s="8">
        <v>1999.0</v>
      </c>
      <c r="D1049" s="8">
        <v>3210.0</v>
      </c>
      <c r="E1049" s="19">
        <v>0.38</v>
      </c>
      <c r="F1049" s="10">
        <v>4.2</v>
      </c>
      <c r="G1049" s="11">
        <v>41349.0</v>
      </c>
      <c r="K1049" s="23">
        <v>1211.0</v>
      </c>
    </row>
    <row r="1050">
      <c r="A1050" s="7" t="s">
        <v>1127</v>
      </c>
      <c r="B1050" s="7" t="s">
        <v>1121</v>
      </c>
      <c r="C1050" s="8">
        <v>549.0</v>
      </c>
      <c r="D1050" s="8">
        <v>1000.0</v>
      </c>
      <c r="E1050" s="19">
        <v>0.45</v>
      </c>
      <c r="F1050" s="10">
        <v>3.6</v>
      </c>
      <c r="G1050" s="11">
        <v>1074.0</v>
      </c>
      <c r="K1050" s="23">
        <v>451.0</v>
      </c>
    </row>
    <row r="1051">
      <c r="A1051" s="7" t="s">
        <v>1128</v>
      </c>
      <c r="B1051" s="7" t="s">
        <v>1089</v>
      </c>
      <c r="C1051" s="8">
        <v>999.0</v>
      </c>
      <c r="D1051" s="8">
        <v>2000.0</v>
      </c>
      <c r="E1051" s="19">
        <v>0.5</v>
      </c>
      <c r="F1051" s="10">
        <v>3.8</v>
      </c>
      <c r="G1051" s="11">
        <v>1163.0</v>
      </c>
      <c r="K1051" s="23">
        <v>1001.0</v>
      </c>
    </row>
    <row r="1052">
      <c r="A1052" s="7" t="s">
        <v>1129</v>
      </c>
      <c r="B1052" s="7" t="s">
        <v>1093</v>
      </c>
      <c r="C1052" s="8">
        <v>398.0</v>
      </c>
      <c r="D1052" s="8">
        <v>1999.0</v>
      </c>
      <c r="E1052" s="19">
        <v>0.8</v>
      </c>
      <c r="F1052" s="10">
        <v>4.1</v>
      </c>
      <c r="G1052" s="10">
        <v>257.0</v>
      </c>
      <c r="K1052" s="23">
        <v>1601.0</v>
      </c>
    </row>
    <row r="1053">
      <c r="A1053" s="7" t="s">
        <v>1130</v>
      </c>
      <c r="B1053" s="7" t="s">
        <v>1131</v>
      </c>
      <c r="C1053" s="8">
        <v>539.0</v>
      </c>
      <c r="D1053" s="8">
        <v>720.0</v>
      </c>
      <c r="E1053" s="19">
        <v>0.25</v>
      </c>
      <c r="F1053" s="10">
        <v>4.1</v>
      </c>
      <c r="G1053" s="11">
        <v>36017.0</v>
      </c>
      <c r="K1053" s="23">
        <v>181.0</v>
      </c>
    </row>
    <row r="1054">
      <c r="A1054" s="7" t="s">
        <v>1132</v>
      </c>
      <c r="B1054" s="7" t="s">
        <v>1086</v>
      </c>
      <c r="C1054" s="8">
        <v>699.0</v>
      </c>
      <c r="D1054" s="8">
        <v>1595.0</v>
      </c>
      <c r="E1054" s="19">
        <v>0.56</v>
      </c>
      <c r="F1054" s="10">
        <v>4.1</v>
      </c>
      <c r="G1054" s="11">
        <v>8090.0</v>
      </c>
      <c r="K1054" s="23">
        <v>896.0</v>
      </c>
    </row>
    <row r="1055">
      <c r="A1055" s="7" t="s">
        <v>1133</v>
      </c>
      <c r="B1055" s="7" t="s">
        <v>1104</v>
      </c>
      <c r="C1055" s="8">
        <v>2148.0</v>
      </c>
      <c r="D1055" s="8">
        <v>3645.0</v>
      </c>
      <c r="E1055" s="19">
        <v>0.41</v>
      </c>
      <c r="F1055" s="10">
        <v>4.1</v>
      </c>
      <c r="G1055" s="11">
        <v>31388.0</v>
      </c>
      <c r="K1055" s="23">
        <v>1497.0</v>
      </c>
    </row>
    <row r="1056">
      <c r="A1056" s="7" t="s">
        <v>1134</v>
      </c>
      <c r="B1056" s="7" t="s">
        <v>1135</v>
      </c>
      <c r="C1056" s="8">
        <v>3599.0</v>
      </c>
      <c r="D1056" s="8">
        <v>7950.0</v>
      </c>
      <c r="E1056" s="19">
        <v>0.55</v>
      </c>
      <c r="F1056" s="10">
        <v>4.2</v>
      </c>
      <c r="G1056" s="10">
        <v>136.0</v>
      </c>
      <c r="K1056" s="23">
        <v>4351.0</v>
      </c>
    </row>
    <row r="1057">
      <c r="A1057" s="7" t="s">
        <v>1136</v>
      </c>
      <c r="B1057" s="7" t="s">
        <v>1137</v>
      </c>
      <c r="C1057" s="8">
        <v>351.0</v>
      </c>
      <c r="D1057" s="8">
        <v>999.0</v>
      </c>
      <c r="E1057" s="19">
        <v>0.65</v>
      </c>
      <c r="F1057" s="10">
        <v>4.0</v>
      </c>
      <c r="G1057" s="11">
        <v>5380.0</v>
      </c>
      <c r="K1057" s="23">
        <v>648.0</v>
      </c>
    </row>
    <row r="1058">
      <c r="A1058" s="7" t="s">
        <v>1138</v>
      </c>
      <c r="B1058" s="7" t="s">
        <v>1139</v>
      </c>
      <c r="C1058" s="8">
        <v>1614.0</v>
      </c>
      <c r="D1058" s="8">
        <v>1745.0</v>
      </c>
      <c r="E1058" s="19">
        <v>0.08</v>
      </c>
      <c r="F1058" s="10">
        <v>4.3</v>
      </c>
      <c r="G1058" s="11">
        <v>37974.0</v>
      </c>
      <c r="K1058" s="23">
        <v>131.0</v>
      </c>
    </row>
    <row r="1059">
      <c r="A1059" s="7" t="s">
        <v>1140</v>
      </c>
      <c r="B1059" s="7" t="s">
        <v>1131</v>
      </c>
      <c r="C1059" s="8">
        <v>719.0</v>
      </c>
      <c r="D1059" s="8">
        <v>1295.0</v>
      </c>
      <c r="E1059" s="19">
        <v>0.44</v>
      </c>
      <c r="F1059" s="10">
        <v>4.2</v>
      </c>
      <c r="G1059" s="11">
        <v>17218.0</v>
      </c>
      <c r="K1059" s="23">
        <v>576.0</v>
      </c>
    </row>
    <row r="1060">
      <c r="A1060" s="7" t="s">
        <v>1141</v>
      </c>
      <c r="B1060" s="7" t="s">
        <v>1093</v>
      </c>
      <c r="C1060" s="8">
        <v>678.0</v>
      </c>
      <c r="D1060" s="8">
        <v>1499.0</v>
      </c>
      <c r="E1060" s="19">
        <v>0.55</v>
      </c>
      <c r="F1060" s="10">
        <v>4.2</v>
      </c>
      <c r="G1060" s="10">
        <v>900.0</v>
      </c>
      <c r="K1060" s="23">
        <v>821.0</v>
      </c>
    </row>
    <row r="1061">
      <c r="A1061" s="7" t="s">
        <v>1142</v>
      </c>
      <c r="B1061" s="7" t="s">
        <v>1121</v>
      </c>
      <c r="C1061" s="8">
        <v>809.0</v>
      </c>
      <c r="D1061" s="8">
        <v>1545.0</v>
      </c>
      <c r="E1061" s="19">
        <v>0.48</v>
      </c>
      <c r="F1061" s="10">
        <v>3.7</v>
      </c>
      <c r="G1061" s="10">
        <v>976.0</v>
      </c>
      <c r="K1061" s="23">
        <v>736.0</v>
      </c>
    </row>
    <row r="1062">
      <c r="A1062" s="7" t="s">
        <v>1143</v>
      </c>
      <c r="B1062" s="7" t="s">
        <v>1144</v>
      </c>
      <c r="C1062" s="8">
        <v>1969.0</v>
      </c>
      <c r="D1062" s="8">
        <v>5000.0</v>
      </c>
      <c r="E1062" s="19">
        <v>0.61</v>
      </c>
      <c r="F1062" s="10">
        <v>4.1</v>
      </c>
      <c r="G1062" s="11">
        <v>4927.0</v>
      </c>
      <c r="K1062" s="23">
        <v>3031.0</v>
      </c>
    </row>
    <row r="1063">
      <c r="A1063" s="7" t="s">
        <v>1145</v>
      </c>
      <c r="B1063" s="7" t="s">
        <v>1093</v>
      </c>
      <c r="C1063" s="8">
        <v>1490.0</v>
      </c>
      <c r="D1063" s="8">
        <v>1695.0</v>
      </c>
      <c r="E1063" s="19">
        <v>0.12</v>
      </c>
      <c r="F1063" s="10">
        <v>4.4</v>
      </c>
      <c r="G1063" s="11">
        <v>3543.0</v>
      </c>
      <c r="K1063" s="23">
        <v>205.0</v>
      </c>
    </row>
    <row r="1064">
      <c r="A1064" s="7" t="s">
        <v>1146</v>
      </c>
      <c r="B1064" s="7" t="s">
        <v>1089</v>
      </c>
      <c r="C1064" s="8">
        <v>2499.0</v>
      </c>
      <c r="D1064" s="8">
        <v>3945.0</v>
      </c>
      <c r="E1064" s="19">
        <v>0.37</v>
      </c>
      <c r="F1064" s="10">
        <v>3.8</v>
      </c>
      <c r="G1064" s="11">
        <v>2732.0</v>
      </c>
      <c r="K1064" s="23">
        <v>1446.0</v>
      </c>
    </row>
    <row r="1065">
      <c r="A1065" s="7" t="s">
        <v>1147</v>
      </c>
      <c r="B1065" s="7" t="s">
        <v>1148</v>
      </c>
      <c r="C1065" s="8">
        <v>1665.0</v>
      </c>
      <c r="D1065" s="8">
        <v>2099.0</v>
      </c>
      <c r="E1065" s="19">
        <v>0.21</v>
      </c>
      <c r="F1065" s="10">
        <v>4.0</v>
      </c>
      <c r="G1065" s="11">
        <v>14368.0</v>
      </c>
      <c r="K1065" s="23">
        <v>434.0</v>
      </c>
    </row>
    <row r="1066">
      <c r="A1066" s="7" t="s">
        <v>1149</v>
      </c>
      <c r="B1066" s="7" t="s">
        <v>1104</v>
      </c>
      <c r="C1066" s="8">
        <v>3229.0</v>
      </c>
      <c r="D1066" s="8">
        <v>5295.0</v>
      </c>
      <c r="E1066" s="19">
        <v>0.39</v>
      </c>
      <c r="F1066" s="10">
        <v>4.2</v>
      </c>
      <c r="G1066" s="11">
        <v>39724.0</v>
      </c>
      <c r="K1066" s="23">
        <v>2066.0</v>
      </c>
    </row>
    <row r="1067">
      <c r="A1067" s="7" t="s">
        <v>1150</v>
      </c>
      <c r="B1067" s="7" t="s">
        <v>1104</v>
      </c>
      <c r="C1067" s="8">
        <v>1799.0</v>
      </c>
      <c r="D1067" s="8">
        <v>3595.0</v>
      </c>
      <c r="E1067" s="19">
        <v>0.5</v>
      </c>
      <c r="F1067" s="10">
        <v>3.8</v>
      </c>
      <c r="G1067" s="11">
        <v>9791.0</v>
      </c>
      <c r="K1067" s="23">
        <v>1796.0</v>
      </c>
    </row>
    <row r="1068">
      <c r="A1068" s="7" t="s">
        <v>1151</v>
      </c>
      <c r="B1068" s="7" t="s">
        <v>1086</v>
      </c>
      <c r="C1068" s="8">
        <v>1260.0</v>
      </c>
      <c r="D1068" s="8">
        <v>1699.0</v>
      </c>
      <c r="E1068" s="19">
        <v>0.26</v>
      </c>
      <c r="F1068" s="10">
        <v>4.2</v>
      </c>
      <c r="G1068" s="11">
        <v>2891.0</v>
      </c>
      <c r="K1068" s="23">
        <v>439.0</v>
      </c>
    </row>
    <row r="1069">
      <c r="A1069" s="7" t="s">
        <v>1152</v>
      </c>
      <c r="B1069" s="7" t="s">
        <v>1089</v>
      </c>
      <c r="C1069" s="8">
        <v>749.0</v>
      </c>
      <c r="D1069" s="8">
        <v>1129.0</v>
      </c>
      <c r="E1069" s="19">
        <v>0.34</v>
      </c>
      <c r="F1069" s="10">
        <v>4.0</v>
      </c>
      <c r="G1069" s="11">
        <v>2446.0</v>
      </c>
      <c r="K1069" s="23">
        <v>380.0</v>
      </c>
    </row>
    <row r="1070">
      <c r="A1070" s="7" t="s">
        <v>1153</v>
      </c>
      <c r="B1070" s="7" t="s">
        <v>1113</v>
      </c>
      <c r="C1070" s="8">
        <v>3499.0</v>
      </c>
      <c r="D1070" s="8">
        <v>5795.0</v>
      </c>
      <c r="E1070" s="19">
        <v>0.4</v>
      </c>
      <c r="F1070" s="10">
        <v>3.9</v>
      </c>
      <c r="G1070" s="11">
        <v>25340.0</v>
      </c>
      <c r="K1070" s="23">
        <v>2296.0</v>
      </c>
    </row>
    <row r="1071">
      <c r="A1071" s="7" t="s">
        <v>1154</v>
      </c>
      <c r="B1071" s="7" t="s">
        <v>1155</v>
      </c>
      <c r="C1071" s="8">
        <v>379.0</v>
      </c>
      <c r="D1071" s="8">
        <v>999.0</v>
      </c>
      <c r="E1071" s="19">
        <v>0.62</v>
      </c>
      <c r="F1071" s="10">
        <v>4.3</v>
      </c>
      <c r="G1071" s="11">
        <v>3096.0</v>
      </c>
      <c r="K1071" s="23">
        <v>620.0</v>
      </c>
    </row>
    <row r="1072">
      <c r="A1072" s="7" t="s">
        <v>1156</v>
      </c>
      <c r="B1072" s="7" t="s">
        <v>1089</v>
      </c>
      <c r="C1072" s="8">
        <v>1099.0</v>
      </c>
      <c r="D1072" s="8">
        <v>2400.0</v>
      </c>
      <c r="E1072" s="19">
        <v>0.54</v>
      </c>
      <c r="F1072" s="10">
        <v>3.8</v>
      </c>
      <c r="G1072" s="10">
        <v>4.0</v>
      </c>
      <c r="K1072" s="23">
        <v>1301.0</v>
      </c>
    </row>
    <row r="1073">
      <c r="A1073" s="7" t="s">
        <v>1157</v>
      </c>
      <c r="B1073" s="7" t="s">
        <v>1121</v>
      </c>
      <c r="C1073" s="8">
        <v>749.0</v>
      </c>
      <c r="D1073" s="8">
        <v>1299.0</v>
      </c>
      <c r="E1073" s="19">
        <v>0.42</v>
      </c>
      <c r="F1073" s="10">
        <v>4.0</v>
      </c>
      <c r="G1073" s="10">
        <v>119.0</v>
      </c>
      <c r="K1073" s="23">
        <v>550.0</v>
      </c>
    </row>
    <row r="1074">
      <c r="A1074" s="7" t="s">
        <v>1158</v>
      </c>
      <c r="B1074" s="7" t="s">
        <v>1159</v>
      </c>
      <c r="C1074" s="8">
        <v>1299.0</v>
      </c>
      <c r="D1074" s="8">
        <v>1299.0</v>
      </c>
      <c r="E1074" s="19">
        <v>0.0</v>
      </c>
      <c r="F1074" s="10">
        <v>4.2</v>
      </c>
      <c r="G1074" s="11">
        <v>40106.0</v>
      </c>
      <c r="K1074" s="23">
        <v>0.0</v>
      </c>
    </row>
    <row r="1075">
      <c r="A1075" s="7" t="s">
        <v>1160</v>
      </c>
      <c r="B1075" s="7" t="s">
        <v>1111</v>
      </c>
      <c r="C1075" s="8">
        <v>549.0</v>
      </c>
      <c r="D1075" s="8">
        <v>1090.0</v>
      </c>
      <c r="E1075" s="19">
        <v>0.5</v>
      </c>
      <c r="F1075" s="10">
        <v>4.2</v>
      </c>
      <c r="G1075" s="11">
        <v>13029.0</v>
      </c>
      <c r="K1075" s="23">
        <v>541.0</v>
      </c>
    </row>
    <row r="1076">
      <c r="A1076" s="7" t="s">
        <v>1161</v>
      </c>
      <c r="B1076" s="7" t="s">
        <v>1091</v>
      </c>
      <c r="C1076" s="8">
        <v>899.0</v>
      </c>
      <c r="D1076" s="8">
        <v>2000.0</v>
      </c>
      <c r="E1076" s="19">
        <v>0.55</v>
      </c>
      <c r="F1076" s="10">
        <v>3.6</v>
      </c>
      <c r="G1076" s="10">
        <v>291.0</v>
      </c>
      <c r="K1076" s="23">
        <v>1101.0</v>
      </c>
    </row>
    <row r="1077">
      <c r="A1077" s="7" t="s">
        <v>1162</v>
      </c>
      <c r="B1077" s="7" t="s">
        <v>1111</v>
      </c>
      <c r="C1077" s="8">
        <v>1321.0</v>
      </c>
      <c r="D1077" s="8">
        <v>1545.0</v>
      </c>
      <c r="E1077" s="19">
        <v>0.14</v>
      </c>
      <c r="F1077" s="10">
        <v>4.3</v>
      </c>
      <c r="G1077" s="11">
        <v>15453.0</v>
      </c>
      <c r="K1077" s="23">
        <v>224.0</v>
      </c>
    </row>
    <row r="1078">
      <c r="A1078" s="7" t="s">
        <v>1163</v>
      </c>
      <c r="B1078" s="7" t="s">
        <v>1093</v>
      </c>
      <c r="C1078" s="8">
        <v>1099.0</v>
      </c>
      <c r="D1078" s="8">
        <v>1999.0</v>
      </c>
      <c r="E1078" s="19">
        <v>0.45</v>
      </c>
      <c r="F1078" s="10">
        <v>4.0</v>
      </c>
      <c r="G1078" s="10">
        <v>604.0</v>
      </c>
      <c r="K1078" s="23">
        <v>900.0</v>
      </c>
    </row>
    <row r="1079">
      <c r="A1079" s="7" t="s">
        <v>1164</v>
      </c>
      <c r="B1079" s="7" t="s">
        <v>1111</v>
      </c>
      <c r="C1079" s="8">
        <v>775.0</v>
      </c>
      <c r="D1079" s="8">
        <v>875.0</v>
      </c>
      <c r="E1079" s="19">
        <v>0.11</v>
      </c>
      <c r="F1079" s="10">
        <v>4.2</v>
      </c>
      <c r="G1079" s="11">
        <v>46647.0</v>
      </c>
      <c r="K1079" s="23">
        <v>100.0</v>
      </c>
    </row>
    <row r="1080">
      <c r="A1080" s="7" t="s">
        <v>1165</v>
      </c>
      <c r="B1080" s="7" t="s">
        <v>1123</v>
      </c>
      <c r="C1080" s="8">
        <v>6299.0</v>
      </c>
      <c r="D1080" s="8">
        <v>15270.0</v>
      </c>
      <c r="E1080" s="19">
        <v>0.59</v>
      </c>
      <c r="F1080" s="10">
        <v>4.1</v>
      </c>
      <c r="G1080" s="11">
        <v>3233.0</v>
      </c>
      <c r="K1080" s="23">
        <v>8971.0</v>
      </c>
    </row>
    <row r="1081">
      <c r="A1081" s="7" t="s">
        <v>1166</v>
      </c>
      <c r="B1081" s="7" t="s">
        <v>1139</v>
      </c>
      <c r="C1081" s="8">
        <v>3190.0</v>
      </c>
      <c r="D1081" s="8">
        <v>4195.0</v>
      </c>
      <c r="E1081" s="19">
        <v>0.24</v>
      </c>
      <c r="F1081" s="10">
        <v>4.0</v>
      </c>
      <c r="G1081" s="11">
        <v>1282.0</v>
      </c>
      <c r="K1081" s="23">
        <v>1005.0</v>
      </c>
    </row>
    <row r="1082">
      <c r="A1082" s="7" t="s">
        <v>1167</v>
      </c>
      <c r="B1082" s="7" t="s">
        <v>1089</v>
      </c>
      <c r="C1082" s="8">
        <v>799.0</v>
      </c>
      <c r="D1082" s="8">
        <v>1989.0</v>
      </c>
      <c r="E1082" s="19">
        <v>0.6</v>
      </c>
      <c r="F1082" s="10">
        <v>4.3</v>
      </c>
      <c r="G1082" s="10">
        <v>70.0</v>
      </c>
      <c r="K1082" s="23">
        <v>1190.0</v>
      </c>
    </row>
    <row r="1083">
      <c r="A1083" s="7" t="s">
        <v>1168</v>
      </c>
      <c r="B1083" s="7" t="s">
        <v>1144</v>
      </c>
      <c r="C1083" s="8">
        <v>2699.0</v>
      </c>
      <c r="D1083" s="8">
        <v>5000.0</v>
      </c>
      <c r="E1083" s="19">
        <v>0.46</v>
      </c>
      <c r="F1083" s="10">
        <v>4.0</v>
      </c>
      <c r="G1083" s="11">
        <v>26164.0</v>
      </c>
      <c r="K1083" s="23">
        <v>2301.0</v>
      </c>
    </row>
    <row r="1084">
      <c r="A1084" s="7" t="s">
        <v>1169</v>
      </c>
      <c r="B1084" s="7" t="s">
        <v>1111</v>
      </c>
      <c r="C1084" s="8">
        <v>599.0</v>
      </c>
      <c r="D1084" s="8">
        <v>990.0</v>
      </c>
      <c r="E1084" s="19">
        <v>0.39</v>
      </c>
      <c r="F1084" s="10">
        <v>3.9</v>
      </c>
      <c r="G1084" s="11">
        <v>16166.0</v>
      </c>
      <c r="K1084" s="23">
        <v>391.0</v>
      </c>
    </row>
    <row r="1085">
      <c r="A1085" s="7" t="s">
        <v>1170</v>
      </c>
      <c r="B1085" s="7" t="s">
        <v>1121</v>
      </c>
      <c r="C1085" s="8">
        <v>749.0</v>
      </c>
      <c r="D1085" s="8">
        <v>1111.0</v>
      </c>
      <c r="E1085" s="19">
        <v>0.33</v>
      </c>
      <c r="F1085" s="10">
        <v>4.2</v>
      </c>
      <c r="G1085" s="11">
        <v>35693.0</v>
      </c>
      <c r="K1085" s="23">
        <v>362.0</v>
      </c>
    </row>
    <row r="1086">
      <c r="A1086" s="7" t="s">
        <v>1171</v>
      </c>
      <c r="B1086" s="7" t="s">
        <v>1123</v>
      </c>
      <c r="C1086" s="8">
        <v>6199.0</v>
      </c>
      <c r="D1086" s="8">
        <v>10400.0</v>
      </c>
      <c r="E1086" s="19">
        <v>0.4</v>
      </c>
      <c r="F1086" s="10">
        <v>4.1</v>
      </c>
      <c r="G1086" s="11">
        <v>14391.0</v>
      </c>
      <c r="K1086" s="23">
        <v>4201.0</v>
      </c>
    </row>
    <row r="1087">
      <c r="A1087" s="7" t="s">
        <v>1172</v>
      </c>
      <c r="B1087" s="7" t="s">
        <v>1173</v>
      </c>
      <c r="C1087" s="8">
        <v>1819.0</v>
      </c>
      <c r="D1087" s="8">
        <v>2490.0</v>
      </c>
      <c r="E1087" s="19">
        <v>0.27</v>
      </c>
      <c r="F1087" s="10">
        <v>4.4</v>
      </c>
      <c r="G1087" s="11">
        <v>7946.0</v>
      </c>
      <c r="K1087" s="23">
        <v>671.0</v>
      </c>
    </row>
    <row r="1088">
      <c r="A1088" s="7" t="s">
        <v>1174</v>
      </c>
      <c r="B1088" s="7" t="s">
        <v>1121</v>
      </c>
      <c r="C1088" s="8">
        <v>1199.0</v>
      </c>
      <c r="D1088" s="8">
        <v>1900.0</v>
      </c>
      <c r="E1088" s="19">
        <v>0.37</v>
      </c>
      <c r="F1088" s="10">
        <v>4.0</v>
      </c>
      <c r="G1088" s="11">
        <v>1765.0</v>
      </c>
      <c r="K1088" s="23">
        <v>701.0</v>
      </c>
    </row>
    <row r="1089">
      <c r="A1089" s="7" t="s">
        <v>1175</v>
      </c>
      <c r="B1089" s="7" t="s">
        <v>1113</v>
      </c>
      <c r="C1089" s="8">
        <v>3249.0</v>
      </c>
      <c r="D1089" s="8">
        <v>6295.0</v>
      </c>
      <c r="E1089" s="19">
        <v>0.48</v>
      </c>
      <c r="F1089" s="10">
        <v>3.8</v>
      </c>
      <c r="G1089" s="11">
        <v>14062.0</v>
      </c>
      <c r="K1089" s="23">
        <v>3046.0</v>
      </c>
    </row>
    <row r="1090">
      <c r="A1090" s="7" t="s">
        <v>1176</v>
      </c>
      <c r="B1090" s="7" t="s">
        <v>1155</v>
      </c>
      <c r="C1090" s="8">
        <v>349.0</v>
      </c>
      <c r="D1090" s="8">
        <v>999.0</v>
      </c>
      <c r="E1090" s="19">
        <v>0.65</v>
      </c>
      <c r="F1090" s="10">
        <v>4.0</v>
      </c>
      <c r="G1090" s="11">
        <v>15646.0</v>
      </c>
      <c r="K1090" s="23">
        <v>650.0</v>
      </c>
    </row>
    <row r="1091">
      <c r="A1091" s="7" t="s">
        <v>1177</v>
      </c>
      <c r="B1091" s="7" t="s">
        <v>1091</v>
      </c>
      <c r="C1091" s="8">
        <v>1049.0</v>
      </c>
      <c r="D1091" s="8">
        <v>1699.0</v>
      </c>
      <c r="E1091" s="19">
        <v>0.38</v>
      </c>
      <c r="F1091" s="10">
        <v>3.1</v>
      </c>
      <c r="G1091" s="10">
        <v>111.0</v>
      </c>
      <c r="K1091" s="23">
        <v>650.0</v>
      </c>
    </row>
    <row r="1092">
      <c r="A1092" s="7" t="s">
        <v>1178</v>
      </c>
      <c r="B1092" s="7" t="s">
        <v>1179</v>
      </c>
      <c r="C1092" s="8">
        <v>799.0</v>
      </c>
      <c r="D1092" s="8">
        <v>1500.0</v>
      </c>
      <c r="E1092" s="19">
        <v>0.47</v>
      </c>
      <c r="F1092" s="10">
        <v>4.3</v>
      </c>
      <c r="G1092" s="11">
        <v>9695.0</v>
      </c>
      <c r="K1092" s="23">
        <v>701.0</v>
      </c>
    </row>
    <row r="1093">
      <c r="A1093" s="7" t="s">
        <v>1180</v>
      </c>
      <c r="B1093" s="7" t="s">
        <v>1123</v>
      </c>
      <c r="C1093" s="8">
        <v>4999.0</v>
      </c>
      <c r="D1093" s="8">
        <v>9650.0</v>
      </c>
      <c r="E1093" s="19">
        <v>0.48</v>
      </c>
      <c r="F1093" s="10">
        <v>4.2</v>
      </c>
      <c r="G1093" s="11">
        <v>1772.0</v>
      </c>
      <c r="K1093" s="23">
        <v>4651.0</v>
      </c>
    </row>
    <row r="1094">
      <c r="A1094" s="7" t="s">
        <v>1181</v>
      </c>
      <c r="B1094" s="7" t="s">
        <v>1113</v>
      </c>
      <c r="C1094" s="8">
        <v>6999.0</v>
      </c>
      <c r="D1094" s="8">
        <v>10590.0</v>
      </c>
      <c r="E1094" s="19">
        <v>0.34</v>
      </c>
      <c r="F1094" s="10">
        <v>4.4</v>
      </c>
      <c r="G1094" s="11">
        <v>11499.0</v>
      </c>
      <c r="K1094" s="23">
        <v>3591.0</v>
      </c>
    </row>
    <row r="1095">
      <c r="A1095" s="7" t="s">
        <v>1182</v>
      </c>
      <c r="B1095" s="7" t="s">
        <v>1095</v>
      </c>
      <c r="C1095" s="8">
        <v>799.0</v>
      </c>
      <c r="D1095" s="8">
        <v>1999.0</v>
      </c>
      <c r="E1095" s="19">
        <v>0.6</v>
      </c>
      <c r="F1095" s="10">
        <v>4.1</v>
      </c>
      <c r="G1095" s="11">
        <v>2162.0</v>
      </c>
      <c r="K1095" s="23">
        <v>1200.0</v>
      </c>
    </row>
    <row r="1096">
      <c r="A1096" s="7" t="s">
        <v>1183</v>
      </c>
      <c r="B1096" s="7" t="s">
        <v>1184</v>
      </c>
      <c r="C1096" s="8">
        <v>89.0</v>
      </c>
      <c r="D1096" s="8">
        <v>89.0</v>
      </c>
      <c r="E1096" s="19">
        <v>0.0</v>
      </c>
      <c r="F1096" s="10">
        <v>4.2</v>
      </c>
      <c r="G1096" s="11">
        <v>19621.0</v>
      </c>
      <c r="K1096" s="23">
        <v>0.0</v>
      </c>
    </row>
    <row r="1097">
      <c r="A1097" s="7" t="s">
        <v>1185</v>
      </c>
      <c r="B1097" s="7" t="s">
        <v>1186</v>
      </c>
      <c r="C1097" s="8">
        <v>1400.0</v>
      </c>
      <c r="D1097" s="8">
        <v>2485.0</v>
      </c>
      <c r="E1097" s="19">
        <v>0.44</v>
      </c>
      <c r="F1097" s="10">
        <v>4.1</v>
      </c>
      <c r="G1097" s="11">
        <v>19998.0</v>
      </c>
      <c r="K1097" s="23">
        <v>1085.0</v>
      </c>
    </row>
    <row r="1098">
      <c r="A1098" s="7" t="s">
        <v>1187</v>
      </c>
      <c r="B1098" s="7" t="s">
        <v>1137</v>
      </c>
      <c r="C1098" s="8">
        <v>355.0</v>
      </c>
      <c r="D1098" s="8">
        <v>899.0</v>
      </c>
      <c r="E1098" s="19">
        <v>0.61</v>
      </c>
      <c r="F1098" s="10">
        <v>4.1</v>
      </c>
      <c r="G1098" s="11">
        <v>1051.0</v>
      </c>
      <c r="K1098" s="23">
        <v>544.0</v>
      </c>
    </row>
    <row r="1099">
      <c r="A1099" s="7" t="s">
        <v>1188</v>
      </c>
      <c r="B1099" s="7" t="s">
        <v>1089</v>
      </c>
      <c r="C1099" s="8">
        <v>2169.0</v>
      </c>
      <c r="D1099" s="8">
        <v>3279.0</v>
      </c>
      <c r="E1099" s="19">
        <v>0.34</v>
      </c>
      <c r="F1099" s="10">
        <v>4.1</v>
      </c>
      <c r="G1099" s="11">
        <v>1716.0</v>
      </c>
      <c r="K1099" s="23">
        <v>1110.0</v>
      </c>
    </row>
    <row r="1100">
      <c r="A1100" s="7" t="s">
        <v>1189</v>
      </c>
      <c r="B1100" s="7" t="s">
        <v>1190</v>
      </c>
      <c r="C1100" s="8">
        <v>2799.0</v>
      </c>
      <c r="D1100" s="8">
        <v>3799.0</v>
      </c>
      <c r="E1100" s="19">
        <v>0.26</v>
      </c>
      <c r="F1100" s="10">
        <v>3.9</v>
      </c>
      <c r="G1100" s="11">
        <v>32931.0</v>
      </c>
      <c r="K1100" s="23">
        <v>1000.0</v>
      </c>
    </row>
    <row r="1101">
      <c r="A1101" s="7" t="s">
        <v>1191</v>
      </c>
      <c r="B1101" s="7" t="s">
        <v>1086</v>
      </c>
      <c r="C1101" s="8">
        <v>899.0</v>
      </c>
      <c r="D1101" s="8">
        <v>1249.0</v>
      </c>
      <c r="E1101" s="19">
        <v>0.28</v>
      </c>
      <c r="F1101" s="10">
        <v>3.9</v>
      </c>
      <c r="G1101" s="11">
        <v>17424.0</v>
      </c>
      <c r="K1101" s="23">
        <v>350.0</v>
      </c>
    </row>
    <row r="1102">
      <c r="A1102" s="7" t="s">
        <v>1192</v>
      </c>
      <c r="B1102" s="7" t="s">
        <v>1117</v>
      </c>
      <c r="C1102" s="8">
        <v>2499.0</v>
      </c>
      <c r="D1102" s="8">
        <v>5000.0</v>
      </c>
      <c r="E1102" s="19">
        <v>0.5</v>
      </c>
      <c r="F1102" s="10">
        <v>3.8</v>
      </c>
      <c r="G1102" s="11">
        <v>1889.0</v>
      </c>
      <c r="K1102" s="23">
        <v>2501.0</v>
      </c>
    </row>
    <row r="1103">
      <c r="A1103" s="7" t="s">
        <v>1193</v>
      </c>
      <c r="B1103" s="7" t="s">
        <v>1115</v>
      </c>
      <c r="C1103" s="8">
        <v>3599.0</v>
      </c>
      <c r="D1103" s="8">
        <v>7299.0</v>
      </c>
      <c r="E1103" s="19">
        <v>0.51</v>
      </c>
      <c r="F1103" s="10">
        <v>4.0</v>
      </c>
      <c r="G1103" s="11">
        <v>10324.0</v>
      </c>
      <c r="K1103" s="23">
        <v>3700.0</v>
      </c>
    </row>
    <row r="1104">
      <c r="A1104" s="7" t="s">
        <v>1194</v>
      </c>
      <c r="B1104" s="7" t="s">
        <v>1111</v>
      </c>
      <c r="C1104" s="8">
        <v>499.0</v>
      </c>
      <c r="D1104" s="8">
        <v>625.0</v>
      </c>
      <c r="E1104" s="19">
        <v>0.2</v>
      </c>
      <c r="F1104" s="10">
        <v>4.2</v>
      </c>
      <c r="G1104" s="11">
        <v>5355.0</v>
      </c>
      <c r="K1104" s="23">
        <v>126.0</v>
      </c>
    </row>
    <row r="1105">
      <c r="A1105" s="7" t="s">
        <v>1195</v>
      </c>
      <c r="B1105" s="7" t="s">
        <v>1131</v>
      </c>
      <c r="C1105" s="8">
        <v>653.0</v>
      </c>
      <c r="D1105" s="8">
        <v>1020.0</v>
      </c>
      <c r="E1105" s="19">
        <v>0.36</v>
      </c>
      <c r="F1105" s="10">
        <v>4.1</v>
      </c>
      <c r="G1105" s="11">
        <v>3366.0</v>
      </c>
      <c r="K1105" s="23">
        <v>367.0</v>
      </c>
    </row>
    <row r="1106">
      <c r="A1106" s="7" t="s">
        <v>1196</v>
      </c>
      <c r="B1106" s="7" t="s">
        <v>1197</v>
      </c>
      <c r="C1106" s="8">
        <v>4789.0</v>
      </c>
      <c r="D1106" s="8">
        <v>8990.0</v>
      </c>
      <c r="E1106" s="19">
        <v>0.47</v>
      </c>
      <c r="F1106" s="10">
        <v>4.3</v>
      </c>
      <c r="G1106" s="11">
        <v>1017.0</v>
      </c>
      <c r="K1106" s="23">
        <v>4201.0</v>
      </c>
    </row>
    <row r="1107">
      <c r="A1107" s="7" t="s">
        <v>1198</v>
      </c>
      <c r="B1107" s="7" t="s">
        <v>1199</v>
      </c>
      <c r="C1107" s="8">
        <v>1409.0</v>
      </c>
      <c r="D1107" s="8">
        <v>1639.0</v>
      </c>
      <c r="E1107" s="19">
        <v>0.14</v>
      </c>
      <c r="F1107" s="10">
        <v>3.7</v>
      </c>
      <c r="G1107" s="10">
        <v>787.0</v>
      </c>
      <c r="K1107" s="23">
        <v>230.0</v>
      </c>
    </row>
    <row r="1108">
      <c r="A1108" s="7" t="s">
        <v>1200</v>
      </c>
      <c r="B1108" s="7" t="s">
        <v>1109</v>
      </c>
      <c r="C1108" s="8">
        <v>753.0</v>
      </c>
      <c r="D1108" s="8">
        <v>899.0</v>
      </c>
      <c r="E1108" s="19">
        <v>0.16</v>
      </c>
      <c r="F1108" s="10">
        <v>4.2</v>
      </c>
      <c r="G1108" s="11">
        <v>18462.0</v>
      </c>
      <c r="K1108" s="23">
        <v>146.0</v>
      </c>
    </row>
    <row r="1109">
      <c r="A1109" s="7" t="s">
        <v>1201</v>
      </c>
      <c r="B1109" s="7" t="s">
        <v>1155</v>
      </c>
      <c r="C1109" s="8">
        <v>353.0</v>
      </c>
      <c r="D1109" s="8">
        <v>1199.0</v>
      </c>
      <c r="E1109" s="19">
        <v>0.71</v>
      </c>
      <c r="F1109" s="10">
        <v>4.3</v>
      </c>
      <c r="G1109" s="10">
        <v>629.0</v>
      </c>
      <c r="K1109" s="23">
        <v>846.0</v>
      </c>
    </row>
    <row r="1110">
      <c r="A1110" s="7" t="s">
        <v>1202</v>
      </c>
      <c r="B1110" s="7" t="s">
        <v>1095</v>
      </c>
      <c r="C1110" s="8">
        <v>1099.0</v>
      </c>
      <c r="D1110" s="8">
        <v>1899.0</v>
      </c>
      <c r="E1110" s="19">
        <v>0.42</v>
      </c>
      <c r="F1110" s="10">
        <v>4.3</v>
      </c>
      <c r="G1110" s="11">
        <v>15276.0</v>
      </c>
      <c r="K1110" s="23">
        <v>800.0</v>
      </c>
    </row>
    <row r="1111">
      <c r="A1111" s="7" t="s">
        <v>1203</v>
      </c>
      <c r="B1111" s="7" t="s">
        <v>1135</v>
      </c>
      <c r="C1111" s="8">
        <v>8799.0</v>
      </c>
      <c r="D1111" s="8">
        <v>11595.0</v>
      </c>
      <c r="E1111" s="19">
        <v>0.24</v>
      </c>
      <c r="F1111" s="10">
        <v>4.4</v>
      </c>
      <c r="G1111" s="11">
        <v>2981.0</v>
      </c>
      <c r="K1111" s="23">
        <v>2796.0</v>
      </c>
    </row>
    <row r="1112">
      <c r="A1112" s="7" t="s">
        <v>1204</v>
      </c>
      <c r="B1112" s="7" t="s">
        <v>1086</v>
      </c>
      <c r="C1112" s="8">
        <v>1345.0</v>
      </c>
      <c r="D1112" s="8">
        <v>1750.0</v>
      </c>
      <c r="E1112" s="19">
        <v>0.23</v>
      </c>
      <c r="F1112" s="10">
        <v>3.8</v>
      </c>
      <c r="G1112" s="11">
        <v>2466.0</v>
      </c>
      <c r="K1112" s="23">
        <v>405.0</v>
      </c>
    </row>
    <row r="1113">
      <c r="A1113" s="7" t="s">
        <v>1205</v>
      </c>
      <c r="B1113" s="7" t="s">
        <v>1206</v>
      </c>
      <c r="C1113" s="8">
        <v>2095.0</v>
      </c>
      <c r="D1113" s="8">
        <v>2095.0</v>
      </c>
      <c r="E1113" s="19">
        <v>0.0</v>
      </c>
      <c r="F1113" s="10">
        <v>4.5</v>
      </c>
      <c r="G1113" s="11">
        <v>7949.0</v>
      </c>
      <c r="K1113" s="23">
        <v>0.0</v>
      </c>
    </row>
    <row r="1114">
      <c r="A1114" s="7" t="s">
        <v>1207</v>
      </c>
      <c r="B1114" s="7" t="s">
        <v>1089</v>
      </c>
      <c r="C1114" s="8">
        <v>1498.0</v>
      </c>
      <c r="D1114" s="8">
        <v>2300.0</v>
      </c>
      <c r="E1114" s="19">
        <v>0.35</v>
      </c>
      <c r="F1114" s="10">
        <v>3.8</v>
      </c>
      <c r="G1114" s="10">
        <v>95.0</v>
      </c>
      <c r="K1114" s="23">
        <v>802.0</v>
      </c>
    </row>
    <row r="1115">
      <c r="A1115" s="7" t="s">
        <v>1208</v>
      </c>
      <c r="B1115" s="7" t="s">
        <v>1209</v>
      </c>
      <c r="C1115" s="8">
        <v>2199.0</v>
      </c>
      <c r="D1115" s="8">
        <v>2990.0</v>
      </c>
      <c r="E1115" s="19">
        <v>0.26</v>
      </c>
      <c r="F1115" s="10">
        <v>3.8</v>
      </c>
      <c r="G1115" s="11">
        <v>1558.0</v>
      </c>
      <c r="K1115" s="23">
        <v>791.0</v>
      </c>
    </row>
    <row r="1116">
      <c r="A1116" s="7" t="s">
        <v>1210</v>
      </c>
      <c r="B1116" s="7" t="s">
        <v>1113</v>
      </c>
      <c r="C1116" s="8">
        <v>3699.0</v>
      </c>
      <c r="D1116" s="8">
        <v>4295.0</v>
      </c>
      <c r="E1116" s="19">
        <v>0.14</v>
      </c>
      <c r="F1116" s="10">
        <v>4.1</v>
      </c>
      <c r="G1116" s="11">
        <v>26543.0</v>
      </c>
      <c r="K1116" s="23">
        <v>596.0</v>
      </c>
    </row>
    <row r="1117">
      <c r="A1117" s="7" t="s">
        <v>1211</v>
      </c>
      <c r="B1117" s="7" t="s">
        <v>1137</v>
      </c>
      <c r="C1117" s="8">
        <v>177.0</v>
      </c>
      <c r="D1117" s="8">
        <v>199.0</v>
      </c>
      <c r="E1117" s="19">
        <v>0.11</v>
      </c>
      <c r="F1117" s="10">
        <v>4.1</v>
      </c>
      <c r="G1117" s="11">
        <v>3688.0</v>
      </c>
      <c r="K1117" s="23">
        <v>22.0</v>
      </c>
    </row>
    <row r="1118">
      <c r="A1118" s="7" t="s">
        <v>1212</v>
      </c>
      <c r="B1118" s="7" t="s">
        <v>1113</v>
      </c>
      <c r="C1118" s="8">
        <v>1149.0</v>
      </c>
      <c r="D1118" s="8">
        <v>2499.0</v>
      </c>
      <c r="E1118" s="19">
        <v>0.54</v>
      </c>
      <c r="F1118" s="10">
        <v>3.8</v>
      </c>
      <c r="G1118" s="11">
        <v>4383.0</v>
      </c>
      <c r="K1118" s="23">
        <v>1350.0</v>
      </c>
    </row>
    <row r="1119">
      <c r="A1119" s="7" t="s">
        <v>1213</v>
      </c>
      <c r="B1119" s="7" t="s">
        <v>1214</v>
      </c>
      <c r="C1119" s="8">
        <v>244.0</v>
      </c>
      <c r="D1119" s="8">
        <v>499.0</v>
      </c>
      <c r="E1119" s="19">
        <v>0.51</v>
      </c>
      <c r="F1119" s="10">
        <v>3.3</v>
      </c>
      <c r="G1119" s="10">
        <v>478.0</v>
      </c>
      <c r="K1119" s="23">
        <v>255.0</v>
      </c>
    </row>
    <row r="1120">
      <c r="A1120" s="7" t="s">
        <v>1215</v>
      </c>
      <c r="B1120" s="7" t="s">
        <v>1089</v>
      </c>
      <c r="C1120" s="8">
        <v>1959.0</v>
      </c>
      <c r="D1120" s="8">
        <v>2400.0</v>
      </c>
      <c r="E1120" s="19">
        <v>0.18</v>
      </c>
      <c r="F1120" s="10">
        <v>4.0</v>
      </c>
      <c r="G1120" s="10">
        <v>237.0</v>
      </c>
      <c r="K1120" s="23">
        <v>441.0</v>
      </c>
    </row>
    <row r="1121">
      <c r="A1121" s="7" t="s">
        <v>1216</v>
      </c>
      <c r="B1121" s="7" t="s">
        <v>1093</v>
      </c>
      <c r="C1121" s="8">
        <v>319.0</v>
      </c>
      <c r="D1121" s="8">
        <v>749.0</v>
      </c>
      <c r="E1121" s="19">
        <v>0.57</v>
      </c>
      <c r="F1121" s="10">
        <v>4.6</v>
      </c>
      <c r="G1121" s="10">
        <v>124.0</v>
      </c>
      <c r="K1121" s="23">
        <v>430.0</v>
      </c>
    </row>
    <row r="1122">
      <c r="A1122" s="7" t="s">
        <v>1217</v>
      </c>
      <c r="B1122" s="7" t="s">
        <v>1086</v>
      </c>
      <c r="C1122" s="8">
        <v>1499.0</v>
      </c>
      <c r="D1122" s="8">
        <v>1775.0</v>
      </c>
      <c r="E1122" s="19">
        <v>0.16</v>
      </c>
      <c r="F1122" s="10">
        <v>3.9</v>
      </c>
      <c r="G1122" s="11">
        <v>14667.0</v>
      </c>
      <c r="K1122" s="23">
        <v>276.0</v>
      </c>
    </row>
    <row r="1123">
      <c r="A1123" s="7" t="s">
        <v>1218</v>
      </c>
      <c r="B1123" s="7" t="s">
        <v>1093</v>
      </c>
      <c r="C1123" s="8">
        <v>469.0</v>
      </c>
      <c r="D1123" s="8">
        <v>1599.0</v>
      </c>
      <c r="E1123" s="19">
        <v>0.71</v>
      </c>
      <c r="F1123" s="10">
        <v>3.7</v>
      </c>
      <c r="G1123" s="10">
        <v>6.0</v>
      </c>
      <c r="K1123" s="23">
        <v>1130.0</v>
      </c>
    </row>
    <row r="1124">
      <c r="A1124" s="7" t="s">
        <v>1219</v>
      </c>
      <c r="B1124" s="7" t="s">
        <v>1206</v>
      </c>
      <c r="C1124" s="8">
        <v>1099.0</v>
      </c>
      <c r="D1124" s="8">
        <v>1795.0</v>
      </c>
      <c r="E1124" s="19">
        <v>0.39</v>
      </c>
      <c r="F1124" s="10">
        <v>4.2</v>
      </c>
      <c r="G1124" s="11">
        <v>4244.0</v>
      </c>
      <c r="K1124" s="23">
        <v>696.0</v>
      </c>
    </row>
    <row r="1125">
      <c r="A1125" s="7" t="s">
        <v>1220</v>
      </c>
      <c r="B1125" s="7" t="s">
        <v>1091</v>
      </c>
      <c r="C1125" s="8">
        <v>9590.0</v>
      </c>
      <c r="D1125" s="8">
        <v>15999.0</v>
      </c>
      <c r="E1125" s="19">
        <v>0.4</v>
      </c>
      <c r="F1125" s="10">
        <v>4.1</v>
      </c>
      <c r="G1125" s="11">
        <v>1017.0</v>
      </c>
      <c r="K1125" s="23">
        <v>6409.0</v>
      </c>
    </row>
    <row r="1126">
      <c r="A1126" s="7" t="s">
        <v>1221</v>
      </c>
      <c r="B1126" s="7" t="s">
        <v>1222</v>
      </c>
      <c r="C1126" s="8">
        <v>999.0</v>
      </c>
      <c r="D1126" s="8">
        <v>1490.0</v>
      </c>
      <c r="E1126" s="19">
        <v>0.33</v>
      </c>
      <c r="F1126" s="10">
        <v>4.1</v>
      </c>
      <c r="G1126" s="11">
        <v>12999.0</v>
      </c>
      <c r="K1126" s="23">
        <v>491.0</v>
      </c>
    </row>
    <row r="1127">
      <c r="A1127" s="7" t="s">
        <v>1223</v>
      </c>
      <c r="B1127" s="7" t="s">
        <v>1121</v>
      </c>
      <c r="C1127" s="8">
        <v>1299.0</v>
      </c>
      <c r="D1127" s="8">
        <v>1999.0</v>
      </c>
      <c r="E1127" s="19">
        <v>0.35</v>
      </c>
      <c r="F1127" s="10">
        <v>3.8</v>
      </c>
      <c r="G1127" s="10">
        <v>311.0</v>
      </c>
      <c r="K1127" s="23">
        <v>700.0</v>
      </c>
    </row>
    <row r="1128">
      <c r="A1128" s="7" t="s">
        <v>1224</v>
      </c>
      <c r="B1128" s="7" t="s">
        <v>1225</v>
      </c>
      <c r="C1128" s="8">
        <v>292.0</v>
      </c>
      <c r="D1128" s="8">
        <v>499.0</v>
      </c>
      <c r="E1128" s="19">
        <v>0.41</v>
      </c>
      <c r="F1128" s="10">
        <v>4.1</v>
      </c>
      <c r="G1128" s="11">
        <v>4238.0</v>
      </c>
      <c r="K1128" s="23">
        <v>207.0</v>
      </c>
    </row>
    <row r="1129">
      <c r="A1129" s="7" t="s">
        <v>1226</v>
      </c>
      <c r="B1129" s="7" t="s">
        <v>1184</v>
      </c>
      <c r="C1129" s="8">
        <v>160.0</v>
      </c>
      <c r="D1129" s="8">
        <v>299.0</v>
      </c>
      <c r="E1129" s="19">
        <v>0.46</v>
      </c>
      <c r="F1129" s="10">
        <v>4.6</v>
      </c>
      <c r="G1129" s="11">
        <v>2781.0</v>
      </c>
      <c r="K1129" s="23">
        <v>139.0</v>
      </c>
    </row>
    <row r="1130">
      <c r="A1130" s="7" t="s">
        <v>1227</v>
      </c>
      <c r="B1130" s="7" t="s">
        <v>1228</v>
      </c>
      <c r="C1130" s="8">
        <v>600.0</v>
      </c>
      <c r="D1130" s="8">
        <v>600.0</v>
      </c>
      <c r="E1130" s="19">
        <v>0.0</v>
      </c>
      <c r="F1130" s="10">
        <v>4.1</v>
      </c>
      <c r="G1130" s="11">
        <v>10907.0</v>
      </c>
      <c r="K1130" s="23">
        <v>0.0</v>
      </c>
    </row>
    <row r="1131">
      <c r="A1131" s="7" t="s">
        <v>1229</v>
      </c>
      <c r="B1131" s="7" t="s">
        <v>1230</v>
      </c>
      <c r="C1131" s="8">
        <v>1130.0</v>
      </c>
      <c r="D1131" s="8">
        <v>1130.0</v>
      </c>
      <c r="E1131" s="19">
        <v>0.0</v>
      </c>
      <c r="F1131" s="10">
        <v>4.2</v>
      </c>
      <c r="G1131" s="11">
        <v>13250.0</v>
      </c>
      <c r="K1131" s="23">
        <v>0.0</v>
      </c>
    </row>
    <row r="1132">
      <c r="A1132" s="7" t="s">
        <v>1231</v>
      </c>
      <c r="B1132" s="7" t="s">
        <v>1113</v>
      </c>
      <c r="C1132" s="8">
        <v>3249.0</v>
      </c>
      <c r="D1132" s="8">
        <v>6295.0</v>
      </c>
      <c r="E1132" s="19">
        <v>0.48</v>
      </c>
      <c r="F1132" s="10">
        <v>3.9</v>
      </c>
      <c r="G1132" s="11">
        <v>43070.0</v>
      </c>
      <c r="K1132" s="23">
        <v>3046.0</v>
      </c>
    </row>
    <row r="1133">
      <c r="A1133" s="7" t="s">
        <v>1232</v>
      </c>
      <c r="B1133" s="7" t="s">
        <v>1113</v>
      </c>
      <c r="C1133" s="8">
        <v>3599.0</v>
      </c>
      <c r="D1133" s="8">
        <v>9455.0</v>
      </c>
      <c r="E1133" s="19">
        <v>0.62</v>
      </c>
      <c r="F1133" s="10">
        <v>4.1</v>
      </c>
      <c r="G1133" s="11">
        <v>11828.0</v>
      </c>
      <c r="K1133" s="23">
        <v>5856.0</v>
      </c>
    </row>
    <row r="1134">
      <c r="A1134" s="7" t="s">
        <v>1233</v>
      </c>
      <c r="B1134" s="7" t="s">
        <v>1155</v>
      </c>
      <c r="C1134" s="8">
        <v>368.0</v>
      </c>
      <c r="D1134" s="8">
        <v>699.0</v>
      </c>
      <c r="E1134" s="19">
        <v>0.47</v>
      </c>
      <c r="F1134" s="10">
        <v>4.1</v>
      </c>
      <c r="G1134" s="11">
        <v>1240.0</v>
      </c>
      <c r="K1134" s="23">
        <v>331.0</v>
      </c>
    </row>
    <row r="1135">
      <c r="A1135" s="7" t="s">
        <v>1234</v>
      </c>
      <c r="B1135" s="7" t="s">
        <v>1113</v>
      </c>
      <c r="C1135" s="8">
        <v>3199.0</v>
      </c>
      <c r="D1135" s="8">
        <v>4999.0</v>
      </c>
      <c r="E1135" s="19">
        <v>0.36</v>
      </c>
      <c r="F1135" s="10">
        <v>4.0</v>
      </c>
      <c r="G1135" s="11">
        <v>20869.0</v>
      </c>
      <c r="K1135" s="23">
        <v>1800.0</v>
      </c>
    </row>
    <row r="1136">
      <c r="A1136" s="7" t="s">
        <v>1235</v>
      </c>
      <c r="B1136" s="7" t="s">
        <v>1236</v>
      </c>
      <c r="C1136" s="8">
        <v>1599.0</v>
      </c>
      <c r="D1136" s="8">
        <v>2900.0</v>
      </c>
      <c r="E1136" s="19">
        <v>0.45</v>
      </c>
      <c r="F1136" s="10">
        <v>3.7</v>
      </c>
      <c r="G1136" s="10">
        <v>441.0</v>
      </c>
      <c r="K1136" s="23">
        <v>1301.0</v>
      </c>
    </row>
    <row r="1137">
      <c r="A1137" s="7" t="s">
        <v>1237</v>
      </c>
      <c r="B1137" s="7" t="s">
        <v>1109</v>
      </c>
      <c r="C1137" s="8">
        <v>1999.0</v>
      </c>
      <c r="D1137" s="8">
        <v>2499.0</v>
      </c>
      <c r="E1137" s="19">
        <v>0.2</v>
      </c>
      <c r="F1137" s="10">
        <v>4.1</v>
      </c>
      <c r="G1137" s="11">
        <v>1034.0</v>
      </c>
      <c r="K1137" s="23">
        <v>500.0</v>
      </c>
    </row>
    <row r="1138">
      <c r="A1138" s="7" t="s">
        <v>1238</v>
      </c>
      <c r="B1138" s="7" t="s">
        <v>1111</v>
      </c>
      <c r="C1138" s="8">
        <v>616.0</v>
      </c>
      <c r="D1138" s="8">
        <v>1190.0</v>
      </c>
      <c r="E1138" s="19">
        <v>0.48</v>
      </c>
      <c r="F1138" s="10">
        <v>4.1</v>
      </c>
      <c r="G1138" s="11">
        <v>37126.0</v>
      </c>
      <c r="K1138" s="23">
        <v>574.0</v>
      </c>
    </row>
    <row r="1139">
      <c r="A1139" s="7" t="s">
        <v>1239</v>
      </c>
      <c r="B1139" s="7" t="s">
        <v>1109</v>
      </c>
      <c r="C1139" s="8">
        <v>1499.0</v>
      </c>
      <c r="D1139" s="8">
        <v>2100.0</v>
      </c>
      <c r="E1139" s="19">
        <v>0.29</v>
      </c>
      <c r="F1139" s="10">
        <v>4.1</v>
      </c>
      <c r="G1139" s="11">
        <v>6355.0</v>
      </c>
      <c r="K1139" s="23">
        <v>601.0</v>
      </c>
    </row>
    <row r="1140">
      <c r="A1140" s="7" t="s">
        <v>1240</v>
      </c>
      <c r="B1140" s="7" t="s">
        <v>1184</v>
      </c>
      <c r="C1140" s="8">
        <v>199.0</v>
      </c>
      <c r="D1140" s="8">
        <v>499.0</v>
      </c>
      <c r="E1140" s="19">
        <v>0.6</v>
      </c>
      <c r="F1140" s="10">
        <v>3.3</v>
      </c>
      <c r="G1140" s="10">
        <v>12.0</v>
      </c>
      <c r="K1140" s="23">
        <v>300.0</v>
      </c>
    </row>
    <row r="1141">
      <c r="A1141" s="7" t="s">
        <v>1241</v>
      </c>
      <c r="B1141" s="7" t="s">
        <v>1131</v>
      </c>
      <c r="C1141" s="8">
        <v>610.0</v>
      </c>
      <c r="D1141" s="8">
        <v>825.0</v>
      </c>
      <c r="E1141" s="19">
        <v>0.26</v>
      </c>
      <c r="F1141" s="10">
        <v>4.1</v>
      </c>
      <c r="G1141" s="11">
        <v>13165.0</v>
      </c>
      <c r="K1141" s="23">
        <v>215.0</v>
      </c>
    </row>
    <row r="1142">
      <c r="A1142" s="7" t="s">
        <v>1242</v>
      </c>
      <c r="B1142" s="7" t="s">
        <v>1173</v>
      </c>
      <c r="C1142" s="8">
        <v>999.0</v>
      </c>
      <c r="D1142" s="8">
        <v>1499.0</v>
      </c>
      <c r="E1142" s="19">
        <v>0.33</v>
      </c>
      <c r="F1142" s="10">
        <v>4.1</v>
      </c>
      <c r="G1142" s="11">
        <v>1646.0</v>
      </c>
      <c r="K1142" s="23">
        <v>500.0</v>
      </c>
    </row>
    <row r="1143">
      <c r="A1143" s="7" t="s">
        <v>1243</v>
      </c>
      <c r="B1143" s="7" t="s">
        <v>1190</v>
      </c>
      <c r="C1143" s="8">
        <v>8999.0</v>
      </c>
      <c r="D1143" s="8">
        <v>9995.0</v>
      </c>
      <c r="E1143" s="19">
        <v>0.1</v>
      </c>
      <c r="F1143" s="10">
        <v>4.4</v>
      </c>
      <c r="G1143" s="11">
        <v>17994.0</v>
      </c>
      <c r="K1143" s="23">
        <v>996.0</v>
      </c>
    </row>
    <row r="1144">
      <c r="A1144" s="7" t="s">
        <v>1244</v>
      </c>
      <c r="B1144" s="7" t="s">
        <v>1093</v>
      </c>
      <c r="C1144" s="8">
        <v>453.0</v>
      </c>
      <c r="D1144" s="8">
        <v>999.0</v>
      </c>
      <c r="E1144" s="19">
        <v>0.55</v>
      </c>
      <c r="F1144" s="10">
        <v>4.3</v>
      </c>
      <c r="G1144" s="10">
        <v>610.0</v>
      </c>
      <c r="K1144" s="23">
        <v>546.0</v>
      </c>
    </row>
    <row r="1145">
      <c r="A1145" s="7" t="s">
        <v>1245</v>
      </c>
      <c r="B1145" s="7" t="s">
        <v>1113</v>
      </c>
      <c r="C1145" s="8">
        <v>2464.0</v>
      </c>
      <c r="D1145" s="8">
        <v>6000.0</v>
      </c>
      <c r="E1145" s="19">
        <v>0.59</v>
      </c>
      <c r="F1145" s="10">
        <v>4.1</v>
      </c>
      <c r="G1145" s="11">
        <v>8866.0</v>
      </c>
      <c r="K1145" s="23">
        <v>3536.0</v>
      </c>
    </row>
    <row r="1146">
      <c r="A1146" s="7" t="s">
        <v>1246</v>
      </c>
      <c r="B1146" s="7" t="s">
        <v>1236</v>
      </c>
      <c r="C1146" s="8">
        <v>2719.0</v>
      </c>
      <c r="D1146" s="8">
        <v>3945.0</v>
      </c>
      <c r="E1146" s="19">
        <v>0.31</v>
      </c>
      <c r="F1146" s="10">
        <v>3.7</v>
      </c>
      <c r="G1146" s="11">
        <v>13406.0</v>
      </c>
      <c r="K1146" s="23">
        <v>1226.0</v>
      </c>
    </row>
    <row r="1147">
      <c r="A1147" s="7" t="s">
        <v>1247</v>
      </c>
      <c r="B1147" s="7" t="s">
        <v>1115</v>
      </c>
      <c r="C1147" s="8">
        <v>1439.0</v>
      </c>
      <c r="D1147" s="8">
        <v>1999.0</v>
      </c>
      <c r="E1147" s="19">
        <v>0.28</v>
      </c>
      <c r="F1147" s="10">
        <v>4.8</v>
      </c>
      <c r="G1147" s="11">
        <v>53803.0</v>
      </c>
      <c r="K1147" s="23">
        <v>560.0</v>
      </c>
    </row>
    <row r="1148">
      <c r="A1148" s="7" t="s">
        <v>1248</v>
      </c>
      <c r="B1148" s="7" t="s">
        <v>1109</v>
      </c>
      <c r="C1148" s="8">
        <v>2799.0</v>
      </c>
      <c r="D1148" s="8">
        <v>3499.0</v>
      </c>
      <c r="E1148" s="19">
        <v>0.2</v>
      </c>
      <c r="F1148" s="10">
        <v>4.5</v>
      </c>
      <c r="G1148" s="10">
        <v>546.0</v>
      </c>
      <c r="K1148" s="23">
        <v>700.0</v>
      </c>
    </row>
    <row r="1149">
      <c r="A1149" s="7" t="s">
        <v>1249</v>
      </c>
      <c r="B1149" s="7" t="s">
        <v>1115</v>
      </c>
      <c r="C1149" s="8">
        <v>2088.0</v>
      </c>
      <c r="D1149" s="8">
        <v>5550.0</v>
      </c>
      <c r="E1149" s="19">
        <v>0.62</v>
      </c>
      <c r="F1149" s="10">
        <v>4.0</v>
      </c>
      <c r="G1149" s="11">
        <v>5292.0</v>
      </c>
      <c r="K1149" s="23">
        <v>3462.0</v>
      </c>
    </row>
    <row r="1150">
      <c r="A1150" s="7" t="s">
        <v>1250</v>
      </c>
      <c r="B1150" s="7" t="s">
        <v>1115</v>
      </c>
      <c r="C1150" s="8">
        <v>2399.0</v>
      </c>
      <c r="D1150" s="8">
        <v>4590.0</v>
      </c>
      <c r="E1150" s="19">
        <v>0.48</v>
      </c>
      <c r="F1150" s="10">
        <v>4.1</v>
      </c>
      <c r="G1150" s="10">
        <v>444.0</v>
      </c>
      <c r="K1150" s="23">
        <v>2191.0</v>
      </c>
    </row>
    <row r="1151">
      <c r="A1151" s="7" t="s">
        <v>1251</v>
      </c>
      <c r="B1151" s="7" t="s">
        <v>1095</v>
      </c>
      <c r="C1151" s="8">
        <v>308.0</v>
      </c>
      <c r="D1151" s="8">
        <v>499.0</v>
      </c>
      <c r="E1151" s="19">
        <v>0.38</v>
      </c>
      <c r="F1151" s="10">
        <v>3.9</v>
      </c>
      <c r="G1151" s="11">
        <v>4584.0</v>
      </c>
      <c r="K1151" s="23">
        <v>191.0</v>
      </c>
    </row>
    <row r="1152">
      <c r="A1152" s="7" t="s">
        <v>1252</v>
      </c>
      <c r="B1152" s="7" t="s">
        <v>1115</v>
      </c>
      <c r="C1152" s="8">
        <v>2599.0</v>
      </c>
      <c r="D1152" s="8">
        <v>4400.0</v>
      </c>
      <c r="E1152" s="19">
        <v>0.41</v>
      </c>
      <c r="F1152" s="10">
        <v>4.1</v>
      </c>
      <c r="G1152" s="11">
        <v>14947.0</v>
      </c>
      <c r="K1152" s="23">
        <v>1801.0</v>
      </c>
    </row>
    <row r="1153">
      <c r="A1153" s="7" t="s">
        <v>1253</v>
      </c>
      <c r="B1153" s="7" t="s">
        <v>1111</v>
      </c>
      <c r="C1153" s="8">
        <v>479.0</v>
      </c>
      <c r="D1153" s="8">
        <v>1000.0</v>
      </c>
      <c r="E1153" s="19">
        <v>0.52</v>
      </c>
      <c r="F1153" s="10">
        <v>4.2</v>
      </c>
      <c r="G1153" s="11">
        <v>1559.0</v>
      </c>
      <c r="K1153" s="23">
        <v>521.0</v>
      </c>
    </row>
    <row r="1154">
      <c r="A1154" s="7" t="s">
        <v>1254</v>
      </c>
      <c r="B1154" s="7" t="s">
        <v>1093</v>
      </c>
      <c r="C1154" s="8">
        <v>245.0</v>
      </c>
      <c r="D1154" s="8">
        <v>299.0</v>
      </c>
      <c r="E1154" s="19">
        <v>0.18</v>
      </c>
      <c r="F1154" s="10">
        <v>4.1</v>
      </c>
      <c r="G1154" s="11">
        <v>1660.0</v>
      </c>
      <c r="K1154" s="23">
        <v>54.0</v>
      </c>
    </row>
    <row r="1155">
      <c r="A1155" s="7" t="s">
        <v>1255</v>
      </c>
      <c r="B1155" s="7" t="s">
        <v>1093</v>
      </c>
      <c r="C1155" s="8">
        <v>179.0</v>
      </c>
      <c r="D1155" s="8">
        <v>799.0</v>
      </c>
      <c r="E1155" s="19">
        <v>0.78</v>
      </c>
      <c r="F1155" s="10">
        <v>3.5</v>
      </c>
      <c r="G1155" s="10">
        <v>132.0</v>
      </c>
      <c r="K1155" s="23">
        <v>620.0</v>
      </c>
    </row>
    <row r="1156">
      <c r="A1156" s="7" t="s">
        <v>1256</v>
      </c>
      <c r="B1156" s="7" t="s">
        <v>1186</v>
      </c>
      <c r="C1156" s="8">
        <v>3569.0</v>
      </c>
      <c r="D1156" s="8">
        <v>5190.0</v>
      </c>
      <c r="E1156" s="19">
        <v>0.31</v>
      </c>
      <c r="F1156" s="10">
        <v>4.3</v>
      </c>
      <c r="G1156" s="11">
        <v>28629.0</v>
      </c>
      <c r="K1156" s="23">
        <v>1621.0</v>
      </c>
    </row>
    <row r="1157">
      <c r="A1157" s="7" t="s">
        <v>1257</v>
      </c>
      <c r="B1157" s="7" t="s">
        <v>1086</v>
      </c>
      <c r="C1157" s="8">
        <v>699.0</v>
      </c>
      <c r="D1157" s="8">
        <v>1345.0</v>
      </c>
      <c r="E1157" s="19">
        <v>0.48</v>
      </c>
      <c r="F1157" s="10">
        <v>3.9</v>
      </c>
      <c r="G1157" s="11">
        <v>8446.0</v>
      </c>
      <c r="K1157" s="23">
        <v>646.0</v>
      </c>
    </row>
    <row r="1158">
      <c r="A1158" s="7" t="s">
        <v>1258</v>
      </c>
      <c r="B1158" s="7" t="s">
        <v>1104</v>
      </c>
      <c r="C1158" s="8">
        <v>2089.0</v>
      </c>
      <c r="D1158" s="8">
        <v>4000.0</v>
      </c>
      <c r="E1158" s="19">
        <v>0.48</v>
      </c>
      <c r="F1158" s="10">
        <v>4.2</v>
      </c>
      <c r="G1158" s="11">
        <v>11199.0</v>
      </c>
      <c r="K1158" s="23">
        <v>1911.0</v>
      </c>
    </row>
    <row r="1159">
      <c r="A1159" s="7" t="s">
        <v>1259</v>
      </c>
      <c r="B1159" s="7" t="s">
        <v>1260</v>
      </c>
      <c r="C1159" s="8">
        <v>2339.0</v>
      </c>
      <c r="D1159" s="8">
        <v>4000.0</v>
      </c>
      <c r="E1159" s="19">
        <v>0.42</v>
      </c>
      <c r="F1159" s="10">
        <v>3.8</v>
      </c>
      <c r="G1159" s="11">
        <v>1118.0</v>
      </c>
      <c r="K1159" s="23">
        <v>1661.0</v>
      </c>
    </row>
    <row r="1160">
      <c r="A1160" s="7" t="s">
        <v>1261</v>
      </c>
      <c r="B1160" s="7" t="s">
        <v>1091</v>
      </c>
      <c r="C1160" s="8">
        <v>784.0</v>
      </c>
      <c r="D1160" s="8">
        <v>1599.0</v>
      </c>
      <c r="E1160" s="19">
        <v>0.51</v>
      </c>
      <c r="F1160" s="10">
        <v>4.5</v>
      </c>
      <c r="G1160" s="10">
        <v>11.0</v>
      </c>
      <c r="K1160" s="23">
        <v>815.0</v>
      </c>
    </row>
    <row r="1161">
      <c r="A1161" s="7" t="s">
        <v>1262</v>
      </c>
      <c r="B1161" s="7" t="s">
        <v>1263</v>
      </c>
      <c r="C1161" s="8">
        <v>5499.0</v>
      </c>
      <c r="D1161" s="8">
        <v>9999.0</v>
      </c>
      <c r="E1161" s="19">
        <v>0.45</v>
      </c>
      <c r="F1161" s="10">
        <v>3.8</v>
      </c>
      <c r="G1161" s="11">
        <v>4353.0</v>
      </c>
      <c r="K1161" s="23">
        <v>4500.0</v>
      </c>
    </row>
    <row r="1162">
      <c r="A1162" s="7" t="s">
        <v>1264</v>
      </c>
      <c r="B1162" s="7" t="s">
        <v>1091</v>
      </c>
      <c r="C1162" s="8">
        <v>899.0</v>
      </c>
      <c r="D1162" s="8">
        <v>1990.0</v>
      </c>
      <c r="E1162" s="19">
        <v>0.55</v>
      </c>
      <c r="F1162" s="10">
        <v>4.1</v>
      </c>
      <c r="G1162" s="10">
        <v>185.0</v>
      </c>
      <c r="K1162" s="23">
        <v>1091.0</v>
      </c>
    </row>
    <row r="1163">
      <c r="A1163" s="7" t="s">
        <v>1265</v>
      </c>
      <c r="B1163" s="7" t="s">
        <v>1109</v>
      </c>
      <c r="C1163" s="8">
        <v>1695.0</v>
      </c>
      <c r="D1163" s="8">
        <v>1695.0</v>
      </c>
      <c r="E1163" s="19">
        <v>0.0</v>
      </c>
      <c r="F1163" s="10">
        <v>4.2</v>
      </c>
      <c r="G1163" s="11">
        <v>14290.0</v>
      </c>
      <c r="K1163" s="23">
        <v>0.0</v>
      </c>
    </row>
    <row r="1164">
      <c r="A1164" s="7" t="s">
        <v>1266</v>
      </c>
      <c r="B1164" s="7" t="s">
        <v>1111</v>
      </c>
      <c r="C1164" s="8">
        <v>499.0</v>
      </c>
      <c r="D1164" s="8">
        <v>940.0</v>
      </c>
      <c r="E1164" s="19">
        <v>0.47</v>
      </c>
      <c r="F1164" s="10">
        <v>4.1</v>
      </c>
      <c r="G1164" s="11">
        <v>3036.0</v>
      </c>
      <c r="K1164" s="23">
        <v>441.0</v>
      </c>
    </row>
    <row r="1165">
      <c r="A1165" s="7" t="s">
        <v>1267</v>
      </c>
      <c r="B1165" s="7" t="s">
        <v>1115</v>
      </c>
      <c r="C1165" s="8">
        <v>2699.0</v>
      </c>
      <c r="D1165" s="8">
        <v>4700.0</v>
      </c>
      <c r="E1165" s="19">
        <v>0.43</v>
      </c>
      <c r="F1165" s="10">
        <v>4.2</v>
      </c>
      <c r="G1165" s="11">
        <v>1296.0</v>
      </c>
      <c r="K1165" s="23">
        <v>2001.0</v>
      </c>
    </row>
    <row r="1166">
      <c r="A1166" s="7" t="s">
        <v>1268</v>
      </c>
      <c r="B1166" s="7" t="s">
        <v>1115</v>
      </c>
      <c r="C1166" s="8">
        <v>1448.0</v>
      </c>
      <c r="D1166" s="8">
        <v>2999.0</v>
      </c>
      <c r="E1166" s="19">
        <v>0.52</v>
      </c>
      <c r="F1166" s="10">
        <v>4.5</v>
      </c>
      <c r="G1166" s="10">
        <v>19.0</v>
      </c>
      <c r="K1166" s="23">
        <v>1551.0</v>
      </c>
    </row>
    <row r="1167">
      <c r="A1167" s="7" t="s">
        <v>1269</v>
      </c>
      <c r="B1167" s="7" t="s">
        <v>1184</v>
      </c>
      <c r="C1167" s="8">
        <v>79.0</v>
      </c>
      <c r="D1167" s="8">
        <v>79.0</v>
      </c>
      <c r="E1167" s="19">
        <v>0.0</v>
      </c>
      <c r="F1167" s="10">
        <v>4.0</v>
      </c>
      <c r="G1167" s="10">
        <v>97.0</v>
      </c>
      <c r="K1167" s="23">
        <v>0.0</v>
      </c>
    </row>
    <row r="1168">
      <c r="A1168" s="7" t="s">
        <v>1270</v>
      </c>
      <c r="B1168" s="7" t="s">
        <v>1123</v>
      </c>
      <c r="C1168" s="8">
        <v>6990.0</v>
      </c>
      <c r="D1168" s="8">
        <v>14290.0</v>
      </c>
      <c r="E1168" s="19">
        <v>0.51</v>
      </c>
      <c r="F1168" s="10">
        <v>4.4</v>
      </c>
      <c r="G1168" s="11">
        <v>1771.0</v>
      </c>
      <c r="K1168" s="23">
        <v>7300.0</v>
      </c>
    </row>
    <row r="1169">
      <c r="A1169" s="7" t="s">
        <v>1271</v>
      </c>
      <c r="B1169" s="7" t="s">
        <v>1104</v>
      </c>
      <c r="C1169" s="8">
        <v>2698.0</v>
      </c>
      <c r="D1169" s="8">
        <v>3945.0</v>
      </c>
      <c r="E1169" s="19">
        <v>0.32</v>
      </c>
      <c r="F1169" s="10">
        <v>4.0</v>
      </c>
      <c r="G1169" s="11">
        <v>15034.0</v>
      </c>
      <c r="K1169" s="23">
        <v>1247.0</v>
      </c>
    </row>
    <row r="1170">
      <c r="A1170" s="7" t="s">
        <v>1272</v>
      </c>
      <c r="B1170" s="7" t="s">
        <v>1263</v>
      </c>
      <c r="C1170" s="8">
        <v>3199.0</v>
      </c>
      <c r="D1170" s="8">
        <v>5999.0</v>
      </c>
      <c r="E1170" s="19">
        <v>0.47</v>
      </c>
      <c r="F1170" s="10">
        <v>4.0</v>
      </c>
      <c r="G1170" s="11">
        <v>3242.0</v>
      </c>
      <c r="K1170" s="23">
        <v>2800.0</v>
      </c>
    </row>
    <row r="1171">
      <c r="A1171" s="7" t="s">
        <v>1273</v>
      </c>
      <c r="B1171" s="7" t="s">
        <v>1121</v>
      </c>
      <c r="C1171" s="8">
        <v>1199.0</v>
      </c>
      <c r="D1171" s="8">
        <v>1950.0</v>
      </c>
      <c r="E1171" s="19">
        <v>0.39</v>
      </c>
      <c r="F1171" s="10">
        <v>3.9</v>
      </c>
      <c r="G1171" s="11">
        <v>2832.0</v>
      </c>
      <c r="K1171" s="23">
        <v>751.0</v>
      </c>
    </row>
    <row r="1172">
      <c r="A1172" s="7" t="s">
        <v>1274</v>
      </c>
      <c r="B1172" s="7" t="s">
        <v>1173</v>
      </c>
      <c r="C1172" s="8">
        <v>1414.0</v>
      </c>
      <c r="D1172" s="8">
        <v>2799.0</v>
      </c>
      <c r="E1172" s="19">
        <v>0.49</v>
      </c>
      <c r="F1172" s="10">
        <v>4.0</v>
      </c>
      <c r="G1172" s="11">
        <v>1498.0</v>
      </c>
      <c r="K1172" s="23">
        <v>1385.0</v>
      </c>
    </row>
    <row r="1173">
      <c r="A1173" s="7" t="s">
        <v>1275</v>
      </c>
      <c r="B1173" s="7" t="s">
        <v>1086</v>
      </c>
      <c r="C1173" s="8">
        <v>999.0</v>
      </c>
      <c r="D1173" s="8">
        <v>1950.0</v>
      </c>
      <c r="E1173" s="19">
        <v>0.49</v>
      </c>
      <c r="F1173" s="10">
        <v>3.8</v>
      </c>
      <c r="G1173" s="10">
        <v>305.0</v>
      </c>
      <c r="K1173" s="23">
        <v>951.0</v>
      </c>
    </row>
    <row r="1174">
      <c r="A1174" s="7" t="s">
        <v>1276</v>
      </c>
      <c r="B1174" s="7" t="s">
        <v>1190</v>
      </c>
      <c r="C1174" s="8">
        <v>5999.0</v>
      </c>
      <c r="D1174" s="8">
        <v>9999.0</v>
      </c>
      <c r="E1174" s="19">
        <v>0.4</v>
      </c>
      <c r="F1174" s="10">
        <v>4.2</v>
      </c>
      <c r="G1174" s="11">
        <v>1191.0</v>
      </c>
      <c r="K1174" s="23">
        <v>4000.0</v>
      </c>
    </row>
    <row r="1175">
      <c r="A1175" s="7" t="s">
        <v>1277</v>
      </c>
      <c r="B1175" s="7" t="s">
        <v>1278</v>
      </c>
      <c r="C1175" s="8">
        <v>9970.0</v>
      </c>
      <c r="D1175" s="8">
        <v>12999.0</v>
      </c>
      <c r="E1175" s="19">
        <v>0.23</v>
      </c>
      <c r="F1175" s="10">
        <v>4.3</v>
      </c>
      <c r="G1175" s="11">
        <v>4049.0</v>
      </c>
      <c r="K1175" s="23">
        <v>3029.0</v>
      </c>
    </row>
    <row r="1176">
      <c r="A1176" s="7" t="s">
        <v>1279</v>
      </c>
      <c r="B1176" s="7" t="s">
        <v>1280</v>
      </c>
      <c r="C1176" s="8">
        <v>698.0</v>
      </c>
      <c r="D1176" s="8">
        <v>699.0</v>
      </c>
      <c r="E1176" s="19">
        <v>0.0</v>
      </c>
      <c r="F1176" s="10">
        <v>4.2</v>
      </c>
      <c r="G1176" s="11">
        <v>3160.0</v>
      </c>
      <c r="K1176" s="23">
        <v>1.0</v>
      </c>
    </row>
    <row r="1177">
      <c r="A1177" s="7" t="s">
        <v>1281</v>
      </c>
      <c r="B1177" s="7" t="s">
        <v>1186</v>
      </c>
      <c r="C1177" s="8">
        <v>2199.0</v>
      </c>
      <c r="D1177" s="8">
        <v>3190.0</v>
      </c>
      <c r="E1177" s="19">
        <v>0.31</v>
      </c>
      <c r="F1177" s="10">
        <v>4.3</v>
      </c>
      <c r="G1177" s="11">
        <v>9650.0</v>
      </c>
      <c r="K1177" s="23">
        <v>991.0</v>
      </c>
    </row>
    <row r="1178">
      <c r="A1178" s="7" t="s">
        <v>1282</v>
      </c>
      <c r="B1178" s="7" t="s">
        <v>1283</v>
      </c>
      <c r="C1178" s="8">
        <v>320.0</v>
      </c>
      <c r="D1178" s="8">
        <v>799.0</v>
      </c>
      <c r="E1178" s="19">
        <v>0.6</v>
      </c>
      <c r="F1178" s="10">
        <v>4.2</v>
      </c>
      <c r="G1178" s="11">
        <v>3846.0</v>
      </c>
      <c r="K1178" s="23">
        <v>479.0</v>
      </c>
    </row>
    <row r="1179">
      <c r="A1179" s="7" t="s">
        <v>1284</v>
      </c>
      <c r="B1179" s="7" t="s">
        <v>1093</v>
      </c>
      <c r="C1179" s="8">
        <v>298.0</v>
      </c>
      <c r="D1179" s="8">
        <v>499.0</v>
      </c>
      <c r="E1179" s="19">
        <v>0.4</v>
      </c>
      <c r="F1179" s="10">
        <v>4.4</v>
      </c>
      <c r="G1179" s="10">
        <v>290.0</v>
      </c>
      <c r="K1179" s="23">
        <v>201.0</v>
      </c>
    </row>
    <row r="1180">
      <c r="A1180" s="7" t="s">
        <v>1285</v>
      </c>
      <c r="B1180" s="7" t="s">
        <v>1144</v>
      </c>
      <c r="C1180" s="8">
        <v>1199.0</v>
      </c>
      <c r="D1180" s="8">
        <v>1499.0</v>
      </c>
      <c r="E1180" s="19">
        <v>0.2</v>
      </c>
      <c r="F1180" s="10">
        <v>3.8</v>
      </c>
      <c r="G1180" s="11">
        <v>2206.0</v>
      </c>
      <c r="K1180" s="23">
        <v>300.0</v>
      </c>
    </row>
    <row r="1181">
      <c r="A1181" s="7" t="s">
        <v>1286</v>
      </c>
      <c r="B1181" s="7" t="s">
        <v>1186</v>
      </c>
      <c r="C1181" s="8">
        <v>1399.0</v>
      </c>
      <c r="D1181" s="8">
        <v>2660.0</v>
      </c>
      <c r="E1181" s="19">
        <v>0.47</v>
      </c>
      <c r="F1181" s="10">
        <v>4.1</v>
      </c>
      <c r="G1181" s="11">
        <v>9349.0</v>
      </c>
      <c r="K1181" s="23">
        <v>1261.0</v>
      </c>
    </row>
    <row r="1182">
      <c r="A1182" s="7" t="s">
        <v>1287</v>
      </c>
      <c r="B1182" s="7" t="s">
        <v>1095</v>
      </c>
      <c r="C1182" s="8">
        <v>599.0</v>
      </c>
      <c r="D1182" s="8">
        <v>2799.0</v>
      </c>
      <c r="E1182" s="19">
        <v>0.79</v>
      </c>
      <c r="F1182" s="10">
        <v>3.9</v>
      </c>
      <c r="G1182" s="10">
        <v>578.0</v>
      </c>
      <c r="K1182" s="23">
        <v>2200.0</v>
      </c>
    </row>
    <row r="1183">
      <c r="A1183" s="7" t="s">
        <v>1288</v>
      </c>
      <c r="B1183" s="7" t="s">
        <v>1206</v>
      </c>
      <c r="C1183" s="8">
        <v>1499.0</v>
      </c>
      <c r="D1183" s="8">
        <v>1499.0</v>
      </c>
      <c r="E1183" s="19">
        <v>0.0</v>
      </c>
      <c r="F1183" s="10">
        <v>4.3</v>
      </c>
      <c r="G1183" s="11">
        <v>9331.0</v>
      </c>
      <c r="K1183" s="23">
        <v>0.0</v>
      </c>
    </row>
    <row r="1184">
      <c r="A1184" s="7" t="s">
        <v>1289</v>
      </c>
      <c r="B1184" s="7" t="s">
        <v>1278</v>
      </c>
      <c r="C1184" s="8">
        <v>14400.0</v>
      </c>
      <c r="D1184" s="8">
        <v>59900.0</v>
      </c>
      <c r="E1184" s="19">
        <v>0.76</v>
      </c>
      <c r="F1184" s="10">
        <v>4.4</v>
      </c>
      <c r="G1184" s="11">
        <v>3837.0</v>
      </c>
      <c r="K1184" s="23">
        <v>45500.0</v>
      </c>
    </row>
    <row r="1185">
      <c r="A1185" s="7" t="s">
        <v>1290</v>
      </c>
      <c r="B1185" s="7" t="s">
        <v>1280</v>
      </c>
      <c r="C1185" s="8">
        <v>1699.0</v>
      </c>
      <c r="D1185" s="8">
        <v>1900.0</v>
      </c>
      <c r="E1185" s="19">
        <v>0.11</v>
      </c>
      <c r="F1185" s="10">
        <v>3.6</v>
      </c>
      <c r="G1185" s="11">
        <v>11456.0</v>
      </c>
      <c r="K1185" s="23">
        <v>201.0</v>
      </c>
    </row>
    <row r="1186">
      <c r="A1186" s="7" t="s">
        <v>1291</v>
      </c>
      <c r="B1186" s="7" t="s">
        <v>1089</v>
      </c>
      <c r="C1186" s="8">
        <v>649.0</v>
      </c>
      <c r="D1186" s="8">
        <v>999.0</v>
      </c>
      <c r="E1186" s="19">
        <v>0.35</v>
      </c>
      <c r="F1186" s="10">
        <v>3.8</v>
      </c>
      <c r="G1186" s="10">
        <v>49.0</v>
      </c>
      <c r="K1186" s="23">
        <v>350.0</v>
      </c>
    </row>
    <row r="1187">
      <c r="A1187" s="7" t="s">
        <v>1292</v>
      </c>
      <c r="B1187" s="7" t="s">
        <v>1113</v>
      </c>
      <c r="C1187" s="8">
        <v>3249.0</v>
      </c>
      <c r="D1187" s="8">
        <v>6375.0</v>
      </c>
      <c r="E1187" s="19">
        <v>0.49</v>
      </c>
      <c r="F1187" s="10">
        <v>4.0</v>
      </c>
      <c r="G1187" s="11">
        <v>4978.0</v>
      </c>
      <c r="K1187" s="23">
        <v>3126.0</v>
      </c>
    </row>
    <row r="1188">
      <c r="A1188" s="7" t="s">
        <v>1293</v>
      </c>
      <c r="B1188" s="7" t="s">
        <v>1137</v>
      </c>
      <c r="C1188" s="8">
        <v>199.0</v>
      </c>
      <c r="D1188" s="8">
        <v>499.0</v>
      </c>
      <c r="E1188" s="19">
        <v>0.6</v>
      </c>
      <c r="F1188" s="10">
        <v>4.1</v>
      </c>
      <c r="G1188" s="11">
        <v>1996.0</v>
      </c>
      <c r="K1188" s="23">
        <v>300.0</v>
      </c>
    </row>
    <row r="1189">
      <c r="A1189" s="7" t="s">
        <v>1294</v>
      </c>
      <c r="B1189" s="7" t="s">
        <v>1155</v>
      </c>
      <c r="C1189" s="8">
        <v>1099.0</v>
      </c>
      <c r="D1189" s="8">
        <v>1899.0</v>
      </c>
      <c r="E1189" s="19">
        <v>0.42</v>
      </c>
      <c r="F1189" s="10">
        <v>4.3</v>
      </c>
      <c r="G1189" s="11">
        <v>1811.0</v>
      </c>
      <c r="K1189" s="23">
        <v>800.0</v>
      </c>
    </row>
    <row r="1190">
      <c r="A1190" s="7" t="s">
        <v>1295</v>
      </c>
      <c r="B1190" s="7" t="s">
        <v>1086</v>
      </c>
      <c r="C1190" s="8">
        <v>664.0</v>
      </c>
      <c r="D1190" s="8">
        <v>1490.0</v>
      </c>
      <c r="E1190" s="19">
        <v>0.55</v>
      </c>
      <c r="F1190" s="10">
        <v>4.0</v>
      </c>
      <c r="G1190" s="11">
        <v>2198.0</v>
      </c>
      <c r="K1190" s="23">
        <v>826.0</v>
      </c>
    </row>
    <row r="1191">
      <c r="A1191" s="7" t="s">
        <v>1296</v>
      </c>
      <c r="B1191" s="7" t="s">
        <v>1159</v>
      </c>
      <c r="C1191" s="8">
        <v>260.0</v>
      </c>
      <c r="D1191" s="8">
        <v>350.0</v>
      </c>
      <c r="E1191" s="19">
        <v>0.26</v>
      </c>
      <c r="F1191" s="10">
        <v>3.9</v>
      </c>
      <c r="G1191" s="11">
        <v>13127.0</v>
      </c>
      <c r="K1191" s="23">
        <v>90.0</v>
      </c>
    </row>
    <row r="1192">
      <c r="A1192" s="7" t="s">
        <v>1297</v>
      </c>
      <c r="B1192" s="7" t="s">
        <v>1123</v>
      </c>
      <c r="C1192" s="8">
        <v>6499.0</v>
      </c>
      <c r="D1192" s="8">
        <v>8500.0</v>
      </c>
      <c r="E1192" s="19">
        <v>0.24</v>
      </c>
      <c r="F1192" s="10">
        <v>4.4</v>
      </c>
      <c r="G1192" s="11">
        <v>5865.0</v>
      </c>
      <c r="K1192" s="23">
        <v>2001.0</v>
      </c>
    </row>
    <row r="1193">
      <c r="A1193" s="7" t="s">
        <v>1298</v>
      </c>
      <c r="B1193" s="7" t="s">
        <v>1299</v>
      </c>
      <c r="C1193" s="8">
        <v>1484.0</v>
      </c>
      <c r="D1193" s="8">
        <v>2499.0</v>
      </c>
      <c r="E1193" s="19">
        <v>0.41</v>
      </c>
      <c r="F1193" s="10">
        <v>3.7</v>
      </c>
      <c r="G1193" s="11">
        <v>1067.0</v>
      </c>
      <c r="K1193" s="23">
        <v>1015.0</v>
      </c>
    </row>
    <row r="1194">
      <c r="A1194" s="7" t="s">
        <v>1300</v>
      </c>
      <c r="B1194" s="7" t="s">
        <v>1139</v>
      </c>
      <c r="C1194" s="8">
        <v>999.0</v>
      </c>
      <c r="D1194" s="8">
        <v>1560.0</v>
      </c>
      <c r="E1194" s="19">
        <v>0.36</v>
      </c>
      <c r="F1194" s="10">
        <v>3.6</v>
      </c>
      <c r="G1194" s="11">
        <v>4881.0</v>
      </c>
      <c r="K1194" s="23">
        <v>561.0</v>
      </c>
    </row>
    <row r="1195">
      <c r="A1195" s="7" t="s">
        <v>1301</v>
      </c>
      <c r="B1195" s="7" t="s">
        <v>1144</v>
      </c>
      <c r="C1195" s="8">
        <v>3299.0</v>
      </c>
      <c r="D1195" s="8">
        <v>6500.0</v>
      </c>
      <c r="E1195" s="19">
        <v>0.49</v>
      </c>
      <c r="F1195" s="10">
        <v>3.7</v>
      </c>
      <c r="G1195" s="11">
        <v>11217.0</v>
      </c>
      <c r="K1195" s="23">
        <v>3201.0</v>
      </c>
    </row>
    <row r="1196">
      <c r="A1196" s="7" t="s">
        <v>1302</v>
      </c>
      <c r="B1196" s="7" t="s">
        <v>1109</v>
      </c>
      <c r="C1196" s="8">
        <v>259.0</v>
      </c>
      <c r="D1196" s="8">
        <v>999.0</v>
      </c>
      <c r="E1196" s="19">
        <v>0.74</v>
      </c>
      <c r="F1196" s="10">
        <v>4.0</v>
      </c>
      <c r="G1196" s="10">
        <v>43.0</v>
      </c>
      <c r="K1196" s="23">
        <v>740.0</v>
      </c>
    </row>
    <row r="1197">
      <c r="A1197" s="7" t="s">
        <v>1303</v>
      </c>
      <c r="B1197" s="7" t="s">
        <v>1113</v>
      </c>
      <c r="C1197" s="8">
        <v>3249.0</v>
      </c>
      <c r="D1197" s="8">
        <v>7795.0</v>
      </c>
      <c r="E1197" s="19">
        <v>0.58</v>
      </c>
      <c r="F1197" s="10">
        <v>4.2</v>
      </c>
      <c r="G1197" s="11">
        <v>4664.0</v>
      </c>
      <c r="K1197" s="23">
        <v>4546.0</v>
      </c>
    </row>
    <row r="1198">
      <c r="A1198" s="7" t="s">
        <v>1304</v>
      </c>
      <c r="B1198" s="7" t="s">
        <v>1139</v>
      </c>
      <c r="C1198" s="8">
        <v>4280.0</v>
      </c>
      <c r="D1198" s="8">
        <v>5995.0</v>
      </c>
      <c r="E1198" s="19">
        <v>0.29</v>
      </c>
      <c r="F1198" s="10">
        <v>3.8</v>
      </c>
      <c r="G1198" s="11">
        <v>2112.0</v>
      </c>
      <c r="K1198" s="23">
        <v>1715.0</v>
      </c>
    </row>
    <row r="1199">
      <c r="A1199" s="7" t="s">
        <v>1305</v>
      </c>
      <c r="B1199" s="7" t="s">
        <v>1306</v>
      </c>
      <c r="C1199" s="8">
        <v>189.0</v>
      </c>
      <c r="D1199" s="8">
        <v>299.0</v>
      </c>
      <c r="E1199" s="19">
        <v>0.37</v>
      </c>
      <c r="F1199" s="10">
        <v>4.2</v>
      </c>
      <c r="G1199" s="11">
        <v>2737.0</v>
      </c>
      <c r="K1199" s="23">
        <v>110.0</v>
      </c>
    </row>
    <row r="1200">
      <c r="A1200" s="7" t="s">
        <v>1307</v>
      </c>
      <c r="B1200" s="7" t="s">
        <v>1186</v>
      </c>
      <c r="C1200" s="8">
        <v>1449.0</v>
      </c>
      <c r="D1200" s="8">
        <v>2349.0</v>
      </c>
      <c r="E1200" s="19">
        <v>0.38</v>
      </c>
      <c r="F1200" s="10">
        <v>3.9</v>
      </c>
      <c r="G1200" s="11">
        <v>9019.0</v>
      </c>
      <c r="K1200" s="23">
        <v>900.0</v>
      </c>
    </row>
    <row r="1201">
      <c r="A1201" s="7" t="s">
        <v>1308</v>
      </c>
      <c r="B1201" s="7" t="s">
        <v>1137</v>
      </c>
      <c r="C1201" s="8">
        <v>199.0</v>
      </c>
      <c r="D1201" s="8">
        <v>499.0</v>
      </c>
      <c r="E1201" s="19">
        <v>0.6</v>
      </c>
      <c r="F1201" s="10">
        <v>4.0</v>
      </c>
      <c r="G1201" s="11">
        <v>10234.0</v>
      </c>
      <c r="K1201" s="23">
        <v>300.0</v>
      </c>
    </row>
    <row r="1202">
      <c r="A1202" s="7" t="s">
        <v>1309</v>
      </c>
      <c r="B1202" s="7" t="s">
        <v>1310</v>
      </c>
      <c r="C1202" s="8">
        <v>474.0</v>
      </c>
      <c r="D1202" s="8">
        <v>1299.0</v>
      </c>
      <c r="E1202" s="19">
        <v>0.64</v>
      </c>
      <c r="F1202" s="10">
        <v>4.1</v>
      </c>
      <c r="G1202" s="10">
        <v>550.0</v>
      </c>
      <c r="K1202" s="23">
        <v>825.0</v>
      </c>
    </row>
    <row r="1203">
      <c r="A1203" s="7" t="s">
        <v>1311</v>
      </c>
      <c r="B1203" s="7" t="s">
        <v>1109</v>
      </c>
      <c r="C1203" s="8">
        <v>279.0</v>
      </c>
      <c r="D1203" s="8">
        <v>499.0</v>
      </c>
      <c r="E1203" s="19">
        <v>0.44</v>
      </c>
      <c r="F1203" s="10">
        <v>4.8</v>
      </c>
      <c r="G1203" s="10">
        <v>28.0</v>
      </c>
      <c r="K1203" s="23">
        <v>220.0</v>
      </c>
    </row>
    <row r="1204">
      <c r="A1204" s="7" t="s">
        <v>1312</v>
      </c>
      <c r="B1204" s="7" t="s">
        <v>1186</v>
      </c>
      <c r="C1204" s="8">
        <v>1999.0</v>
      </c>
      <c r="D1204" s="8">
        <v>4775.0</v>
      </c>
      <c r="E1204" s="19">
        <v>0.58</v>
      </c>
      <c r="F1204" s="10">
        <v>4.2</v>
      </c>
      <c r="G1204" s="11">
        <v>1353.0</v>
      </c>
      <c r="K1204" s="23">
        <v>2776.0</v>
      </c>
    </row>
    <row r="1205">
      <c r="A1205" s="7" t="s">
        <v>1313</v>
      </c>
      <c r="B1205" s="7" t="s">
        <v>1093</v>
      </c>
      <c r="C1205" s="8">
        <v>799.0</v>
      </c>
      <c r="D1205" s="8">
        <v>1230.0</v>
      </c>
      <c r="E1205" s="19">
        <v>0.35</v>
      </c>
      <c r="F1205" s="10">
        <v>4.1</v>
      </c>
      <c r="G1205" s="11">
        <v>2138.0</v>
      </c>
      <c r="K1205" s="23">
        <v>431.0</v>
      </c>
    </row>
    <row r="1206">
      <c r="A1206" s="7" t="s">
        <v>1314</v>
      </c>
      <c r="B1206" s="7" t="s">
        <v>1173</v>
      </c>
      <c r="C1206" s="8">
        <v>949.0</v>
      </c>
      <c r="D1206" s="8">
        <v>1999.0</v>
      </c>
      <c r="E1206" s="19">
        <v>0.53</v>
      </c>
      <c r="F1206" s="10">
        <v>4.0</v>
      </c>
      <c r="G1206" s="11">
        <v>1679.0</v>
      </c>
      <c r="K1206" s="23">
        <v>1050.0</v>
      </c>
    </row>
    <row r="1207">
      <c r="A1207" s="7" t="s">
        <v>1315</v>
      </c>
      <c r="B1207" s="7" t="s">
        <v>1316</v>
      </c>
      <c r="C1207" s="8">
        <v>3657.66</v>
      </c>
      <c r="D1207" s="8">
        <v>5156.0</v>
      </c>
      <c r="E1207" s="19">
        <v>0.29</v>
      </c>
      <c r="F1207" s="10">
        <v>3.9</v>
      </c>
      <c r="G1207" s="11">
        <v>12837.0</v>
      </c>
      <c r="K1207" s="23">
        <v>1498.3400000000001</v>
      </c>
    </row>
    <row r="1208">
      <c r="A1208" s="7" t="s">
        <v>1317</v>
      </c>
      <c r="B1208" s="7" t="s">
        <v>1318</v>
      </c>
      <c r="C1208" s="8">
        <v>1699.0</v>
      </c>
      <c r="D1208" s="8">
        <v>1999.0</v>
      </c>
      <c r="E1208" s="19">
        <v>0.15</v>
      </c>
      <c r="F1208" s="10">
        <v>4.1</v>
      </c>
      <c r="G1208" s="11">
        <v>8873.0</v>
      </c>
      <c r="K1208" s="23">
        <v>300.0</v>
      </c>
    </row>
    <row r="1209">
      <c r="A1209" s="7" t="s">
        <v>1319</v>
      </c>
      <c r="B1209" s="7" t="s">
        <v>1139</v>
      </c>
      <c r="C1209" s="8">
        <v>1849.0</v>
      </c>
      <c r="D1209" s="8">
        <v>2095.0</v>
      </c>
      <c r="E1209" s="19">
        <v>0.12</v>
      </c>
      <c r="F1209" s="10">
        <v>4.3</v>
      </c>
      <c r="G1209" s="11">
        <v>7681.0</v>
      </c>
      <c r="K1209" s="23">
        <v>246.0</v>
      </c>
    </row>
    <row r="1210">
      <c r="A1210" s="7" t="s">
        <v>1320</v>
      </c>
      <c r="B1210" s="7" t="s">
        <v>1091</v>
      </c>
      <c r="C1210" s="8">
        <v>12499.0</v>
      </c>
      <c r="D1210" s="8">
        <v>19825.0</v>
      </c>
      <c r="E1210" s="19">
        <v>0.37</v>
      </c>
      <c r="F1210" s="10">
        <v>4.1</v>
      </c>
      <c r="G1210" s="10">
        <v>322.0</v>
      </c>
      <c r="K1210" s="23">
        <v>7326.0</v>
      </c>
    </row>
    <row r="1211">
      <c r="A1211" s="7" t="s">
        <v>1321</v>
      </c>
      <c r="B1211" s="7" t="s">
        <v>1111</v>
      </c>
      <c r="C1211" s="8">
        <v>1099.0</v>
      </c>
      <c r="D1211" s="8">
        <v>1920.0</v>
      </c>
      <c r="E1211" s="19">
        <v>0.43</v>
      </c>
      <c r="F1211" s="10">
        <v>4.2</v>
      </c>
      <c r="G1211" s="11">
        <v>9772.0</v>
      </c>
      <c r="K1211" s="23">
        <v>821.0</v>
      </c>
    </row>
    <row r="1212">
      <c r="A1212" s="7" t="s">
        <v>1322</v>
      </c>
      <c r="B1212" s="7" t="s">
        <v>1280</v>
      </c>
      <c r="C1212" s="8">
        <v>8199.0</v>
      </c>
      <c r="D1212" s="8">
        <v>16000.0</v>
      </c>
      <c r="E1212" s="19">
        <v>0.49</v>
      </c>
      <c r="F1212" s="10">
        <v>3.9</v>
      </c>
      <c r="G1212" s="11">
        <v>18497.0</v>
      </c>
      <c r="K1212" s="23">
        <v>7801.0</v>
      </c>
    </row>
    <row r="1213">
      <c r="A1213" s="7" t="s">
        <v>1323</v>
      </c>
      <c r="B1213" s="7" t="s">
        <v>1144</v>
      </c>
      <c r="C1213" s="8">
        <v>499.0</v>
      </c>
      <c r="D1213" s="8">
        <v>2199.0</v>
      </c>
      <c r="E1213" s="19">
        <v>0.77</v>
      </c>
      <c r="F1213" s="10">
        <v>3.7</v>
      </c>
      <c r="G1213" s="10">
        <v>53.0</v>
      </c>
      <c r="K1213" s="23">
        <v>1700.0</v>
      </c>
    </row>
    <row r="1214">
      <c r="A1214" s="7" t="s">
        <v>1324</v>
      </c>
      <c r="B1214" s="7" t="s">
        <v>1148</v>
      </c>
      <c r="C1214" s="8">
        <v>6999.0</v>
      </c>
      <c r="D1214" s="8">
        <v>14999.0</v>
      </c>
      <c r="E1214" s="19">
        <v>0.53</v>
      </c>
      <c r="F1214" s="10">
        <v>4.1</v>
      </c>
      <c r="G1214" s="11">
        <v>1728.0</v>
      </c>
      <c r="K1214" s="23">
        <v>8000.0</v>
      </c>
    </row>
    <row r="1215">
      <c r="A1215" s="7" t="s">
        <v>1325</v>
      </c>
      <c r="B1215" s="7" t="s">
        <v>1184</v>
      </c>
      <c r="C1215" s="8">
        <v>1595.0</v>
      </c>
      <c r="D1215" s="8">
        <v>1799.0</v>
      </c>
      <c r="E1215" s="19">
        <v>0.11</v>
      </c>
      <c r="F1215" s="10">
        <v>4.0</v>
      </c>
      <c r="G1215" s="11">
        <v>2877.0</v>
      </c>
      <c r="K1215" s="23">
        <v>204.0</v>
      </c>
    </row>
    <row r="1216">
      <c r="A1216" s="7" t="s">
        <v>1326</v>
      </c>
      <c r="B1216" s="7" t="s">
        <v>1111</v>
      </c>
      <c r="C1216" s="8">
        <v>1049.0</v>
      </c>
      <c r="D1216" s="8">
        <v>1950.0</v>
      </c>
      <c r="E1216" s="19">
        <v>0.46</v>
      </c>
      <c r="F1216" s="10">
        <v>3.8</v>
      </c>
      <c r="G1216" s="10">
        <v>250.0</v>
      </c>
      <c r="K1216" s="23">
        <v>901.0</v>
      </c>
    </row>
    <row r="1217">
      <c r="A1217" s="7" t="s">
        <v>1327</v>
      </c>
      <c r="B1217" s="7" t="s">
        <v>1121</v>
      </c>
      <c r="C1217" s="8">
        <v>1182.0</v>
      </c>
      <c r="D1217" s="8">
        <v>2995.0</v>
      </c>
      <c r="E1217" s="19">
        <v>0.61</v>
      </c>
      <c r="F1217" s="10">
        <v>4.2</v>
      </c>
      <c r="G1217" s="11">
        <v>5178.0</v>
      </c>
      <c r="K1217" s="23">
        <v>1813.0</v>
      </c>
    </row>
    <row r="1218">
      <c r="A1218" s="7" t="s">
        <v>1328</v>
      </c>
      <c r="B1218" s="7" t="s">
        <v>1093</v>
      </c>
      <c r="C1218" s="8">
        <v>499.0</v>
      </c>
      <c r="D1218" s="8">
        <v>999.0</v>
      </c>
      <c r="E1218" s="19">
        <v>0.5</v>
      </c>
      <c r="F1218" s="10">
        <v>4.6</v>
      </c>
      <c r="G1218" s="10">
        <v>79.0</v>
      </c>
      <c r="K1218" s="23">
        <v>500.0</v>
      </c>
    </row>
    <row r="1219">
      <c r="A1219" s="7" t="s">
        <v>1329</v>
      </c>
      <c r="B1219" s="7" t="s">
        <v>1278</v>
      </c>
      <c r="C1219" s="8">
        <v>8799.0</v>
      </c>
      <c r="D1219" s="8">
        <v>11995.0</v>
      </c>
      <c r="E1219" s="19">
        <v>0.27</v>
      </c>
      <c r="F1219" s="10">
        <v>4.1</v>
      </c>
      <c r="G1219" s="11">
        <v>4157.0</v>
      </c>
      <c r="K1219" s="23">
        <v>3196.0</v>
      </c>
    </row>
    <row r="1220">
      <c r="A1220" s="7" t="s">
        <v>1330</v>
      </c>
      <c r="B1220" s="7" t="s">
        <v>1089</v>
      </c>
      <c r="C1220" s="8">
        <v>1529.0</v>
      </c>
      <c r="D1220" s="8">
        <v>2999.0</v>
      </c>
      <c r="E1220" s="19">
        <v>0.49</v>
      </c>
      <c r="F1220" s="10">
        <v>3.3</v>
      </c>
      <c r="G1220" s="10">
        <v>29.0</v>
      </c>
      <c r="K1220" s="23">
        <v>1470.0</v>
      </c>
    </row>
    <row r="1221">
      <c r="A1221" s="7" t="s">
        <v>1331</v>
      </c>
      <c r="B1221" s="7" t="s">
        <v>1111</v>
      </c>
      <c r="C1221" s="8">
        <v>1199.0</v>
      </c>
      <c r="D1221" s="8">
        <v>1690.0</v>
      </c>
      <c r="E1221" s="19">
        <v>0.29</v>
      </c>
      <c r="F1221" s="10">
        <v>4.2</v>
      </c>
      <c r="G1221" s="11">
        <v>4580.0</v>
      </c>
      <c r="K1221" s="23">
        <v>491.0</v>
      </c>
    </row>
    <row r="1222">
      <c r="A1222" s="7" t="s">
        <v>1332</v>
      </c>
      <c r="B1222" s="7" t="s">
        <v>1155</v>
      </c>
      <c r="C1222" s="8">
        <v>1052.0</v>
      </c>
      <c r="D1222" s="8">
        <v>1790.0</v>
      </c>
      <c r="E1222" s="19">
        <v>0.41</v>
      </c>
      <c r="F1222" s="10">
        <v>4.3</v>
      </c>
      <c r="G1222" s="11">
        <v>1404.0</v>
      </c>
      <c r="K1222" s="23">
        <v>738.0</v>
      </c>
    </row>
    <row r="1223">
      <c r="A1223" s="7" t="s">
        <v>1333</v>
      </c>
      <c r="B1223" s="7" t="s">
        <v>1334</v>
      </c>
      <c r="C1223" s="8">
        <v>6499.0</v>
      </c>
      <c r="D1223" s="8">
        <v>8995.0</v>
      </c>
      <c r="E1223" s="19">
        <v>0.28</v>
      </c>
      <c r="F1223" s="10">
        <v>4.3</v>
      </c>
      <c r="G1223" s="11">
        <v>2810.0</v>
      </c>
      <c r="K1223" s="23">
        <v>2496.0</v>
      </c>
    </row>
    <row r="1224">
      <c r="A1224" s="7" t="s">
        <v>1335</v>
      </c>
      <c r="B1224" s="7" t="s">
        <v>1179</v>
      </c>
      <c r="C1224" s="8">
        <v>239.0</v>
      </c>
      <c r="D1224" s="8">
        <v>239.0</v>
      </c>
      <c r="E1224" s="19">
        <v>0.0</v>
      </c>
      <c r="F1224" s="10">
        <v>4.3</v>
      </c>
      <c r="G1224" s="10">
        <v>7.0</v>
      </c>
      <c r="K1224" s="23">
        <v>0.0</v>
      </c>
    </row>
    <row r="1225">
      <c r="A1225" s="7" t="s">
        <v>1336</v>
      </c>
      <c r="B1225" s="7" t="s">
        <v>1109</v>
      </c>
      <c r="C1225" s="8">
        <v>699.0</v>
      </c>
      <c r="D1225" s="8">
        <v>1599.0</v>
      </c>
      <c r="E1225" s="19">
        <v>0.56</v>
      </c>
      <c r="F1225" s="10">
        <v>4.7</v>
      </c>
      <c r="G1225" s="11">
        <v>1729.0</v>
      </c>
      <c r="K1225" s="23">
        <v>900.0</v>
      </c>
    </row>
    <row r="1226">
      <c r="A1226" s="7" t="s">
        <v>1337</v>
      </c>
      <c r="B1226" s="7" t="s">
        <v>1338</v>
      </c>
      <c r="C1226" s="8">
        <v>2599.0</v>
      </c>
      <c r="D1226" s="8">
        <v>4290.0</v>
      </c>
      <c r="E1226" s="19">
        <v>0.39</v>
      </c>
      <c r="F1226" s="10">
        <v>4.4</v>
      </c>
      <c r="G1226" s="11">
        <v>2116.0</v>
      </c>
      <c r="K1226" s="23">
        <v>1691.0</v>
      </c>
    </row>
    <row r="1227">
      <c r="A1227" s="7" t="s">
        <v>1339</v>
      </c>
      <c r="B1227" s="7" t="s">
        <v>1148</v>
      </c>
      <c r="C1227" s="8">
        <v>1547.0</v>
      </c>
      <c r="D1227" s="8">
        <v>2890.0</v>
      </c>
      <c r="E1227" s="19">
        <v>0.46</v>
      </c>
      <c r="F1227" s="10">
        <v>3.9</v>
      </c>
      <c r="G1227" s="10">
        <v>463.0</v>
      </c>
      <c r="K1227" s="23">
        <v>1343.0</v>
      </c>
    </row>
    <row r="1228">
      <c r="A1228" s="7" t="s">
        <v>1340</v>
      </c>
      <c r="B1228" s="7" t="s">
        <v>1109</v>
      </c>
      <c r="C1228" s="8">
        <v>499.0</v>
      </c>
      <c r="D1228" s="8">
        <v>1299.0</v>
      </c>
      <c r="E1228" s="19">
        <v>0.62</v>
      </c>
      <c r="F1228" s="10">
        <v>4.7</v>
      </c>
      <c r="G1228" s="10">
        <v>54.0</v>
      </c>
      <c r="K1228" s="23">
        <v>800.0</v>
      </c>
    </row>
    <row r="1229">
      <c r="A1229" s="7" t="s">
        <v>1341</v>
      </c>
      <c r="B1229" s="7" t="s">
        <v>1131</v>
      </c>
      <c r="C1229" s="8">
        <v>510.0</v>
      </c>
      <c r="D1229" s="8">
        <v>640.0</v>
      </c>
      <c r="E1229" s="19">
        <v>0.2</v>
      </c>
      <c r="F1229" s="10">
        <v>4.1</v>
      </c>
      <c r="G1229" s="11">
        <v>7229.0</v>
      </c>
      <c r="K1229" s="23">
        <v>130.0</v>
      </c>
    </row>
    <row r="1230">
      <c r="A1230" s="7" t="s">
        <v>1342</v>
      </c>
      <c r="B1230" s="7" t="s">
        <v>1115</v>
      </c>
      <c r="C1230" s="8">
        <v>1899.0</v>
      </c>
      <c r="D1230" s="8">
        <v>3790.0</v>
      </c>
      <c r="E1230" s="19">
        <v>0.5</v>
      </c>
      <c r="F1230" s="10">
        <v>3.8</v>
      </c>
      <c r="G1230" s="11">
        <v>3842.0</v>
      </c>
      <c r="K1230" s="23">
        <v>1891.0</v>
      </c>
    </row>
    <row r="1231">
      <c r="A1231" s="7" t="s">
        <v>1343</v>
      </c>
      <c r="B1231" s="7" t="s">
        <v>1115</v>
      </c>
      <c r="C1231" s="8">
        <v>2599.0</v>
      </c>
      <c r="D1231" s="8">
        <v>4560.0</v>
      </c>
      <c r="E1231" s="19">
        <v>0.43</v>
      </c>
      <c r="F1231" s="10">
        <v>4.4</v>
      </c>
      <c r="G1231" s="10">
        <v>646.0</v>
      </c>
      <c r="K1231" s="23">
        <v>1961.0</v>
      </c>
    </row>
    <row r="1232">
      <c r="A1232" s="7" t="s">
        <v>1344</v>
      </c>
      <c r="B1232" s="7" t="s">
        <v>1155</v>
      </c>
      <c r="C1232" s="8">
        <v>1199.0</v>
      </c>
      <c r="D1232" s="8">
        <v>3500.0</v>
      </c>
      <c r="E1232" s="19">
        <v>0.66</v>
      </c>
      <c r="F1232" s="10">
        <v>4.3</v>
      </c>
      <c r="G1232" s="11">
        <v>1802.0</v>
      </c>
      <c r="K1232" s="23">
        <v>2301.0</v>
      </c>
    </row>
    <row r="1233">
      <c r="A1233" s="7" t="s">
        <v>1345</v>
      </c>
      <c r="B1233" s="7" t="s">
        <v>1115</v>
      </c>
      <c r="C1233" s="8">
        <v>999.0</v>
      </c>
      <c r="D1233" s="8">
        <v>2600.0</v>
      </c>
      <c r="E1233" s="19">
        <v>0.62</v>
      </c>
      <c r="F1233" s="10">
        <v>3.4</v>
      </c>
      <c r="G1233" s="10">
        <v>252.0</v>
      </c>
      <c r="K1233" s="23">
        <v>1601.0</v>
      </c>
    </row>
    <row r="1234">
      <c r="A1234" s="7" t="s">
        <v>1346</v>
      </c>
      <c r="B1234" s="7" t="s">
        <v>1104</v>
      </c>
      <c r="C1234" s="8">
        <v>1999.0</v>
      </c>
      <c r="D1234" s="8">
        <v>3300.0</v>
      </c>
      <c r="E1234" s="19">
        <v>0.39</v>
      </c>
      <c r="F1234" s="10">
        <v>4.2</v>
      </c>
      <c r="G1234" s="10">
        <v>780.0</v>
      </c>
      <c r="K1234" s="23">
        <v>1301.0</v>
      </c>
    </row>
    <row r="1235">
      <c r="A1235" s="7" t="s">
        <v>1347</v>
      </c>
      <c r="B1235" s="7" t="s">
        <v>1109</v>
      </c>
      <c r="C1235" s="8">
        <v>210.0</v>
      </c>
      <c r="D1235" s="8">
        <v>699.0</v>
      </c>
      <c r="E1235" s="19">
        <v>0.7</v>
      </c>
      <c r="F1235" s="10">
        <v>3.7</v>
      </c>
      <c r="G1235" s="10">
        <v>74.0</v>
      </c>
      <c r="K1235" s="23">
        <v>489.0</v>
      </c>
    </row>
    <row r="1236">
      <c r="A1236" s="7" t="s">
        <v>1348</v>
      </c>
      <c r="B1236" s="7" t="s">
        <v>1278</v>
      </c>
      <c r="C1236" s="8">
        <v>14499.0</v>
      </c>
      <c r="D1236" s="8">
        <v>23559.0</v>
      </c>
      <c r="E1236" s="19">
        <v>0.38</v>
      </c>
      <c r="F1236" s="10">
        <v>4.3</v>
      </c>
      <c r="G1236" s="11">
        <v>2026.0</v>
      </c>
      <c r="K1236" s="23">
        <v>9060.0</v>
      </c>
    </row>
    <row r="1237">
      <c r="A1237" s="7" t="s">
        <v>1349</v>
      </c>
      <c r="B1237" s="7" t="s">
        <v>1137</v>
      </c>
      <c r="C1237" s="8">
        <v>950.0</v>
      </c>
      <c r="D1237" s="8">
        <v>1599.0</v>
      </c>
      <c r="E1237" s="19">
        <v>0.41</v>
      </c>
      <c r="F1237" s="10">
        <v>4.3</v>
      </c>
      <c r="G1237" s="11">
        <v>5911.0</v>
      </c>
      <c r="K1237" s="23">
        <v>649.0</v>
      </c>
    </row>
    <row r="1238">
      <c r="A1238" s="7" t="s">
        <v>1350</v>
      </c>
      <c r="B1238" s="7" t="s">
        <v>1135</v>
      </c>
      <c r="C1238" s="8">
        <v>7199.0</v>
      </c>
      <c r="D1238" s="8">
        <v>9995.0</v>
      </c>
      <c r="E1238" s="19">
        <v>0.28</v>
      </c>
      <c r="F1238" s="10">
        <v>4.4</v>
      </c>
      <c r="G1238" s="11">
        <v>1964.0</v>
      </c>
      <c r="K1238" s="23">
        <v>2796.0</v>
      </c>
    </row>
    <row r="1239">
      <c r="A1239" s="7" t="s">
        <v>1351</v>
      </c>
      <c r="B1239" s="7" t="s">
        <v>1089</v>
      </c>
      <c r="C1239" s="8">
        <v>2439.0</v>
      </c>
      <c r="D1239" s="8">
        <v>2545.0</v>
      </c>
      <c r="E1239" s="19">
        <v>0.04</v>
      </c>
      <c r="F1239" s="10">
        <v>4.1</v>
      </c>
      <c r="G1239" s="10">
        <v>25.0</v>
      </c>
      <c r="K1239" s="23">
        <v>106.0</v>
      </c>
    </row>
    <row r="1240">
      <c r="A1240" s="7" t="s">
        <v>1352</v>
      </c>
      <c r="B1240" s="7" t="s">
        <v>1139</v>
      </c>
      <c r="C1240" s="8">
        <v>7799.0</v>
      </c>
      <c r="D1240" s="8">
        <v>8995.0</v>
      </c>
      <c r="E1240" s="19">
        <v>0.13</v>
      </c>
      <c r="F1240" s="10">
        <v>4.0</v>
      </c>
      <c r="G1240" s="11">
        <v>3160.0</v>
      </c>
      <c r="K1240" s="23">
        <v>1196.0</v>
      </c>
    </row>
    <row r="1241">
      <c r="A1241" s="7" t="s">
        <v>1353</v>
      </c>
      <c r="B1241" s="7" t="s">
        <v>1173</v>
      </c>
      <c r="C1241" s="8">
        <v>1599.0</v>
      </c>
      <c r="D1241" s="8">
        <v>1999.0</v>
      </c>
      <c r="E1241" s="19">
        <v>0.2</v>
      </c>
      <c r="F1241" s="10">
        <v>4.4</v>
      </c>
      <c r="G1241" s="11">
        <v>1558.0</v>
      </c>
      <c r="K1241" s="23">
        <v>400.0</v>
      </c>
    </row>
    <row r="1242">
      <c r="A1242" s="7" t="s">
        <v>1354</v>
      </c>
      <c r="B1242" s="7" t="s">
        <v>1113</v>
      </c>
      <c r="C1242" s="8">
        <v>2899.0</v>
      </c>
      <c r="D1242" s="8">
        <v>5500.0</v>
      </c>
      <c r="E1242" s="19">
        <v>0.47</v>
      </c>
      <c r="F1242" s="10">
        <v>3.8</v>
      </c>
      <c r="G1242" s="11">
        <v>8958.0</v>
      </c>
      <c r="K1242" s="23">
        <v>2601.0</v>
      </c>
    </row>
    <row r="1243">
      <c r="A1243" s="7" t="s">
        <v>1355</v>
      </c>
      <c r="B1243" s="7" t="s">
        <v>1299</v>
      </c>
      <c r="C1243" s="8">
        <v>9799.0</v>
      </c>
      <c r="D1243" s="8">
        <v>12150.0</v>
      </c>
      <c r="E1243" s="19">
        <v>0.19</v>
      </c>
      <c r="F1243" s="10">
        <v>4.3</v>
      </c>
      <c r="G1243" s="11">
        <v>13251.0</v>
      </c>
      <c r="K1243" s="23">
        <v>2351.0</v>
      </c>
    </row>
    <row r="1244">
      <c r="A1244" s="7" t="s">
        <v>1356</v>
      </c>
      <c r="B1244" s="7" t="s">
        <v>1139</v>
      </c>
      <c r="C1244" s="8">
        <v>3299.0</v>
      </c>
      <c r="D1244" s="8">
        <v>4995.0</v>
      </c>
      <c r="E1244" s="19">
        <v>0.34</v>
      </c>
      <c r="F1244" s="10">
        <v>3.8</v>
      </c>
      <c r="G1244" s="11">
        <v>1393.0</v>
      </c>
      <c r="K1244" s="23">
        <v>1696.0</v>
      </c>
    </row>
    <row r="1245">
      <c r="A1245" s="7" t="s">
        <v>1357</v>
      </c>
      <c r="B1245" s="7" t="s">
        <v>1109</v>
      </c>
      <c r="C1245" s="8">
        <v>669.0</v>
      </c>
      <c r="D1245" s="8">
        <v>1499.0</v>
      </c>
      <c r="E1245" s="19">
        <v>0.55</v>
      </c>
      <c r="F1245" s="10">
        <v>2.3</v>
      </c>
      <c r="G1245" s="10">
        <v>13.0</v>
      </c>
      <c r="K1245" s="23">
        <v>830.0</v>
      </c>
    </row>
    <row r="1246">
      <c r="A1246" s="7" t="s">
        <v>1358</v>
      </c>
      <c r="B1246" s="7" t="s">
        <v>1144</v>
      </c>
      <c r="C1246" s="8">
        <v>5890.0</v>
      </c>
      <c r="D1246" s="8">
        <v>7506.0</v>
      </c>
      <c r="E1246" s="19">
        <v>0.22</v>
      </c>
      <c r="F1246" s="10">
        <v>4.5</v>
      </c>
      <c r="G1246" s="11">
        <v>7241.0</v>
      </c>
      <c r="K1246" s="23">
        <v>1616.0</v>
      </c>
    </row>
    <row r="1247">
      <c r="A1247" s="7" t="s">
        <v>1359</v>
      </c>
      <c r="B1247" s="7" t="s">
        <v>1280</v>
      </c>
      <c r="C1247" s="8">
        <v>9199.0</v>
      </c>
      <c r="D1247" s="8">
        <v>18000.0</v>
      </c>
      <c r="E1247" s="19">
        <v>0.49</v>
      </c>
      <c r="F1247" s="10">
        <v>4.0</v>
      </c>
      <c r="G1247" s="11">
        <v>16020.0</v>
      </c>
      <c r="K1247" s="23">
        <v>8801.0</v>
      </c>
    </row>
    <row r="1248">
      <c r="A1248" s="7" t="s">
        <v>1360</v>
      </c>
      <c r="B1248" s="7" t="s">
        <v>1137</v>
      </c>
      <c r="C1248" s="8">
        <v>351.0</v>
      </c>
      <c r="D1248" s="8">
        <v>1099.0</v>
      </c>
      <c r="E1248" s="19">
        <v>0.68</v>
      </c>
      <c r="F1248" s="10">
        <v>3.7</v>
      </c>
      <c r="G1248" s="11">
        <v>1470.0</v>
      </c>
      <c r="K1248" s="23">
        <v>748.0</v>
      </c>
    </row>
    <row r="1249">
      <c r="A1249" s="7" t="s">
        <v>1361</v>
      </c>
      <c r="B1249" s="7" t="s">
        <v>1362</v>
      </c>
      <c r="C1249" s="8">
        <v>899.0</v>
      </c>
      <c r="D1249" s="8">
        <v>1900.0</v>
      </c>
      <c r="E1249" s="19">
        <v>0.53</v>
      </c>
      <c r="F1249" s="10">
        <v>4.0</v>
      </c>
      <c r="G1249" s="11">
        <v>3663.0</v>
      </c>
      <c r="K1249" s="23">
        <v>1001.0</v>
      </c>
    </row>
    <row r="1250">
      <c r="A1250" s="7" t="s">
        <v>1363</v>
      </c>
      <c r="B1250" s="7" t="s">
        <v>1121</v>
      </c>
      <c r="C1250" s="8">
        <v>1349.0</v>
      </c>
      <c r="D1250" s="8">
        <v>1850.0</v>
      </c>
      <c r="E1250" s="19">
        <v>0.27</v>
      </c>
      <c r="F1250" s="10">
        <v>4.4</v>
      </c>
      <c r="G1250" s="10">
        <v>638.0</v>
      </c>
      <c r="K1250" s="23">
        <v>501.0</v>
      </c>
    </row>
    <row r="1251">
      <c r="A1251" s="7" t="s">
        <v>1364</v>
      </c>
      <c r="B1251" s="7" t="s">
        <v>1263</v>
      </c>
      <c r="C1251" s="8">
        <v>6236.0</v>
      </c>
      <c r="D1251" s="8">
        <v>9999.0</v>
      </c>
      <c r="E1251" s="19">
        <v>0.38</v>
      </c>
      <c r="F1251" s="10">
        <v>4.1</v>
      </c>
      <c r="G1251" s="11">
        <v>3552.0</v>
      </c>
      <c r="K1251" s="23">
        <v>3763.0</v>
      </c>
    </row>
    <row r="1252">
      <c r="A1252" s="7" t="s">
        <v>1365</v>
      </c>
      <c r="B1252" s="7" t="s">
        <v>1109</v>
      </c>
      <c r="C1252" s="8">
        <v>2742.0</v>
      </c>
      <c r="D1252" s="8">
        <v>3995.0</v>
      </c>
      <c r="E1252" s="19">
        <v>0.31</v>
      </c>
      <c r="F1252" s="10">
        <v>4.4</v>
      </c>
      <c r="G1252" s="11">
        <v>11148.0</v>
      </c>
      <c r="K1252" s="23">
        <v>1253.0</v>
      </c>
    </row>
    <row r="1253">
      <c r="A1253" s="7" t="s">
        <v>1366</v>
      </c>
      <c r="B1253" s="7" t="s">
        <v>1299</v>
      </c>
      <c r="C1253" s="8">
        <v>721.0</v>
      </c>
      <c r="D1253" s="8">
        <v>1499.0</v>
      </c>
      <c r="E1253" s="19">
        <v>0.52</v>
      </c>
      <c r="F1253" s="10">
        <v>3.1</v>
      </c>
      <c r="G1253" s="11">
        <v>2449.0</v>
      </c>
      <c r="K1253" s="23">
        <v>778.0</v>
      </c>
    </row>
    <row r="1254">
      <c r="A1254" s="7" t="s">
        <v>1367</v>
      </c>
      <c r="B1254" s="7" t="s">
        <v>1139</v>
      </c>
      <c r="C1254" s="8">
        <v>2903.0</v>
      </c>
      <c r="D1254" s="8">
        <v>3295.0</v>
      </c>
      <c r="E1254" s="19">
        <v>0.12</v>
      </c>
      <c r="F1254" s="10">
        <v>4.3</v>
      </c>
      <c r="G1254" s="11">
        <v>2299.0</v>
      </c>
      <c r="K1254" s="23">
        <v>392.0</v>
      </c>
    </row>
    <row r="1255">
      <c r="A1255" s="7" t="s">
        <v>1368</v>
      </c>
      <c r="B1255" s="7" t="s">
        <v>1173</v>
      </c>
      <c r="C1255" s="8">
        <v>1656.0</v>
      </c>
      <c r="D1255" s="8">
        <v>2695.0</v>
      </c>
      <c r="E1255" s="19">
        <v>0.39</v>
      </c>
      <c r="F1255" s="10">
        <v>4.4</v>
      </c>
      <c r="G1255" s="11">
        <v>6027.0</v>
      </c>
      <c r="K1255" s="23">
        <v>1039.0</v>
      </c>
    </row>
    <row r="1256">
      <c r="A1256" s="7" t="s">
        <v>1369</v>
      </c>
      <c r="B1256" s="7" t="s">
        <v>1155</v>
      </c>
      <c r="C1256" s="8">
        <v>1399.0</v>
      </c>
      <c r="D1256" s="8">
        <v>2290.0</v>
      </c>
      <c r="E1256" s="19">
        <v>0.39</v>
      </c>
      <c r="F1256" s="10">
        <v>4.4</v>
      </c>
      <c r="G1256" s="10">
        <v>461.0</v>
      </c>
      <c r="K1256" s="23">
        <v>891.0</v>
      </c>
    </row>
    <row r="1257">
      <c r="A1257" s="7" t="s">
        <v>1370</v>
      </c>
      <c r="B1257" s="7" t="s">
        <v>1159</v>
      </c>
      <c r="C1257" s="8">
        <v>2079.0</v>
      </c>
      <c r="D1257" s="8">
        <v>3099.0</v>
      </c>
      <c r="E1257" s="19">
        <v>0.33</v>
      </c>
      <c r="F1257" s="10">
        <v>4.1</v>
      </c>
      <c r="G1257" s="10">
        <v>282.0</v>
      </c>
      <c r="K1257" s="23">
        <v>1020.0</v>
      </c>
    </row>
    <row r="1258">
      <c r="A1258" s="7" t="s">
        <v>1371</v>
      </c>
      <c r="B1258" s="7" t="s">
        <v>1131</v>
      </c>
      <c r="C1258" s="8">
        <v>999.0</v>
      </c>
      <c r="D1258" s="8">
        <v>1075.0</v>
      </c>
      <c r="E1258" s="19">
        <v>0.07</v>
      </c>
      <c r="F1258" s="10">
        <v>4.1</v>
      </c>
      <c r="G1258" s="11">
        <v>9275.0</v>
      </c>
      <c r="K1258" s="23">
        <v>76.0</v>
      </c>
    </row>
    <row r="1259">
      <c r="A1259" s="7" t="s">
        <v>1372</v>
      </c>
      <c r="B1259" s="7" t="s">
        <v>1148</v>
      </c>
      <c r="C1259" s="8">
        <v>3179.0</v>
      </c>
      <c r="D1259" s="8">
        <v>6999.0</v>
      </c>
      <c r="E1259" s="19">
        <v>0.55</v>
      </c>
      <c r="F1259" s="10">
        <v>4.0</v>
      </c>
      <c r="G1259" s="10">
        <v>743.0</v>
      </c>
      <c r="K1259" s="23">
        <v>3820.0</v>
      </c>
    </row>
    <row r="1260">
      <c r="A1260" s="7" t="s">
        <v>1373</v>
      </c>
      <c r="B1260" s="7" t="s">
        <v>1115</v>
      </c>
      <c r="C1260" s="8">
        <v>1049.0</v>
      </c>
      <c r="D1260" s="8">
        <v>2499.0</v>
      </c>
      <c r="E1260" s="19">
        <v>0.58</v>
      </c>
      <c r="F1260" s="10">
        <v>3.6</v>
      </c>
      <c r="G1260" s="10">
        <v>328.0</v>
      </c>
      <c r="K1260" s="23">
        <v>1450.0</v>
      </c>
    </row>
    <row r="1261">
      <c r="A1261" s="7" t="s">
        <v>1374</v>
      </c>
      <c r="B1261" s="7" t="s">
        <v>1115</v>
      </c>
      <c r="C1261" s="8">
        <v>3599.0</v>
      </c>
      <c r="D1261" s="8">
        <v>7290.0</v>
      </c>
      <c r="E1261" s="19">
        <v>0.51</v>
      </c>
      <c r="F1261" s="10">
        <v>3.9</v>
      </c>
      <c r="G1261" s="10">
        <v>942.0</v>
      </c>
      <c r="K1261" s="23">
        <v>3691.0</v>
      </c>
    </row>
    <row r="1262">
      <c r="A1262" s="7" t="s">
        <v>1375</v>
      </c>
      <c r="B1262" s="7" t="s">
        <v>1376</v>
      </c>
      <c r="C1262" s="8">
        <v>4799.0</v>
      </c>
      <c r="D1262" s="8">
        <v>5795.0</v>
      </c>
      <c r="E1262" s="19">
        <v>0.17</v>
      </c>
      <c r="F1262" s="10">
        <v>3.9</v>
      </c>
      <c r="G1262" s="11">
        <v>3815.0</v>
      </c>
      <c r="K1262" s="23">
        <v>996.0</v>
      </c>
    </row>
    <row r="1263">
      <c r="A1263" s="7" t="s">
        <v>1377</v>
      </c>
      <c r="B1263" s="7" t="s">
        <v>1113</v>
      </c>
      <c r="C1263" s="8">
        <v>1699.0</v>
      </c>
      <c r="D1263" s="8">
        <v>3398.0</v>
      </c>
      <c r="E1263" s="19">
        <v>0.5</v>
      </c>
      <c r="F1263" s="10">
        <v>3.8</v>
      </c>
      <c r="G1263" s="11">
        <v>7988.0</v>
      </c>
      <c r="K1263" s="23">
        <v>1699.0</v>
      </c>
    </row>
    <row r="1264">
      <c r="A1264" s="7" t="s">
        <v>1378</v>
      </c>
      <c r="B1264" s="7" t="s">
        <v>1121</v>
      </c>
      <c r="C1264" s="8">
        <v>664.0</v>
      </c>
      <c r="D1264" s="8">
        <v>1490.0</v>
      </c>
      <c r="E1264" s="19">
        <v>0.55</v>
      </c>
      <c r="F1264" s="10">
        <v>4.1</v>
      </c>
      <c r="G1264" s="10">
        <v>925.0</v>
      </c>
      <c r="K1264" s="23">
        <v>826.0</v>
      </c>
    </row>
    <row r="1265">
      <c r="A1265" s="7" t="s">
        <v>1379</v>
      </c>
      <c r="B1265" s="7" t="s">
        <v>1380</v>
      </c>
      <c r="C1265" s="8">
        <v>948.0</v>
      </c>
      <c r="D1265" s="8">
        <v>1620.0</v>
      </c>
      <c r="E1265" s="19">
        <v>0.41</v>
      </c>
      <c r="F1265" s="10">
        <v>4.1</v>
      </c>
      <c r="G1265" s="11">
        <v>4370.0</v>
      </c>
      <c r="K1265" s="23">
        <v>672.0</v>
      </c>
    </row>
    <row r="1266">
      <c r="A1266" s="7" t="s">
        <v>1381</v>
      </c>
      <c r="B1266" s="7" t="s">
        <v>1111</v>
      </c>
      <c r="C1266" s="8">
        <v>850.0</v>
      </c>
      <c r="D1266" s="8">
        <v>1000.0</v>
      </c>
      <c r="E1266" s="19">
        <v>0.15</v>
      </c>
      <c r="F1266" s="10">
        <v>4.1</v>
      </c>
      <c r="G1266" s="11">
        <v>7619.0</v>
      </c>
      <c r="K1266" s="23">
        <v>150.0</v>
      </c>
    </row>
    <row r="1267">
      <c r="A1267" s="7" t="s">
        <v>1382</v>
      </c>
      <c r="B1267" s="7" t="s">
        <v>1230</v>
      </c>
      <c r="C1267" s="8">
        <v>600.0</v>
      </c>
      <c r="D1267" s="8">
        <v>640.0</v>
      </c>
      <c r="E1267" s="19">
        <v>0.06</v>
      </c>
      <c r="F1267" s="10">
        <v>3.8</v>
      </c>
      <c r="G1267" s="11">
        <v>2593.0</v>
      </c>
      <c r="K1267" s="23">
        <v>40.0</v>
      </c>
    </row>
    <row r="1268">
      <c r="A1268" s="7" t="s">
        <v>1383</v>
      </c>
      <c r="B1268" s="7" t="s">
        <v>1089</v>
      </c>
      <c r="C1268" s="8">
        <v>3711.0</v>
      </c>
      <c r="D1268" s="8">
        <v>4495.0</v>
      </c>
      <c r="E1268" s="19">
        <v>0.17</v>
      </c>
      <c r="F1268" s="10">
        <v>4.3</v>
      </c>
      <c r="G1268" s="10">
        <v>356.0</v>
      </c>
      <c r="K1268" s="23">
        <v>784.0</v>
      </c>
    </row>
    <row r="1269">
      <c r="A1269" s="7" t="s">
        <v>1384</v>
      </c>
      <c r="B1269" s="7" t="s">
        <v>1095</v>
      </c>
      <c r="C1269" s="8">
        <v>799.0</v>
      </c>
      <c r="D1269" s="8">
        <v>2999.0</v>
      </c>
      <c r="E1269" s="19">
        <v>0.73</v>
      </c>
      <c r="F1269" s="10">
        <v>4.5</v>
      </c>
      <c r="G1269" s="10">
        <v>63.0</v>
      </c>
      <c r="K1269" s="23">
        <v>2200.0</v>
      </c>
    </row>
    <row r="1270">
      <c r="A1270" s="7" t="s">
        <v>1385</v>
      </c>
      <c r="B1270" s="7" t="s">
        <v>1228</v>
      </c>
      <c r="C1270" s="8">
        <v>980.0</v>
      </c>
      <c r="D1270" s="8">
        <v>980.0</v>
      </c>
      <c r="E1270" s="19">
        <v>0.0</v>
      </c>
      <c r="F1270" s="10">
        <v>4.2</v>
      </c>
      <c r="G1270" s="11">
        <v>4740.0</v>
      </c>
      <c r="K1270" s="23">
        <v>0.0</v>
      </c>
    </row>
    <row r="1271">
      <c r="A1271" s="7" t="s">
        <v>1386</v>
      </c>
      <c r="B1271" s="7" t="s">
        <v>1137</v>
      </c>
      <c r="C1271" s="8">
        <v>351.0</v>
      </c>
      <c r="D1271" s="8">
        <v>899.0</v>
      </c>
      <c r="E1271" s="19">
        <v>0.61</v>
      </c>
      <c r="F1271" s="10">
        <v>3.9</v>
      </c>
      <c r="G1271" s="10">
        <v>296.0</v>
      </c>
      <c r="K1271" s="23">
        <v>548.0</v>
      </c>
    </row>
    <row r="1272">
      <c r="A1272" s="7" t="s">
        <v>1387</v>
      </c>
      <c r="B1272" s="7" t="s">
        <v>1388</v>
      </c>
      <c r="C1272" s="8">
        <v>229.0</v>
      </c>
      <c r="D1272" s="8">
        <v>499.0</v>
      </c>
      <c r="E1272" s="19">
        <v>0.54</v>
      </c>
      <c r="F1272" s="10">
        <v>3.5</v>
      </c>
      <c r="G1272" s="10">
        <v>185.0</v>
      </c>
      <c r="K1272" s="23">
        <v>270.0</v>
      </c>
    </row>
    <row r="1273">
      <c r="A1273" s="7" t="s">
        <v>1389</v>
      </c>
      <c r="B1273" s="7" t="s">
        <v>1139</v>
      </c>
      <c r="C1273" s="8">
        <v>3349.0</v>
      </c>
      <c r="D1273" s="8">
        <v>3995.0</v>
      </c>
      <c r="E1273" s="19">
        <v>0.16</v>
      </c>
      <c r="F1273" s="10">
        <v>4.3</v>
      </c>
      <c r="G1273" s="11">
        <v>1954.0</v>
      </c>
      <c r="K1273" s="23">
        <v>646.0</v>
      </c>
    </row>
    <row r="1274">
      <c r="A1274" s="7" t="s">
        <v>1390</v>
      </c>
      <c r="B1274" s="7" t="s">
        <v>1123</v>
      </c>
      <c r="C1274" s="8">
        <v>5499.0</v>
      </c>
      <c r="D1274" s="8">
        <v>11500.0</v>
      </c>
      <c r="E1274" s="19">
        <v>0.52</v>
      </c>
      <c r="F1274" s="10">
        <v>3.9</v>
      </c>
      <c r="G1274" s="10">
        <v>959.0</v>
      </c>
      <c r="K1274" s="23">
        <v>6001.0</v>
      </c>
    </row>
    <row r="1275">
      <c r="A1275" s="7" t="s">
        <v>1391</v>
      </c>
      <c r="B1275" s="7" t="s">
        <v>1093</v>
      </c>
      <c r="C1275" s="8">
        <v>299.0</v>
      </c>
      <c r="D1275" s="8">
        <v>499.0</v>
      </c>
      <c r="E1275" s="19">
        <v>0.4</v>
      </c>
      <c r="F1275" s="10">
        <v>3.9</v>
      </c>
      <c r="G1275" s="11">
        <v>1015.0</v>
      </c>
      <c r="K1275" s="23">
        <v>200.0</v>
      </c>
    </row>
    <row r="1276">
      <c r="A1276" s="7" t="s">
        <v>1392</v>
      </c>
      <c r="B1276" s="7" t="s">
        <v>1393</v>
      </c>
      <c r="C1276" s="8">
        <v>2249.0</v>
      </c>
      <c r="D1276" s="8">
        <v>3550.0</v>
      </c>
      <c r="E1276" s="19">
        <v>0.37</v>
      </c>
      <c r="F1276" s="10">
        <v>4.0</v>
      </c>
      <c r="G1276" s="11">
        <v>3973.0</v>
      </c>
      <c r="K1276" s="23">
        <v>1301.0</v>
      </c>
    </row>
    <row r="1277">
      <c r="A1277" s="7" t="s">
        <v>1394</v>
      </c>
      <c r="B1277" s="7" t="s">
        <v>1155</v>
      </c>
      <c r="C1277" s="8">
        <v>699.0</v>
      </c>
      <c r="D1277" s="8">
        <v>1599.0</v>
      </c>
      <c r="E1277" s="19">
        <v>0.56</v>
      </c>
      <c r="F1277" s="10">
        <v>4.7</v>
      </c>
      <c r="G1277" s="11">
        <v>2300.0</v>
      </c>
      <c r="K1277" s="23">
        <v>900.0</v>
      </c>
    </row>
    <row r="1278">
      <c r="A1278" s="7" t="s">
        <v>1395</v>
      </c>
      <c r="B1278" s="7" t="s">
        <v>1089</v>
      </c>
      <c r="C1278" s="8">
        <v>1235.0</v>
      </c>
      <c r="D1278" s="8">
        <v>1499.0</v>
      </c>
      <c r="E1278" s="19">
        <v>0.18</v>
      </c>
      <c r="F1278" s="10">
        <v>4.1</v>
      </c>
      <c r="G1278" s="10">
        <v>203.0</v>
      </c>
      <c r="K1278" s="23">
        <v>264.0</v>
      </c>
    </row>
    <row r="1279">
      <c r="A1279" s="7" t="s">
        <v>1396</v>
      </c>
      <c r="B1279" s="7" t="s">
        <v>1173</v>
      </c>
      <c r="C1279" s="8">
        <v>1349.0</v>
      </c>
      <c r="D1279" s="8">
        <v>2999.0</v>
      </c>
      <c r="E1279" s="19">
        <v>0.55</v>
      </c>
      <c r="F1279" s="10">
        <v>3.8</v>
      </c>
      <c r="G1279" s="10">
        <v>441.0</v>
      </c>
      <c r="K1279" s="23">
        <v>1650.0</v>
      </c>
    </row>
    <row r="1280">
      <c r="A1280" s="7" t="s">
        <v>1397</v>
      </c>
      <c r="B1280" s="7" t="s">
        <v>1123</v>
      </c>
      <c r="C1280" s="8">
        <v>6800.0</v>
      </c>
      <c r="D1280" s="8">
        <v>11500.0</v>
      </c>
      <c r="E1280" s="19">
        <v>0.41</v>
      </c>
      <c r="F1280" s="10">
        <v>4.1</v>
      </c>
      <c r="G1280" s="11">
        <v>10308.0</v>
      </c>
      <c r="K1280" s="23">
        <v>4700.0</v>
      </c>
    </row>
    <row r="1281">
      <c r="A1281" s="7" t="s">
        <v>1398</v>
      </c>
      <c r="B1281" s="7" t="s">
        <v>1148</v>
      </c>
      <c r="C1281" s="8">
        <v>2099.0</v>
      </c>
      <c r="D1281" s="8">
        <v>2499.0</v>
      </c>
      <c r="E1281" s="19">
        <v>0.16</v>
      </c>
      <c r="F1281" s="7" t="s">
        <v>1399</v>
      </c>
      <c r="G1281" s="10">
        <v>992.0</v>
      </c>
      <c r="K1281" s="23">
        <v>400.0</v>
      </c>
    </row>
    <row r="1282">
      <c r="A1282" s="7" t="s">
        <v>1400</v>
      </c>
      <c r="B1282" s="7" t="s">
        <v>1159</v>
      </c>
      <c r="C1282" s="8">
        <v>1699.0</v>
      </c>
      <c r="D1282" s="8">
        <v>1975.0</v>
      </c>
      <c r="E1282" s="19">
        <v>0.14</v>
      </c>
      <c r="F1282" s="10">
        <v>4.1</v>
      </c>
      <c r="G1282" s="11">
        <v>4716.0</v>
      </c>
      <c r="K1282" s="23">
        <v>276.0</v>
      </c>
    </row>
    <row r="1283">
      <c r="A1283" s="7" t="s">
        <v>1401</v>
      </c>
      <c r="B1283" s="7" t="s">
        <v>1091</v>
      </c>
      <c r="C1283" s="8">
        <v>1069.0</v>
      </c>
      <c r="D1283" s="8">
        <v>1699.0</v>
      </c>
      <c r="E1283" s="19">
        <v>0.37</v>
      </c>
      <c r="F1283" s="10">
        <v>3.9</v>
      </c>
      <c r="G1283" s="10">
        <v>313.0</v>
      </c>
      <c r="K1283" s="23">
        <v>630.0</v>
      </c>
    </row>
    <row r="1284">
      <c r="A1284" s="7" t="s">
        <v>1402</v>
      </c>
      <c r="B1284" s="7" t="s">
        <v>1091</v>
      </c>
      <c r="C1284" s="8">
        <v>1349.0</v>
      </c>
      <c r="D1284" s="8">
        <v>2495.0</v>
      </c>
      <c r="E1284" s="19">
        <v>0.46</v>
      </c>
      <c r="F1284" s="10">
        <v>3.8</v>
      </c>
      <c r="G1284" s="10">
        <v>166.0</v>
      </c>
      <c r="K1284" s="23">
        <v>1146.0</v>
      </c>
    </row>
    <row r="1285">
      <c r="A1285" s="7" t="s">
        <v>1403</v>
      </c>
      <c r="B1285" s="7" t="s">
        <v>1131</v>
      </c>
      <c r="C1285" s="8">
        <v>1499.0</v>
      </c>
      <c r="D1285" s="8">
        <v>3500.0</v>
      </c>
      <c r="E1285" s="19">
        <v>0.57</v>
      </c>
      <c r="F1285" s="10">
        <v>4.1</v>
      </c>
      <c r="G1285" s="10">
        <v>303.0</v>
      </c>
      <c r="K1285" s="23">
        <v>2001.0</v>
      </c>
    </row>
    <row r="1286">
      <c r="A1286" s="7" t="s">
        <v>1404</v>
      </c>
      <c r="B1286" s="7" t="s">
        <v>1159</v>
      </c>
      <c r="C1286" s="8">
        <v>2092.0</v>
      </c>
      <c r="D1286" s="8">
        <v>4600.0</v>
      </c>
      <c r="E1286" s="19">
        <v>0.55</v>
      </c>
      <c r="F1286" s="10">
        <v>4.3</v>
      </c>
      <c r="G1286" s="10">
        <v>562.0</v>
      </c>
      <c r="K1286" s="23">
        <v>2508.0</v>
      </c>
    </row>
    <row r="1287">
      <c r="A1287" s="7" t="s">
        <v>1405</v>
      </c>
      <c r="B1287" s="7" t="s">
        <v>1263</v>
      </c>
      <c r="C1287" s="8">
        <v>3859.0</v>
      </c>
      <c r="D1287" s="8">
        <v>10295.0</v>
      </c>
      <c r="E1287" s="19">
        <v>0.63</v>
      </c>
      <c r="F1287" s="10">
        <v>3.9</v>
      </c>
      <c r="G1287" s="11">
        <v>8095.0</v>
      </c>
      <c r="K1287" s="23">
        <v>6436.0</v>
      </c>
    </row>
    <row r="1288">
      <c r="A1288" s="7" t="s">
        <v>1406</v>
      </c>
      <c r="B1288" s="7" t="s">
        <v>1144</v>
      </c>
      <c r="C1288" s="8">
        <v>499.0</v>
      </c>
      <c r="D1288" s="8">
        <v>2199.0</v>
      </c>
      <c r="E1288" s="19">
        <v>0.77</v>
      </c>
      <c r="F1288" s="10">
        <v>2.8</v>
      </c>
      <c r="G1288" s="10">
        <v>109.0</v>
      </c>
      <c r="K1288" s="23">
        <v>1700.0</v>
      </c>
    </row>
    <row r="1289">
      <c r="A1289" s="7" t="s">
        <v>1407</v>
      </c>
      <c r="B1289" s="7" t="s">
        <v>1186</v>
      </c>
      <c r="C1289" s="8">
        <v>1804.0</v>
      </c>
      <c r="D1289" s="8">
        <v>2380.0</v>
      </c>
      <c r="E1289" s="19">
        <v>0.24</v>
      </c>
      <c r="F1289" s="10">
        <v>4.0</v>
      </c>
      <c r="G1289" s="11">
        <v>15382.0</v>
      </c>
      <c r="K1289" s="23">
        <v>576.0</v>
      </c>
    </row>
    <row r="1290">
      <c r="A1290" s="7" t="s">
        <v>1408</v>
      </c>
      <c r="B1290" s="7" t="s">
        <v>1144</v>
      </c>
      <c r="C1290" s="8">
        <v>6525.0</v>
      </c>
      <c r="D1290" s="8">
        <v>8820.0</v>
      </c>
      <c r="E1290" s="19">
        <v>0.26</v>
      </c>
      <c r="F1290" s="10">
        <v>4.5</v>
      </c>
      <c r="G1290" s="11">
        <v>5137.0</v>
      </c>
      <c r="K1290" s="23">
        <v>2295.0</v>
      </c>
    </row>
    <row r="1291">
      <c r="A1291" s="7" t="s">
        <v>1409</v>
      </c>
      <c r="B1291" s="7" t="s">
        <v>1280</v>
      </c>
      <c r="C1291" s="8">
        <v>4999.0</v>
      </c>
      <c r="D1291" s="8">
        <v>24999.0</v>
      </c>
      <c r="E1291" s="19">
        <v>0.8</v>
      </c>
      <c r="F1291" s="10">
        <v>4.6</v>
      </c>
      <c r="G1291" s="10">
        <v>124.0</v>
      </c>
      <c r="K1291" s="23">
        <v>20000.0</v>
      </c>
    </row>
    <row r="1292">
      <c r="A1292" s="7" t="s">
        <v>1410</v>
      </c>
      <c r="B1292" s="7" t="s">
        <v>1225</v>
      </c>
      <c r="C1292" s="8">
        <v>1189.0</v>
      </c>
      <c r="D1292" s="8">
        <v>2400.0</v>
      </c>
      <c r="E1292" s="19">
        <v>0.5</v>
      </c>
      <c r="F1292" s="10">
        <v>4.1</v>
      </c>
      <c r="G1292" s="10">
        <v>618.0</v>
      </c>
      <c r="K1292" s="23">
        <v>1211.0</v>
      </c>
    </row>
    <row r="1293">
      <c r="A1293" s="7" t="s">
        <v>1411</v>
      </c>
      <c r="B1293" s="7" t="s">
        <v>1091</v>
      </c>
      <c r="C1293" s="8">
        <v>2590.0</v>
      </c>
      <c r="D1293" s="8">
        <v>4200.0</v>
      </c>
      <c r="E1293" s="19">
        <v>0.38</v>
      </c>
      <c r="F1293" s="10">
        <v>4.1</v>
      </c>
      <c r="G1293" s="10">
        <v>63.0</v>
      </c>
      <c r="K1293" s="23">
        <v>1610.0</v>
      </c>
    </row>
    <row r="1294">
      <c r="A1294" s="7" t="s">
        <v>1412</v>
      </c>
      <c r="B1294" s="7" t="s">
        <v>1091</v>
      </c>
      <c r="C1294" s="8">
        <v>899.0</v>
      </c>
      <c r="D1294" s="8">
        <v>1599.0</v>
      </c>
      <c r="E1294" s="19">
        <v>0.44</v>
      </c>
      <c r="F1294" s="10">
        <v>3.4</v>
      </c>
      <c r="G1294" s="10">
        <v>15.0</v>
      </c>
      <c r="K1294" s="23">
        <v>700.0</v>
      </c>
    </row>
    <row r="1295">
      <c r="A1295" s="7" t="s">
        <v>1413</v>
      </c>
      <c r="B1295" s="7" t="s">
        <v>1091</v>
      </c>
      <c r="C1295" s="8">
        <v>998.0</v>
      </c>
      <c r="D1295" s="8">
        <v>2999.0</v>
      </c>
      <c r="E1295" s="19">
        <v>0.67</v>
      </c>
      <c r="F1295" s="10">
        <v>4.6</v>
      </c>
      <c r="G1295" s="10">
        <v>9.0</v>
      </c>
      <c r="K1295" s="23">
        <v>2001.0</v>
      </c>
    </row>
    <row r="1296">
      <c r="A1296" s="7" t="s">
        <v>1414</v>
      </c>
      <c r="B1296" s="7" t="s">
        <v>1137</v>
      </c>
      <c r="C1296" s="8">
        <v>998.06</v>
      </c>
      <c r="D1296" s="8">
        <v>1282.0</v>
      </c>
      <c r="E1296" s="19">
        <v>0.22</v>
      </c>
      <c r="F1296" s="10">
        <v>4.2</v>
      </c>
      <c r="G1296" s="11">
        <v>7274.0</v>
      </c>
      <c r="K1296" s="23">
        <v>283.94000000000005</v>
      </c>
    </row>
    <row r="1297">
      <c r="A1297" s="7" t="s">
        <v>1415</v>
      </c>
      <c r="B1297" s="7" t="s">
        <v>1186</v>
      </c>
      <c r="C1297" s="8">
        <v>1099.0</v>
      </c>
      <c r="D1297" s="8">
        <v>1990.0</v>
      </c>
      <c r="E1297" s="19">
        <v>0.45</v>
      </c>
      <c r="F1297" s="10">
        <v>3.9</v>
      </c>
      <c r="G1297" s="11">
        <v>5911.0</v>
      </c>
      <c r="K1297" s="23">
        <v>891.0</v>
      </c>
    </row>
    <row r="1298">
      <c r="A1298" s="7" t="s">
        <v>1416</v>
      </c>
      <c r="B1298" s="7" t="s">
        <v>1197</v>
      </c>
      <c r="C1298" s="8">
        <v>5999.0</v>
      </c>
      <c r="D1298" s="8">
        <v>9999.0</v>
      </c>
      <c r="E1298" s="19">
        <v>0.4</v>
      </c>
      <c r="F1298" s="10">
        <v>4.2</v>
      </c>
      <c r="G1298" s="10">
        <v>170.0</v>
      </c>
      <c r="K1298" s="23">
        <v>4000.0</v>
      </c>
    </row>
    <row r="1299">
      <c r="A1299" s="7" t="s">
        <v>1417</v>
      </c>
      <c r="B1299" s="7" t="s">
        <v>1263</v>
      </c>
      <c r="C1299" s="8">
        <v>8886.0</v>
      </c>
      <c r="D1299" s="8">
        <v>11850.0</v>
      </c>
      <c r="E1299" s="19">
        <v>0.25</v>
      </c>
      <c r="F1299" s="10">
        <v>4.2</v>
      </c>
      <c r="G1299" s="11">
        <v>3065.0</v>
      </c>
      <c r="K1299" s="23">
        <v>2964.0</v>
      </c>
    </row>
    <row r="1300">
      <c r="A1300" s="7" t="s">
        <v>1418</v>
      </c>
      <c r="B1300" s="7" t="s">
        <v>1093</v>
      </c>
      <c r="C1300" s="8">
        <v>475.0</v>
      </c>
      <c r="D1300" s="8">
        <v>999.0</v>
      </c>
      <c r="E1300" s="19">
        <v>0.52</v>
      </c>
      <c r="F1300" s="10">
        <v>4.1</v>
      </c>
      <c r="G1300" s="11">
        <v>1021.0</v>
      </c>
      <c r="K1300" s="23">
        <v>524.0</v>
      </c>
    </row>
    <row r="1301">
      <c r="A1301" s="7" t="s">
        <v>1419</v>
      </c>
      <c r="B1301" s="7" t="s">
        <v>1135</v>
      </c>
      <c r="C1301" s="8">
        <v>4995.0</v>
      </c>
      <c r="D1301" s="8">
        <v>20049.0</v>
      </c>
      <c r="E1301" s="19">
        <v>0.75</v>
      </c>
      <c r="F1301" s="10">
        <v>4.8</v>
      </c>
      <c r="G1301" s="11">
        <v>3964.0</v>
      </c>
      <c r="K1301" s="23">
        <v>15054.0</v>
      </c>
    </row>
    <row r="1302">
      <c r="A1302" s="7" t="s">
        <v>1420</v>
      </c>
      <c r="B1302" s="7" t="s">
        <v>1280</v>
      </c>
      <c r="C1302" s="8">
        <v>13999.0</v>
      </c>
      <c r="D1302" s="8">
        <v>24850.0</v>
      </c>
      <c r="E1302" s="19">
        <v>0.44</v>
      </c>
      <c r="F1302" s="10">
        <v>4.4</v>
      </c>
      <c r="G1302" s="11">
        <v>8948.0</v>
      </c>
      <c r="K1302" s="23">
        <v>10851.0</v>
      </c>
    </row>
    <row r="1303">
      <c r="A1303" s="7" t="s">
        <v>1421</v>
      </c>
      <c r="B1303" s="7" t="s">
        <v>1280</v>
      </c>
      <c r="C1303" s="8">
        <v>8499.0</v>
      </c>
      <c r="D1303" s="8">
        <v>16490.0</v>
      </c>
      <c r="E1303" s="19">
        <v>0.48</v>
      </c>
      <c r="F1303" s="10">
        <v>4.3</v>
      </c>
      <c r="G1303" s="10">
        <v>97.0</v>
      </c>
      <c r="K1303" s="23">
        <v>7991.0</v>
      </c>
    </row>
    <row r="1304">
      <c r="A1304" s="7" t="s">
        <v>1422</v>
      </c>
      <c r="B1304" s="7" t="s">
        <v>1111</v>
      </c>
      <c r="C1304" s="8">
        <v>949.0</v>
      </c>
      <c r="D1304" s="8">
        <v>975.0</v>
      </c>
      <c r="E1304" s="19">
        <v>0.03</v>
      </c>
      <c r="F1304" s="10">
        <v>4.3</v>
      </c>
      <c r="G1304" s="11">
        <v>7223.0</v>
      </c>
      <c r="K1304" s="23">
        <v>26.0</v>
      </c>
    </row>
    <row r="1305">
      <c r="A1305" s="7" t="s">
        <v>1423</v>
      </c>
      <c r="B1305" s="7" t="s">
        <v>1137</v>
      </c>
      <c r="C1305" s="8">
        <v>395.0</v>
      </c>
      <c r="D1305" s="8">
        <v>499.0</v>
      </c>
      <c r="E1305" s="19">
        <v>0.21</v>
      </c>
      <c r="F1305" s="10">
        <v>4.0</v>
      </c>
      <c r="G1305" s="10">
        <v>330.0</v>
      </c>
      <c r="K1305" s="23">
        <v>104.0</v>
      </c>
    </row>
    <row r="1306">
      <c r="A1306" s="7" t="s">
        <v>1424</v>
      </c>
      <c r="B1306" s="7" t="s">
        <v>1425</v>
      </c>
      <c r="C1306" s="8">
        <v>635.0</v>
      </c>
      <c r="D1306" s="8">
        <v>635.0</v>
      </c>
      <c r="E1306" s="19">
        <v>0.0</v>
      </c>
      <c r="F1306" s="10">
        <v>4.3</v>
      </c>
      <c r="G1306" s="11">
        <v>4570.0</v>
      </c>
      <c r="K1306" s="23">
        <v>0.0</v>
      </c>
    </row>
    <row r="1307">
      <c r="A1307" s="7" t="s">
        <v>1426</v>
      </c>
      <c r="B1307" s="7" t="s">
        <v>1111</v>
      </c>
      <c r="C1307" s="8">
        <v>717.0</v>
      </c>
      <c r="D1307" s="8">
        <v>1390.0</v>
      </c>
      <c r="E1307" s="19">
        <v>0.48</v>
      </c>
      <c r="F1307" s="10">
        <v>4.0</v>
      </c>
      <c r="G1307" s="11">
        <v>4867.0</v>
      </c>
      <c r="K1307" s="23">
        <v>673.0</v>
      </c>
    </row>
    <row r="1308">
      <c r="A1308" s="7" t="s">
        <v>1427</v>
      </c>
      <c r="B1308" s="7" t="s">
        <v>1428</v>
      </c>
      <c r="C1308" s="8">
        <v>27900.0</v>
      </c>
      <c r="D1308" s="8">
        <v>59900.0</v>
      </c>
      <c r="E1308" s="19">
        <v>0.53</v>
      </c>
      <c r="F1308" s="10">
        <v>4.4</v>
      </c>
      <c r="G1308" s="11">
        <v>5298.0</v>
      </c>
      <c r="K1308" s="23">
        <v>32000.0</v>
      </c>
    </row>
    <row r="1309">
      <c r="A1309" s="7" t="s">
        <v>1429</v>
      </c>
      <c r="B1309" s="7" t="s">
        <v>1230</v>
      </c>
      <c r="C1309" s="8">
        <v>649.0</v>
      </c>
      <c r="D1309" s="8">
        <v>670.0</v>
      </c>
      <c r="E1309" s="19">
        <v>0.03</v>
      </c>
      <c r="F1309" s="10">
        <v>4.1</v>
      </c>
      <c r="G1309" s="11">
        <v>7786.0</v>
      </c>
      <c r="K1309" s="23">
        <v>21.0</v>
      </c>
    </row>
    <row r="1310">
      <c r="A1310" s="7" t="s">
        <v>1430</v>
      </c>
      <c r="B1310" s="7" t="s">
        <v>1228</v>
      </c>
      <c r="C1310" s="8">
        <v>193.0</v>
      </c>
      <c r="D1310" s="8">
        <v>399.0</v>
      </c>
      <c r="E1310" s="19">
        <v>0.52</v>
      </c>
      <c r="F1310" s="10">
        <v>3.6</v>
      </c>
      <c r="G1310" s="10">
        <v>37.0</v>
      </c>
      <c r="K1310" s="23">
        <v>206.0</v>
      </c>
    </row>
    <row r="1311">
      <c r="A1311" s="7" t="s">
        <v>1431</v>
      </c>
      <c r="B1311" s="7" t="s">
        <v>1091</v>
      </c>
      <c r="C1311" s="8">
        <v>1299.0</v>
      </c>
      <c r="D1311" s="8">
        <v>2495.0</v>
      </c>
      <c r="E1311" s="19">
        <v>0.48</v>
      </c>
      <c r="F1311" s="10">
        <v>2.0</v>
      </c>
      <c r="G1311" s="10">
        <v>2.0</v>
      </c>
      <c r="K1311" s="23">
        <v>1196.0</v>
      </c>
    </row>
    <row r="1312">
      <c r="A1312" s="7" t="s">
        <v>1432</v>
      </c>
      <c r="B1312" s="7" t="s">
        <v>1113</v>
      </c>
      <c r="C1312" s="8">
        <v>2449.0</v>
      </c>
      <c r="D1312" s="8">
        <v>3390.0</v>
      </c>
      <c r="E1312" s="19">
        <v>0.28</v>
      </c>
      <c r="F1312" s="10">
        <v>4.0</v>
      </c>
      <c r="G1312" s="11">
        <v>5206.0</v>
      </c>
      <c r="K1312" s="23">
        <v>941.0</v>
      </c>
    </row>
    <row r="1313">
      <c r="A1313" s="7" t="s">
        <v>1433</v>
      </c>
      <c r="B1313" s="7" t="s">
        <v>1115</v>
      </c>
      <c r="C1313" s="8">
        <v>1049.0</v>
      </c>
      <c r="D1313" s="8">
        <v>2499.0</v>
      </c>
      <c r="E1313" s="19">
        <v>0.58</v>
      </c>
      <c r="F1313" s="10">
        <v>3.7</v>
      </c>
      <c r="G1313" s="10">
        <v>638.0</v>
      </c>
      <c r="K1313" s="23">
        <v>1450.0</v>
      </c>
    </row>
    <row r="1314">
      <c r="A1314" s="7" t="s">
        <v>1434</v>
      </c>
      <c r="B1314" s="7" t="s">
        <v>1380</v>
      </c>
      <c r="C1314" s="8">
        <v>2399.0</v>
      </c>
      <c r="D1314" s="8">
        <v>4200.0</v>
      </c>
      <c r="E1314" s="19">
        <v>0.43</v>
      </c>
      <c r="F1314" s="10">
        <v>3.8</v>
      </c>
      <c r="G1314" s="10">
        <v>397.0</v>
      </c>
      <c r="K1314" s="23">
        <v>1801.0</v>
      </c>
    </row>
    <row r="1315">
      <c r="A1315" s="7" t="s">
        <v>1435</v>
      </c>
      <c r="B1315" s="7" t="s">
        <v>1148</v>
      </c>
      <c r="C1315" s="8">
        <v>2286.0</v>
      </c>
      <c r="D1315" s="8">
        <v>4495.0</v>
      </c>
      <c r="E1315" s="19">
        <v>0.49</v>
      </c>
      <c r="F1315" s="10">
        <v>3.9</v>
      </c>
      <c r="G1315" s="10">
        <v>326.0</v>
      </c>
      <c r="K1315" s="23">
        <v>2209.0</v>
      </c>
    </row>
    <row r="1316">
      <c r="A1316" s="7" t="s">
        <v>1436</v>
      </c>
      <c r="B1316" s="7" t="s">
        <v>1334</v>
      </c>
      <c r="C1316" s="8">
        <v>499.0</v>
      </c>
      <c r="D1316" s="8">
        <v>2199.0</v>
      </c>
      <c r="E1316" s="19">
        <v>0.77</v>
      </c>
      <c r="F1316" s="10">
        <v>3.1</v>
      </c>
      <c r="G1316" s="11">
        <v>3527.0</v>
      </c>
      <c r="K1316" s="23">
        <v>1700.0</v>
      </c>
    </row>
    <row r="1317">
      <c r="A1317" s="7" t="s">
        <v>1437</v>
      </c>
      <c r="B1317" s="7" t="s">
        <v>1184</v>
      </c>
      <c r="C1317" s="8">
        <v>429.0</v>
      </c>
      <c r="D1317" s="8">
        <v>999.0</v>
      </c>
      <c r="E1317" s="19">
        <v>0.57</v>
      </c>
      <c r="F1317" s="10">
        <v>3.0</v>
      </c>
      <c r="G1317" s="10">
        <v>617.0</v>
      </c>
      <c r="K1317" s="23">
        <v>570.0</v>
      </c>
    </row>
    <row r="1318">
      <c r="A1318" s="7" t="s">
        <v>1438</v>
      </c>
      <c r="B1318" s="7" t="s">
        <v>1159</v>
      </c>
      <c r="C1318" s="8">
        <v>299.0</v>
      </c>
      <c r="D1318" s="8">
        <v>595.0</v>
      </c>
      <c r="E1318" s="19">
        <v>0.5</v>
      </c>
      <c r="F1318" s="10">
        <v>4.0</v>
      </c>
      <c r="G1318" s="10">
        <v>314.0</v>
      </c>
      <c r="K1318" s="23">
        <v>296.0</v>
      </c>
    </row>
    <row r="1319">
      <c r="A1319" s="7" t="s">
        <v>1439</v>
      </c>
      <c r="B1319" s="7" t="s">
        <v>1280</v>
      </c>
      <c r="C1319" s="8">
        <v>5395.0</v>
      </c>
      <c r="D1319" s="8">
        <v>19990.0</v>
      </c>
      <c r="E1319" s="19">
        <v>0.73</v>
      </c>
      <c r="F1319" s="10">
        <v>4.4</v>
      </c>
      <c r="G1319" s="10">
        <v>535.0</v>
      </c>
      <c r="K1319" s="23">
        <v>14595.0</v>
      </c>
    </row>
    <row r="1320">
      <c r="A1320" s="7" t="s">
        <v>1440</v>
      </c>
      <c r="B1320" s="7" t="s">
        <v>1111</v>
      </c>
      <c r="C1320" s="8">
        <v>559.0</v>
      </c>
      <c r="D1320" s="8">
        <v>1010.0</v>
      </c>
      <c r="E1320" s="19">
        <v>0.45</v>
      </c>
      <c r="F1320" s="10">
        <v>4.1</v>
      </c>
      <c r="G1320" s="11">
        <v>17325.0</v>
      </c>
      <c r="K1320" s="23">
        <v>451.0</v>
      </c>
    </row>
    <row r="1321">
      <c r="A1321" s="7" t="s">
        <v>1441</v>
      </c>
      <c r="B1321" s="7" t="s">
        <v>1111</v>
      </c>
      <c r="C1321" s="8">
        <v>660.0</v>
      </c>
      <c r="D1321" s="8">
        <v>1100.0</v>
      </c>
      <c r="E1321" s="19">
        <v>0.4</v>
      </c>
      <c r="F1321" s="10">
        <v>3.6</v>
      </c>
      <c r="G1321" s="10">
        <v>91.0</v>
      </c>
      <c r="K1321" s="23">
        <v>440.0</v>
      </c>
    </row>
    <row r="1322">
      <c r="A1322" s="7" t="s">
        <v>1442</v>
      </c>
      <c r="B1322" s="7" t="s">
        <v>1155</v>
      </c>
      <c r="C1322" s="8">
        <v>419.0</v>
      </c>
      <c r="D1322" s="8">
        <v>999.0</v>
      </c>
      <c r="E1322" s="19">
        <v>0.58</v>
      </c>
      <c r="F1322" s="10">
        <v>4.4</v>
      </c>
      <c r="G1322" s="10">
        <v>227.0</v>
      </c>
      <c r="K1322" s="23">
        <v>580.0</v>
      </c>
    </row>
    <row r="1323">
      <c r="A1323" s="7" t="s">
        <v>1443</v>
      </c>
      <c r="B1323" s="7" t="s">
        <v>1123</v>
      </c>
      <c r="C1323" s="8">
        <v>7349.0</v>
      </c>
      <c r="D1323" s="8">
        <v>10900.0</v>
      </c>
      <c r="E1323" s="19">
        <v>0.33</v>
      </c>
      <c r="F1323" s="10">
        <v>4.2</v>
      </c>
      <c r="G1323" s="11">
        <v>11957.0</v>
      </c>
      <c r="K1323" s="23">
        <v>3551.0</v>
      </c>
    </row>
    <row r="1324">
      <c r="A1324" s="7" t="s">
        <v>1444</v>
      </c>
      <c r="B1324" s="7" t="s">
        <v>1186</v>
      </c>
      <c r="C1324" s="8">
        <v>2899.0</v>
      </c>
      <c r="D1324" s="8">
        <v>4005.0</v>
      </c>
      <c r="E1324" s="19">
        <v>0.28</v>
      </c>
      <c r="F1324" s="10">
        <v>4.3</v>
      </c>
      <c r="G1324" s="11">
        <v>7140.0</v>
      </c>
      <c r="K1324" s="23">
        <v>1106.0</v>
      </c>
    </row>
    <row r="1325">
      <c r="A1325" s="7" t="s">
        <v>1445</v>
      </c>
      <c r="B1325" s="7" t="s">
        <v>1148</v>
      </c>
      <c r="C1325" s="8">
        <v>1799.0</v>
      </c>
      <c r="D1325" s="8">
        <v>3295.0</v>
      </c>
      <c r="E1325" s="19">
        <v>0.45</v>
      </c>
      <c r="F1325" s="10">
        <v>3.8</v>
      </c>
      <c r="G1325" s="10">
        <v>687.0</v>
      </c>
      <c r="K1325" s="23">
        <v>1496.0</v>
      </c>
    </row>
    <row r="1326">
      <c r="A1326" s="7" t="s">
        <v>1446</v>
      </c>
      <c r="B1326" s="7" t="s">
        <v>1159</v>
      </c>
      <c r="C1326" s="8">
        <v>1474.0</v>
      </c>
      <c r="D1326" s="8">
        <v>4650.0</v>
      </c>
      <c r="E1326" s="19">
        <v>0.68</v>
      </c>
      <c r="F1326" s="10">
        <v>4.1</v>
      </c>
      <c r="G1326" s="11">
        <v>1045.0</v>
      </c>
      <c r="K1326" s="23">
        <v>3176.0</v>
      </c>
    </row>
    <row r="1327">
      <c r="A1327" s="7" t="s">
        <v>1447</v>
      </c>
      <c r="B1327" s="7" t="s">
        <v>1280</v>
      </c>
      <c r="C1327" s="8">
        <v>15999.0</v>
      </c>
      <c r="D1327" s="8">
        <v>24500.0</v>
      </c>
      <c r="E1327" s="19">
        <v>0.35</v>
      </c>
      <c r="F1327" s="10">
        <v>4.0</v>
      </c>
      <c r="G1327" s="11">
        <v>11206.0</v>
      </c>
      <c r="K1327" s="23">
        <v>8501.0</v>
      </c>
    </row>
    <row r="1328">
      <c r="A1328" s="7" t="s">
        <v>1448</v>
      </c>
      <c r="B1328" s="7" t="s">
        <v>1115</v>
      </c>
      <c r="C1328" s="8">
        <v>3645.0</v>
      </c>
      <c r="D1328" s="8">
        <v>6070.0</v>
      </c>
      <c r="E1328" s="19">
        <v>0.4</v>
      </c>
      <c r="F1328" s="10">
        <v>4.2</v>
      </c>
      <c r="G1328" s="10">
        <v>561.0</v>
      </c>
      <c r="K1328" s="23">
        <v>2425.0</v>
      </c>
    </row>
    <row r="1329">
      <c r="A1329" s="7" t="s">
        <v>1449</v>
      </c>
      <c r="B1329" s="7" t="s">
        <v>1109</v>
      </c>
      <c r="C1329" s="8">
        <v>375.0</v>
      </c>
      <c r="D1329" s="8">
        <v>999.0</v>
      </c>
      <c r="E1329" s="19">
        <v>0.62</v>
      </c>
      <c r="F1329" s="10">
        <v>3.6</v>
      </c>
      <c r="G1329" s="11">
        <v>1988.0</v>
      </c>
      <c r="K1329" s="23">
        <v>624.0</v>
      </c>
    </row>
    <row r="1330">
      <c r="A1330" s="7" t="s">
        <v>1450</v>
      </c>
      <c r="B1330" s="7" t="s">
        <v>1236</v>
      </c>
      <c r="C1330" s="8">
        <v>2976.0</v>
      </c>
      <c r="D1330" s="8">
        <v>3945.0</v>
      </c>
      <c r="E1330" s="19">
        <v>0.25</v>
      </c>
      <c r="F1330" s="10">
        <v>4.2</v>
      </c>
      <c r="G1330" s="11">
        <v>3740.0</v>
      </c>
      <c r="K1330" s="23">
        <v>969.0</v>
      </c>
    </row>
    <row r="1331">
      <c r="A1331" s="7" t="s">
        <v>1451</v>
      </c>
      <c r="B1331" s="7" t="s">
        <v>1388</v>
      </c>
      <c r="C1331" s="8">
        <v>1099.0</v>
      </c>
      <c r="D1331" s="8">
        <v>1499.0</v>
      </c>
      <c r="E1331" s="19">
        <v>0.27</v>
      </c>
      <c r="F1331" s="10">
        <v>4.1</v>
      </c>
      <c r="G1331" s="11">
        <v>4401.0</v>
      </c>
      <c r="K1331" s="23">
        <v>400.0</v>
      </c>
    </row>
    <row r="1332">
      <c r="A1332" s="7" t="s">
        <v>1452</v>
      </c>
      <c r="B1332" s="7" t="s">
        <v>1139</v>
      </c>
      <c r="C1332" s="8">
        <v>2575.0</v>
      </c>
      <c r="D1332" s="8">
        <v>6700.0</v>
      </c>
      <c r="E1332" s="19">
        <v>0.62</v>
      </c>
      <c r="F1332" s="10">
        <v>4.2</v>
      </c>
      <c r="G1332" s="10">
        <v>611.0</v>
      </c>
      <c r="K1332" s="23">
        <v>4125.0</v>
      </c>
    </row>
    <row r="1333">
      <c r="A1333" s="7" t="s">
        <v>1453</v>
      </c>
      <c r="B1333" s="7" t="s">
        <v>1113</v>
      </c>
      <c r="C1333" s="8">
        <v>1649.0</v>
      </c>
      <c r="D1333" s="8">
        <v>2800.0</v>
      </c>
      <c r="E1333" s="19">
        <v>0.41</v>
      </c>
      <c r="F1333" s="10">
        <v>3.9</v>
      </c>
      <c r="G1333" s="11">
        <v>2162.0</v>
      </c>
      <c r="K1333" s="23">
        <v>1151.0</v>
      </c>
    </row>
    <row r="1334">
      <c r="A1334" s="7" t="s">
        <v>1454</v>
      </c>
      <c r="B1334" s="7" t="s">
        <v>1109</v>
      </c>
      <c r="C1334" s="8">
        <v>799.0</v>
      </c>
      <c r="D1334" s="8">
        <v>1699.0</v>
      </c>
      <c r="E1334" s="19">
        <v>0.53</v>
      </c>
      <c r="F1334" s="10">
        <v>4.0</v>
      </c>
      <c r="G1334" s="10">
        <v>97.0</v>
      </c>
      <c r="K1334" s="23">
        <v>900.0</v>
      </c>
    </row>
    <row r="1335">
      <c r="A1335" s="7" t="s">
        <v>1455</v>
      </c>
      <c r="B1335" s="7" t="s">
        <v>1109</v>
      </c>
      <c r="C1335" s="8">
        <v>765.0</v>
      </c>
      <c r="D1335" s="8">
        <v>970.0</v>
      </c>
      <c r="E1335" s="19">
        <v>0.21</v>
      </c>
      <c r="F1335" s="10">
        <v>4.2</v>
      </c>
      <c r="G1335" s="11">
        <v>6055.0</v>
      </c>
      <c r="K1335" s="23">
        <v>205.0</v>
      </c>
    </row>
    <row r="1336">
      <c r="A1336" s="7" t="s">
        <v>1456</v>
      </c>
      <c r="B1336" s="7" t="s">
        <v>1093</v>
      </c>
      <c r="C1336" s="8">
        <v>999.0</v>
      </c>
      <c r="D1336" s="8">
        <v>1500.0</v>
      </c>
      <c r="E1336" s="19">
        <v>0.33</v>
      </c>
      <c r="F1336" s="10">
        <v>4.2</v>
      </c>
      <c r="G1336" s="10">
        <v>386.0</v>
      </c>
      <c r="K1336" s="23">
        <v>501.0</v>
      </c>
    </row>
    <row r="1337">
      <c r="A1337" s="7" t="s">
        <v>1457</v>
      </c>
      <c r="B1337" s="7" t="s">
        <v>1458</v>
      </c>
      <c r="C1337" s="8">
        <v>587.0</v>
      </c>
      <c r="D1337" s="8">
        <v>1295.0</v>
      </c>
      <c r="E1337" s="19">
        <v>0.55</v>
      </c>
      <c r="F1337" s="10">
        <v>4.1</v>
      </c>
      <c r="G1337" s="10">
        <v>557.0</v>
      </c>
      <c r="K1337" s="23">
        <v>708.0</v>
      </c>
    </row>
    <row r="1338">
      <c r="A1338" s="7" t="s">
        <v>1459</v>
      </c>
      <c r="B1338" s="7" t="s">
        <v>1460</v>
      </c>
      <c r="C1338" s="8">
        <v>12609.0</v>
      </c>
      <c r="D1338" s="8">
        <v>23999.0</v>
      </c>
      <c r="E1338" s="19">
        <v>0.47</v>
      </c>
      <c r="F1338" s="10">
        <v>4.4</v>
      </c>
      <c r="G1338" s="11">
        <v>2288.0</v>
      </c>
      <c r="K1338" s="23">
        <v>11390.0</v>
      </c>
    </row>
    <row r="1339">
      <c r="A1339" s="7" t="s">
        <v>1461</v>
      </c>
      <c r="B1339" s="7" t="s">
        <v>1111</v>
      </c>
      <c r="C1339" s="8">
        <v>699.0</v>
      </c>
      <c r="D1339" s="8">
        <v>850.0</v>
      </c>
      <c r="E1339" s="19">
        <v>0.18</v>
      </c>
      <c r="F1339" s="10">
        <v>4.1</v>
      </c>
      <c r="G1339" s="11">
        <v>1106.0</v>
      </c>
      <c r="K1339" s="23">
        <v>151.0</v>
      </c>
    </row>
    <row r="1340">
      <c r="A1340" s="7" t="s">
        <v>1462</v>
      </c>
      <c r="B1340" s="7" t="s">
        <v>1190</v>
      </c>
      <c r="C1340" s="8">
        <v>3799.0</v>
      </c>
      <c r="D1340" s="8">
        <v>6000.0</v>
      </c>
      <c r="E1340" s="19">
        <v>0.37</v>
      </c>
      <c r="F1340" s="10">
        <v>4.2</v>
      </c>
      <c r="G1340" s="11">
        <v>11935.0</v>
      </c>
      <c r="K1340" s="23">
        <v>2201.0</v>
      </c>
    </row>
    <row r="1341">
      <c r="A1341" s="7" t="s">
        <v>1463</v>
      </c>
      <c r="B1341" s="7" t="s">
        <v>1131</v>
      </c>
      <c r="C1341" s="8">
        <v>640.0</v>
      </c>
      <c r="D1341" s="8">
        <v>1020.0</v>
      </c>
      <c r="E1341" s="19">
        <v>0.37</v>
      </c>
      <c r="F1341" s="10">
        <v>4.1</v>
      </c>
      <c r="G1341" s="11">
        <v>5059.0</v>
      </c>
      <c r="K1341" s="23">
        <v>380.0</v>
      </c>
    </row>
    <row r="1342">
      <c r="A1342" s="7" t="s">
        <v>1464</v>
      </c>
      <c r="B1342" s="7" t="s">
        <v>1091</v>
      </c>
      <c r="C1342" s="8">
        <v>979.0</v>
      </c>
      <c r="D1342" s="8">
        <v>1999.0</v>
      </c>
      <c r="E1342" s="19">
        <v>0.51</v>
      </c>
      <c r="F1342" s="10">
        <v>3.9</v>
      </c>
      <c r="G1342" s="10">
        <v>157.0</v>
      </c>
      <c r="K1342" s="23">
        <v>1020.0</v>
      </c>
    </row>
    <row r="1343">
      <c r="A1343" s="7" t="s">
        <v>1465</v>
      </c>
      <c r="B1343" s="7" t="s">
        <v>1115</v>
      </c>
      <c r="C1343" s="8">
        <v>5365.0</v>
      </c>
      <c r="D1343" s="8">
        <v>7445.0</v>
      </c>
      <c r="E1343" s="19">
        <v>0.28</v>
      </c>
      <c r="F1343" s="10">
        <v>3.9</v>
      </c>
      <c r="G1343" s="11">
        <v>3584.0</v>
      </c>
      <c r="K1343" s="23">
        <v>2080.0</v>
      </c>
    </row>
    <row r="1344">
      <c r="A1344" s="7" t="s">
        <v>1466</v>
      </c>
      <c r="B1344" s="7" t="s">
        <v>1139</v>
      </c>
      <c r="C1344" s="8">
        <v>3199.0</v>
      </c>
      <c r="D1344" s="8">
        <v>3500.0</v>
      </c>
      <c r="E1344" s="19">
        <v>0.09</v>
      </c>
      <c r="F1344" s="10">
        <v>4.2</v>
      </c>
      <c r="G1344" s="11">
        <v>1899.0</v>
      </c>
      <c r="K1344" s="23">
        <v>301.0</v>
      </c>
    </row>
    <row r="1345">
      <c r="A1345" s="7" t="s">
        <v>1467</v>
      </c>
      <c r="B1345" s="7" t="s">
        <v>1310</v>
      </c>
      <c r="C1345" s="8">
        <v>979.0</v>
      </c>
      <c r="D1345" s="8">
        <v>1395.0</v>
      </c>
      <c r="E1345" s="19">
        <v>0.3</v>
      </c>
      <c r="F1345" s="10">
        <v>4.2</v>
      </c>
      <c r="G1345" s="11">
        <v>15252.0</v>
      </c>
      <c r="K1345" s="23">
        <v>416.0</v>
      </c>
    </row>
    <row r="1346">
      <c r="A1346" s="7" t="s">
        <v>1468</v>
      </c>
      <c r="B1346" s="7" t="s">
        <v>1089</v>
      </c>
      <c r="C1346" s="8">
        <v>929.0</v>
      </c>
      <c r="D1346" s="8">
        <v>2199.0</v>
      </c>
      <c r="E1346" s="19">
        <v>0.58</v>
      </c>
      <c r="F1346" s="10">
        <v>3.7</v>
      </c>
      <c r="G1346" s="10">
        <v>4.0</v>
      </c>
      <c r="K1346" s="23">
        <v>1270.0</v>
      </c>
    </row>
    <row r="1347">
      <c r="A1347" s="7" t="s">
        <v>1469</v>
      </c>
      <c r="B1347" s="7" t="s">
        <v>1316</v>
      </c>
      <c r="C1347" s="8">
        <v>3710.0</v>
      </c>
      <c r="D1347" s="8">
        <v>4330.0</v>
      </c>
      <c r="E1347" s="19">
        <v>0.14</v>
      </c>
      <c r="F1347" s="10">
        <v>3.7</v>
      </c>
      <c r="G1347" s="11">
        <v>1662.0</v>
      </c>
      <c r="K1347" s="23">
        <v>620.0</v>
      </c>
    </row>
    <row r="1348">
      <c r="A1348" s="7" t="s">
        <v>1470</v>
      </c>
      <c r="B1348" s="7" t="s">
        <v>1113</v>
      </c>
      <c r="C1348" s="8">
        <v>2033.0</v>
      </c>
      <c r="D1348" s="8">
        <v>4295.0</v>
      </c>
      <c r="E1348" s="19">
        <v>0.53</v>
      </c>
      <c r="F1348" s="10">
        <v>3.4</v>
      </c>
      <c r="G1348" s="10">
        <v>422.0</v>
      </c>
      <c r="K1348" s="23">
        <v>2262.0</v>
      </c>
    </row>
    <row r="1349">
      <c r="A1349" s="7" t="s">
        <v>1471</v>
      </c>
      <c r="B1349" s="7" t="s">
        <v>1089</v>
      </c>
      <c r="C1349" s="8">
        <v>9495.0</v>
      </c>
      <c r="D1349" s="8">
        <v>18990.0</v>
      </c>
      <c r="E1349" s="19">
        <v>0.5</v>
      </c>
      <c r="F1349" s="10">
        <v>4.2</v>
      </c>
      <c r="G1349" s="10">
        <v>79.0</v>
      </c>
      <c r="K1349" s="23">
        <v>9495.0</v>
      </c>
    </row>
    <row r="1350">
      <c r="A1350" s="7" t="s">
        <v>1472</v>
      </c>
      <c r="B1350" s="7" t="s">
        <v>1123</v>
      </c>
      <c r="C1350" s="8">
        <v>7799.0</v>
      </c>
      <c r="D1350" s="8">
        <v>12500.0</v>
      </c>
      <c r="E1350" s="19">
        <v>0.38</v>
      </c>
      <c r="F1350" s="10">
        <v>4.0</v>
      </c>
      <c r="G1350" s="11">
        <v>5160.0</v>
      </c>
      <c r="K1350" s="23">
        <v>4701.0</v>
      </c>
    </row>
    <row r="1351">
      <c r="A1351" s="7" t="s">
        <v>1473</v>
      </c>
      <c r="B1351" s="7" t="s">
        <v>1086</v>
      </c>
      <c r="C1351" s="8">
        <v>949.0</v>
      </c>
      <c r="D1351" s="8">
        <v>2385.0</v>
      </c>
      <c r="E1351" s="19">
        <v>0.6</v>
      </c>
      <c r="F1351" s="10">
        <v>4.1</v>
      </c>
      <c r="G1351" s="11">
        <v>2311.0</v>
      </c>
      <c r="K1351" s="23">
        <v>1436.0</v>
      </c>
    </row>
    <row r="1352">
      <c r="A1352" s="7" t="s">
        <v>1474</v>
      </c>
      <c r="B1352" s="7" t="s">
        <v>1115</v>
      </c>
      <c r="C1352" s="8">
        <v>2790.0</v>
      </c>
      <c r="D1352" s="8">
        <v>4890.0</v>
      </c>
      <c r="E1352" s="19">
        <v>0.43</v>
      </c>
      <c r="F1352" s="10">
        <v>3.9</v>
      </c>
      <c r="G1352" s="10">
        <v>588.0</v>
      </c>
      <c r="K1352" s="23">
        <v>2100.0</v>
      </c>
    </row>
    <row r="1353">
      <c r="A1353" s="7" t="s">
        <v>1475</v>
      </c>
      <c r="B1353" s="7" t="s">
        <v>1111</v>
      </c>
      <c r="C1353" s="8">
        <v>645.0</v>
      </c>
      <c r="D1353" s="8">
        <v>1100.0</v>
      </c>
      <c r="E1353" s="19">
        <v>0.41</v>
      </c>
      <c r="F1353" s="10">
        <v>4.0</v>
      </c>
      <c r="G1353" s="11">
        <v>3271.0</v>
      </c>
      <c r="K1353" s="23">
        <v>455.0</v>
      </c>
    </row>
    <row r="1354">
      <c r="A1354" s="7" t="s">
        <v>1476</v>
      </c>
      <c r="B1354" s="7" t="s">
        <v>1113</v>
      </c>
      <c r="C1354" s="8">
        <v>2237.81</v>
      </c>
      <c r="D1354" s="8">
        <v>3899.0</v>
      </c>
      <c r="E1354" s="19">
        <v>0.43</v>
      </c>
      <c r="F1354" s="10">
        <v>3.9</v>
      </c>
      <c r="G1354" s="11">
        <v>11004.0</v>
      </c>
      <c r="K1354" s="23">
        <v>1661.19</v>
      </c>
    </row>
    <row r="1355">
      <c r="A1355" s="7" t="s">
        <v>1477</v>
      </c>
      <c r="B1355" s="7" t="s">
        <v>1123</v>
      </c>
      <c r="C1355" s="8">
        <v>8699.0</v>
      </c>
      <c r="D1355" s="8">
        <v>16899.0</v>
      </c>
      <c r="E1355" s="19">
        <v>0.49</v>
      </c>
      <c r="F1355" s="10">
        <v>4.2</v>
      </c>
      <c r="G1355" s="11">
        <v>3195.0</v>
      </c>
      <c r="K1355" s="23">
        <v>8200.0</v>
      </c>
    </row>
    <row r="1356">
      <c r="A1356" s="7" t="s">
        <v>1478</v>
      </c>
      <c r="B1356" s="7" t="s">
        <v>1479</v>
      </c>
      <c r="C1356" s="8">
        <v>42990.0</v>
      </c>
      <c r="D1356" s="8">
        <v>75990.0</v>
      </c>
      <c r="E1356" s="19">
        <v>0.43</v>
      </c>
      <c r="F1356" s="10">
        <v>4.3</v>
      </c>
      <c r="G1356" s="11">
        <v>3231.0</v>
      </c>
      <c r="K1356" s="23">
        <v>33000.0</v>
      </c>
    </row>
    <row r="1357">
      <c r="A1357" s="7" t="s">
        <v>1480</v>
      </c>
      <c r="B1357" s="7" t="s">
        <v>1228</v>
      </c>
      <c r="C1357" s="8">
        <v>825.0</v>
      </c>
      <c r="D1357" s="8">
        <v>825.0</v>
      </c>
      <c r="E1357" s="19">
        <v>0.0</v>
      </c>
      <c r="F1357" s="10">
        <v>4.0</v>
      </c>
      <c r="G1357" s="11">
        <v>3246.0</v>
      </c>
      <c r="K1357" s="23">
        <v>0.0</v>
      </c>
    </row>
    <row r="1358">
      <c r="A1358" s="7" t="s">
        <v>1481</v>
      </c>
      <c r="B1358" s="7" t="s">
        <v>1184</v>
      </c>
      <c r="C1358" s="8">
        <v>161.0</v>
      </c>
      <c r="D1358" s="8">
        <v>300.0</v>
      </c>
      <c r="E1358" s="19">
        <v>0.46</v>
      </c>
      <c r="F1358" s="10">
        <v>2.6</v>
      </c>
      <c r="G1358" s="10">
        <v>24.0</v>
      </c>
      <c r="K1358" s="23">
        <v>139.0</v>
      </c>
    </row>
    <row r="1359">
      <c r="A1359" s="7" t="s">
        <v>1482</v>
      </c>
      <c r="B1359" s="7" t="s">
        <v>1104</v>
      </c>
      <c r="C1359" s="8">
        <v>697.0</v>
      </c>
      <c r="D1359" s="8">
        <v>1499.0</v>
      </c>
      <c r="E1359" s="19">
        <v>0.54</v>
      </c>
      <c r="F1359" s="10">
        <v>3.8</v>
      </c>
      <c r="G1359" s="10">
        <v>144.0</v>
      </c>
      <c r="K1359" s="23">
        <v>802.0</v>
      </c>
    </row>
    <row r="1360">
      <c r="A1360" s="7" t="s">
        <v>1483</v>
      </c>
      <c r="B1360" s="7" t="s">
        <v>1484</v>
      </c>
      <c r="C1360" s="8">
        <v>688.0</v>
      </c>
      <c r="D1360" s="8">
        <v>747.0</v>
      </c>
      <c r="E1360" s="19">
        <v>0.08</v>
      </c>
      <c r="F1360" s="10">
        <v>4.5</v>
      </c>
      <c r="G1360" s="11">
        <v>2280.0</v>
      </c>
      <c r="K1360" s="23">
        <v>59.0</v>
      </c>
    </row>
    <row r="1361">
      <c r="A1361" s="7" t="s">
        <v>1485</v>
      </c>
      <c r="B1361" s="7" t="s">
        <v>1199</v>
      </c>
      <c r="C1361" s="8">
        <v>2199.0</v>
      </c>
      <c r="D1361" s="8">
        <v>3999.0</v>
      </c>
      <c r="E1361" s="19">
        <v>0.45</v>
      </c>
      <c r="F1361" s="10">
        <v>3.5</v>
      </c>
      <c r="G1361" s="10">
        <v>340.0</v>
      </c>
      <c r="K1361" s="23">
        <v>1800.0</v>
      </c>
    </row>
    <row r="1362">
      <c r="A1362" s="7" t="s">
        <v>1486</v>
      </c>
      <c r="B1362" s="7" t="s">
        <v>1091</v>
      </c>
      <c r="C1362" s="8">
        <v>6850.0</v>
      </c>
      <c r="D1362" s="8">
        <v>11990.0</v>
      </c>
      <c r="E1362" s="19">
        <v>0.43</v>
      </c>
      <c r="F1362" s="10">
        <v>3.9</v>
      </c>
      <c r="G1362" s="10">
        <v>144.0</v>
      </c>
      <c r="K1362" s="23">
        <v>5140.0</v>
      </c>
    </row>
    <row r="1363">
      <c r="A1363" s="7" t="s">
        <v>1487</v>
      </c>
      <c r="B1363" s="7" t="s">
        <v>1115</v>
      </c>
      <c r="C1363" s="8">
        <v>2699.0</v>
      </c>
      <c r="D1363" s="8">
        <v>3799.0</v>
      </c>
      <c r="E1363" s="19">
        <v>0.29</v>
      </c>
      <c r="F1363" s="10">
        <v>4.0</v>
      </c>
      <c r="G1363" s="10">
        <v>727.0</v>
      </c>
      <c r="K1363" s="23">
        <v>1100.0</v>
      </c>
    </row>
    <row r="1364">
      <c r="A1364" s="7" t="s">
        <v>1488</v>
      </c>
      <c r="B1364" s="7" t="s">
        <v>1489</v>
      </c>
      <c r="C1364" s="8">
        <v>899.0</v>
      </c>
      <c r="D1364" s="8">
        <v>1999.0</v>
      </c>
      <c r="E1364" s="19">
        <v>0.55</v>
      </c>
      <c r="F1364" s="10">
        <v>4.0</v>
      </c>
      <c r="G1364" s="10">
        <v>832.0</v>
      </c>
      <c r="K1364" s="23">
        <v>1100.0</v>
      </c>
    </row>
    <row r="1365">
      <c r="A1365" s="7" t="s">
        <v>1490</v>
      </c>
      <c r="B1365" s="7" t="s">
        <v>1091</v>
      </c>
      <c r="C1365" s="8">
        <v>1090.0</v>
      </c>
      <c r="D1365" s="8">
        <v>2999.0</v>
      </c>
      <c r="E1365" s="19">
        <v>0.64</v>
      </c>
      <c r="F1365" s="10">
        <v>3.5</v>
      </c>
      <c r="G1365" s="10">
        <v>57.0</v>
      </c>
      <c r="K1365" s="23">
        <v>1909.0</v>
      </c>
    </row>
    <row r="1366">
      <c r="A1366" s="7" t="s">
        <v>1491</v>
      </c>
      <c r="B1366" s="7" t="s">
        <v>1095</v>
      </c>
      <c r="C1366" s="8">
        <v>295.0</v>
      </c>
      <c r="D1366" s="8">
        <v>599.0</v>
      </c>
      <c r="E1366" s="19">
        <v>0.51</v>
      </c>
      <c r="F1366" s="10">
        <v>4.0</v>
      </c>
      <c r="G1366" s="11">
        <v>1644.0</v>
      </c>
      <c r="K1366" s="23">
        <v>304.0</v>
      </c>
    </row>
    <row r="1367">
      <c r="A1367" s="7" t="s">
        <v>1492</v>
      </c>
      <c r="B1367" s="7" t="s">
        <v>1121</v>
      </c>
      <c r="C1367" s="8">
        <v>479.0</v>
      </c>
      <c r="D1367" s="8">
        <v>1999.0</v>
      </c>
      <c r="E1367" s="19">
        <v>0.76</v>
      </c>
      <c r="F1367" s="10">
        <v>3.4</v>
      </c>
      <c r="G1367" s="11">
        <v>1066.0</v>
      </c>
      <c r="K1367" s="23">
        <v>1520.0</v>
      </c>
    </row>
    <row r="1368">
      <c r="A1368" s="7" t="s">
        <v>1493</v>
      </c>
      <c r="B1368" s="7" t="s">
        <v>1115</v>
      </c>
      <c r="C1368" s="8">
        <v>2949.0</v>
      </c>
      <c r="D1368" s="8">
        <v>4849.0</v>
      </c>
      <c r="E1368" s="19">
        <v>0.39</v>
      </c>
      <c r="F1368" s="10">
        <v>4.2</v>
      </c>
      <c r="G1368" s="11">
        <v>7968.0</v>
      </c>
      <c r="K1368" s="23">
        <v>1900.0</v>
      </c>
    </row>
    <row r="1369">
      <c r="A1369" s="7" t="s">
        <v>1494</v>
      </c>
      <c r="B1369" s="7" t="s">
        <v>1131</v>
      </c>
      <c r="C1369" s="8">
        <v>335.0</v>
      </c>
      <c r="D1369" s="8">
        <v>510.0</v>
      </c>
      <c r="E1369" s="19">
        <v>0.34</v>
      </c>
      <c r="F1369" s="10">
        <v>3.8</v>
      </c>
      <c r="G1369" s="11">
        <v>3195.0</v>
      </c>
      <c r="K1369" s="23">
        <v>175.0</v>
      </c>
    </row>
    <row r="1370">
      <c r="A1370" s="7" t="s">
        <v>1495</v>
      </c>
      <c r="B1370" s="7" t="s">
        <v>1225</v>
      </c>
      <c r="C1370" s="8">
        <v>293.0</v>
      </c>
      <c r="D1370" s="8">
        <v>499.0</v>
      </c>
      <c r="E1370" s="19">
        <v>0.41</v>
      </c>
      <c r="F1370" s="10">
        <v>4.1</v>
      </c>
      <c r="G1370" s="11">
        <v>1456.0</v>
      </c>
      <c r="K1370" s="23">
        <v>206.0</v>
      </c>
    </row>
    <row r="1371">
      <c r="A1371" s="7" t="s">
        <v>1496</v>
      </c>
      <c r="B1371" s="7" t="s">
        <v>1497</v>
      </c>
      <c r="C1371" s="8">
        <v>599.0</v>
      </c>
      <c r="D1371" s="8">
        <v>1299.0</v>
      </c>
      <c r="E1371" s="19">
        <v>0.54</v>
      </c>
      <c r="F1371" s="10">
        <v>4.2</v>
      </c>
      <c r="G1371" s="10">
        <v>590.0</v>
      </c>
      <c r="K1371" s="23">
        <v>700.0</v>
      </c>
    </row>
    <row r="1372">
      <c r="A1372" s="7" t="s">
        <v>1498</v>
      </c>
      <c r="B1372" s="7" t="s">
        <v>1228</v>
      </c>
      <c r="C1372" s="8">
        <v>499.0</v>
      </c>
      <c r="D1372" s="8">
        <v>999.0</v>
      </c>
      <c r="E1372" s="19">
        <v>0.5</v>
      </c>
      <c r="F1372" s="10">
        <v>4.3</v>
      </c>
      <c r="G1372" s="11">
        <v>1436.0</v>
      </c>
      <c r="K1372" s="23">
        <v>500.0</v>
      </c>
    </row>
    <row r="1373">
      <c r="A1373" s="7" t="s">
        <v>1499</v>
      </c>
      <c r="B1373" s="7" t="s">
        <v>1111</v>
      </c>
      <c r="C1373" s="8">
        <v>849.0</v>
      </c>
      <c r="D1373" s="8">
        <v>1190.0</v>
      </c>
      <c r="E1373" s="19">
        <v>0.29</v>
      </c>
      <c r="F1373" s="10">
        <v>4.2</v>
      </c>
      <c r="G1373" s="11">
        <v>4184.0</v>
      </c>
      <c r="K1373" s="23">
        <v>341.0</v>
      </c>
    </row>
    <row r="1374">
      <c r="A1374" s="7" t="s">
        <v>1500</v>
      </c>
      <c r="B1374" s="7" t="s">
        <v>1225</v>
      </c>
      <c r="C1374" s="8">
        <v>249.0</v>
      </c>
      <c r="D1374" s="8">
        <v>400.0</v>
      </c>
      <c r="E1374" s="19">
        <v>0.38</v>
      </c>
      <c r="F1374" s="10">
        <v>4.1</v>
      </c>
      <c r="G1374" s="10">
        <v>693.0</v>
      </c>
      <c r="K1374" s="23">
        <v>151.0</v>
      </c>
    </row>
    <row r="1375">
      <c r="A1375" s="7" t="s">
        <v>1501</v>
      </c>
      <c r="B1375" s="7" t="s">
        <v>1228</v>
      </c>
      <c r="C1375" s="8">
        <v>185.0</v>
      </c>
      <c r="D1375" s="8">
        <v>599.0</v>
      </c>
      <c r="E1375" s="19">
        <v>0.69</v>
      </c>
      <c r="F1375" s="10">
        <v>3.9</v>
      </c>
      <c r="G1375" s="11">
        <v>1306.0</v>
      </c>
      <c r="K1375" s="23">
        <v>414.0</v>
      </c>
    </row>
    <row r="1376">
      <c r="A1376" s="7" t="s">
        <v>1502</v>
      </c>
      <c r="B1376" s="7" t="s">
        <v>1091</v>
      </c>
      <c r="C1376" s="8">
        <v>778.0</v>
      </c>
      <c r="D1376" s="8">
        <v>999.0</v>
      </c>
      <c r="E1376" s="19">
        <v>0.22</v>
      </c>
      <c r="F1376" s="10">
        <v>3.3</v>
      </c>
      <c r="G1376" s="10">
        <v>8.0</v>
      </c>
      <c r="K1376" s="23">
        <v>221.0</v>
      </c>
    </row>
    <row r="1377">
      <c r="A1377" s="7" t="s">
        <v>1503</v>
      </c>
      <c r="B1377" s="7" t="s">
        <v>1504</v>
      </c>
      <c r="C1377" s="8">
        <v>279.0</v>
      </c>
      <c r="D1377" s="8">
        <v>699.0</v>
      </c>
      <c r="E1377" s="19">
        <v>0.6</v>
      </c>
      <c r="F1377" s="10">
        <v>4.3</v>
      </c>
      <c r="G1377" s="11">
        <v>2326.0</v>
      </c>
      <c r="K1377" s="23">
        <v>420.0</v>
      </c>
    </row>
    <row r="1378">
      <c r="A1378" s="7" t="s">
        <v>1505</v>
      </c>
      <c r="B1378" s="7" t="s">
        <v>1228</v>
      </c>
      <c r="C1378" s="8">
        <v>215.0</v>
      </c>
      <c r="D1378" s="8">
        <v>1499.0</v>
      </c>
      <c r="E1378" s="19">
        <v>0.86</v>
      </c>
      <c r="F1378" s="10">
        <v>3.9</v>
      </c>
      <c r="G1378" s="11">
        <v>1004.0</v>
      </c>
      <c r="K1378" s="23">
        <v>1284.0</v>
      </c>
    </row>
    <row r="1379">
      <c r="A1379" s="7" t="s">
        <v>1506</v>
      </c>
      <c r="B1379" s="7" t="s">
        <v>1111</v>
      </c>
      <c r="C1379" s="8">
        <v>889.0</v>
      </c>
      <c r="D1379" s="8">
        <v>1295.0</v>
      </c>
      <c r="E1379" s="19">
        <v>0.31</v>
      </c>
      <c r="F1379" s="10">
        <v>4.3</v>
      </c>
      <c r="G1379" s="11">
        <v>6400.0</v>
      </c>
      <c r="K1379" s="23">
        <v>406.0</v>
      </c>
    </row>
    <row r="1380">
      <c r="A1380" s="7" t="s">
        <v>1507</v>
      </c>
      <c r="B1380" s="7" t="s">
        <v>1115</v>
      </c>
      <c r="C1380" s="8">
        <v>1449.0</v>
      </c>
      <c r="D1380" s="8">
        <v>4999.0</v>
      </c>
      <c r="E1380" s="19">
        <v>0.71</v>
      </c>
      <c r="F1380" s="10">
        <v>3.6</v>
      </c>
      <c r="G1380" s="10">
        <v>63.0</v>
      </c>
      <c r="K1380" s="23">
        <v>3550.0</v>
      </c>
    </row>
    <row r="1381">
      <c r="A1381" s="7" t="s">
        <v>1508</v>
      </c>
      <c r="B1381" s="7" t="s">
        <v>1115</v>
      </c>
      <c r="C1381" s="8">
        <v>1190.0</v>
      </c>
      <c r="D1381" s="8">
        <v>2550.0</v>
      </c>
      <c r="E1381" s="19">
        <v>0.53</v>
      </c>
      <c r="F1381" s="10">
        <v>3.8</v>
      </c>
      <c r="G1381" s="11">
        <v>1181.0</v>
      </c>
      <c r="K1381" s="23">
        <v>1360.0</v>
      </c>
    </row>
    <row r="1382">
      <c r="A1382" s="7" t="s">
        <v>1509</v>
      </c>
      <c r="B1382" s="7" t="s">
        <v>1280</v>
      </c>
      <c r="C1382" s="8">
        <v>1799.0</v>
      </c>
      <c r="D1382" s="8">
        <v>1950.0</v>
      </c>
      <c r="E1382" s="19">
        <v>0.08</v>
      </c>
      <c r="F1382" s="10">
        <v>3.9</v>
      </c>
      <c r="G1382" s="11">
        <v>1888.0</v>
      </c>
      <c r="K1382" s="23">
        <v>151.0</v>
      </c>
    </row>
    <row r="1383">
      <c r="A1383" s="7" t="s">
        <v>1510</v>
      </c>
      <c r="B1383" s="7" t="s">
        <v>1113</v>
      </c>
      <c r="C1383" s="8">
        <v>6120.0</v>
      </c>
      <c r="D1383" s="8">
        <v>8478.0</v>
      </c>
      <c r="E1383" s="19">
        <v>0.28</v>
      </c>
      <c r="F1383" s="10">
        <v>4.6</v>
      </c>
      <c r="G1383" s="11">
        <v>6550.0</v>
      </c>
      <c r="K1383" s="23">
        <v>2358.0</v>
      </c>
    </row>
    <row r="1384">
      <c r="A1384" s="7" t="s">
        <v>1511</v>
      </c>
      <c r="B1384" s="7" t="s">
        <v>1113</v>
      </c>
      <c r="C1384" s="8">
        <v>1799.0</v>
      </c>
      <c r="D1384" s="8">
        <v>3299.0</v>
      </c>
      <c r="E1384" s="19">
        <v>0.45</v>
      </c>
      <c r="F1384" s="10">
        <v>3.8</v>
      </c>
      <c r="G1384" s="11">
        <v>1846.0</v>
      </c>
      <c r="K1384" s="23">
        <v>1500.0</v>
      </c>
    </row>
    <row r="1385">
      <c r="A1385" s="7" t="s">
        <v>1512</v>
      </c>
      <c r="B1385" s="7" t="s">
        <v>1113</v>
      </c>
      <c r="C1385" s="8">
        <v>2199.0</v>
      </c>
      <c r="D1385" s="8">
        <v>3895.0</v>
      </c>
      <c r="E1385" s="19">
        <v>0.44</v>
      </c>
      <c r="F1385" s="10">
        <v>3.9</v>
      </c>
      <c r="G1385" s="11">
        <v>1085.0</v>
      </c>
      <c r="K1385" s="23">
        <v>1696.0</v>
      </c>
    </row>
    <row r="1386">
      <c r="A1386" s="7" t="s">
        <v>1513</v>
      </c>
      <c r="B1386" s="7" t="s">
        <v>1236</v>
      </c>
      <c r="C1386" s="8">
        <v>3685.0</v>
      </c>
      <c r="D1386" s="8">
        <v>5495.0</v>
      </c>
      <c r="E1386" s="19">
        <v>0.33</v>
      </c>
      <c r="F1386" s="10">
        <v>4.1</v>
      </c>
      <c r="G1386" s="10">
        <v>290.0</v>
      </c>
      <c r="K1386" s="23">
        <v>1810.0</v>
      </c>
    </row>
    <row r="1387">
      <c r="A1387" s="7" t="s">
        <v>1514</v>
      </c>
      <c r="B1387" s="7" t="s">
        <v>1144</v>
      </c>
      <c r="C1387" s="8">
        <v>649.0</v>
      </c>
      <c r="D1387" s="8">
        <v>999.0</v>
      </c>
      <c r="E1387" s="19">
        <v>0.35</v>
      </c>
      <c r="F1387" s="10">
        <v>3.6</v>
      </c>
      <c r="G1387" s="10">
        <v>4.0</v>
      </c>
      <c r="K1387" s="23">
        <v>350.0</v>
      </c>
    </row>
    <row r="1388">
      <c r="A1388" s="7" t="s">
        <v>1515</v>
      </c>
      <c r="B1388" s="7" t="s">
        <v>1318</v>
      </c>
      <c r="C1388" s="8">
        <v>8599.0</v>
      </c>
      <c r="D1388" s="8">
        <v>8995.0</v>
      </c>
      <c r="E1388" s="19">
        <v>0.04</v>
      </c>
      <c r="F1388" s="10">
        <v>4.4</v>
      </c>
      <c r="G1388" s="11">
        <v>9734.0</v>
      </c>
      <c r="K1388" s="23">
        <v>396.0</v>
      </c>
    </row>
    <row r="1389">
      <c r="A1389" s="7" t="s">
        <v>1516</v>
      </c>
      <c r="B1389" s="7" t="s">
        <v>1111</v>
      </c>
      <c r="C1389" s="8">
        <v>1110.0</v>
      </c>
      <c r="D1389" s="8">
        <v>1599.0</v>
      </c>
      <c r="E1389" s="19">
        <v>0.31</v>
      </c>
      <c r="F1389" s="10">
        <v>4.3</v>
      </c>
      <c r="G1389" s="11">
        <v>4022.0</v>
      </c>
      <c r="K1389" s="23">
        <v>489.0</v>
      </c>
    </row>
    <row r="1390">
      <c r="A1390" s="7" t="s">
        <v>1517</v>
      </c>
      <c r="B1390" s="7" t="s">
        <v>1115</v>
      </c>
      <c r="C1390" s="8">
        <v>1499.0</v>
      </c>
      <c r="D1390" s="8">
        <v>3500.0</v>
      </c>
      <c r="E1390" s="19">
        <v>0.57</v>
      </c>
      <c r="F1390" s="10">
        <v>4.7</v>
      </c>
      <c r="G1390" s="11">
        <v>2591.0</v>
      </c>
      <c r="K1390" s="23">
        <v>2001.0</v>
      </c>
    </row>
    <row r="1391">
      <c r="A1391" s="7" t="s">
        <v>1518</v>
      </c>
      <c r="B1391" s="7" t="s">
        <v>1095</v>
      </c>
      <c r="C1391" s="8">
        <v>759.0</v>
      </c>
      <c r="D1391" s="8">
        <v>1999.0</v>
      </c>
      <c r="E1391" s="19">
        <v>0.62</v>
      </c>
      <c r="F1391" s="10">
        <v>4.3</v>
      </c>
      <c r="G1391" s="10">
        <v>532.0</v>
      </c>
      <c r="K1391" s="23">
        <v>1240.0</v>
      </c>
    </row>
    <row r="1392">
      <c r="A1392" s="7" t="s">
        <v>1519</v>
      </c>
      <c r="B1392" s="7" t="s">
        <v>1148</v>
      </c>
      <c r="C1392" s="8">
        <v>2669.0</v>
      </c>
      <c r="D1392" s="8">
        <v>3199.0</v>
      </c>
      <c r="E1392" s="19">
        <v>0.17</v>
      </c>
      <c r="F1392" s="10">
        <v>3.9</v>
      </c>
      <c r="G1392" s="10">
        <v>260.0</v>
      </c>
      <c r="K1392" s="23">
        <v>530.0</v>
      </c>
    </row>
    <row r="1393">
      <c r="A1393" s="7" t="s">
        <v>1520</v>
      </c>
      <c r="B1393" s="7" t="s">
        <v>1159</v>
      </c>
      <c r="C1393" s="8">
        <v>929.0</v>
      </c>
      <c r="D1393" s="8">
        <v>1300.0</v>
      </c>
      <c r="E1393" s="19">
        <v>0.29</v>
      </c>
      <c r="F1393" s="10">
        <v>3.9</v>
      </c>
      <c r="G1393" s="11">
        <v>1672.0</v>
      </c>
      <c r="K1393" s="23">
        <v>371.0</v>
      </c>
    </row>
    <row r="1394">
      <c r="A1394" s="7" t="s">
        <v>1521</v>
      </c>
      <c r="B1394" s="7" t="s">
        <v>1137</v>
      </c>
      <c r="C1394" s="8">
        <v>199.0</v>
      </c>
      <c r="D1394" s="8">
        <v>399.0</v>
      </c>
      <c r="E1394" s="19">
        <v>0.5</v>
      </c>
      <c r="F1394" s="10">
        <v>3.7</v>
      </c>
      <c r="G1394" s="11">
        <v>7945.0</v>
      </c>
      <c r="K1394" s="23">
        <v>200.0</v>
      </c>
    </row>
    <row r="1395">
      <c r="A1395" s="7" t="s">
        <v>1522</v>
      </c>
      <c r="B1395" s="7" t="s">
        <v>1093</v>
      </c>
      <c r="C1395" s="8">
        <v>279.0</v>
      </c>
      <c r="D1395" s="8">
        <v>599.0</v>
      </c>
      <c r="E1395" s="19">
        <v>0.53</v>
      </c>
      <c r="F1395" s="10">
        <v>3.5</v>
      </c>
      <c r="G1395" s="11">
        <v>1367.0</v>
      </c>
      <c r="K1395" s="23">
        <v>320.0</v>
      </c>
    </row>
    <row r="1396">
      <c r="A1396" s="7" t="s">
        <v>1523</v>
      </c>
      <c r="B1396" s="7" t="s">
        <v>1109</v>
      </c>
      <c r="C1396" s="8">
        <v>549.0</v>
      </c>
      <c r="D1396" s="8">
        <v>999.0</v>
      </c>
      <c r="E1396" s="19">
        <v>0.45</v>
      </c>
      <c r="F1396" s="10">
        <v>4.0</v>
      </c>
      <c r="G1396" s="11">
        <v>1313.0</v>
      </c>
      <c r="K1396" s="23">
        <v>450.0</v>
      </c>
    </row>
    <row r="1397">
      <c r="A1397" s="7" t="s">
        <v>1524</v>
      </c>
      <c r="B1397" s="7" t="s">
        <v>1306</v>
      </c>
      <c r="C1397" s="8">
        <v>85.0</v>
      </c>
      <c r="D1397" s="8">
        <v>199.0</v>
      </c>
      <c r="E1397" s="19">
        <v>0.57</v>
      </c>
      <c r="F1397" s="10">
        <v>4.1</v>
      </c>
      <c r="G1397" s="10">
        <v>212.0</v>
      </c>
      <c r="K1397" s="23">
        <v>114.0</v>
      </c>
    </row>
    <row r="1398">
      <c r="A1398" s="7" t="s">
        <v>1525</v>
      </c>
      <c r="B1398" s="7" t="s">
        <v>1144</v>
      </c>
      <c r="C1398" s="8">
        <v>499.0</v>
      </c>
      <c r="D1398" s="8">
        <v>1299.0</v>
      </c>
      <c r="E1398" s="19">
        <v>0.62</v>
      </c>
      <c r="F1398" s="10">
        <v>3.9</v>
      </c>
      <c r="G1398" s="10">
        <v>65.0</v>
      </c>
      <c r="K1398" s="23">
        <v>800.0</v>
      </c>
    </row>
    <row r="1399">
      <c r="A1399" s="7" t="s">
        <v>1526</v>
      </c>
      <c r="B1399" s="7" t="s">
        <v>1144</v>
      </c>
      <c r="C1399" s="8">
        <v>5865.0</v>
      </c>
      <c r="D1399" s="8">
        <v>7776.0</v>
      </c>
      <c r="E1399" s="19">
        <v>0.25</v>
      </c>
      <c r="F1399" s="10">
        <v>4.4</v>
      </c>
      <c r="G1399" s="11">
        <v>2737.0</v>
      </c>
      <c r="K1399" s="23">
        <v>1911.0</v>
      </c>
    </row>
    <row r="1400">
      <c r="A1400" s="7" t="s">
        <v>1527</v>
      </c>
      <c r="B1400" s="7" t="s">
        <v>1086</v>
      </c>
      <c r="C1400" s="8">
        <v>1260.0</v>
      </c>
      <c r="D1400" s="8">
        <v>2299.0</v>
      </c>
      <c r="E1400" s="19">
        <v>0.45</v>
      </c>
      <c r="F1400" s="10">
        <v>4.3</v>
      </c>
      <c r="G1400" s="10">
        <v>55.0</v>
      </c>
      <c r="K1400" s="23">
        <v>1039.0</v>
      </c>
    </row>
    <row r="1401">
      <c r="A1401" s="7" t="s">
        <v>1528</v>
      </c>
      <c r="B1401" s="7" t="s">
        <v>1529</v>
      </c>
      <c r="C1401" s="8">
        <v>1099.0</v>
      </c>
      <c r="D1401" s="8">
        <v>1500.0</v>
      </c>
      <c r="E1401" s="19">
        <v>0.27</v>
      </c>
      <c r="F1401" s="10">
        <v>4.5</v>
      </c>
      <c r="G1401" s="11">
        <v>1065.0</v>
      </c>
      <c r="K1401" s="23">
        <v>401.0</v>
      </c>
    </row>
    <row r="1402">
      <c r="A1402" s="7" t="s">
        <v>1530</v>
      </c>
      <c r="B1402" s="7" t="s">
        <v>1159</v>
      </c>
      <c r="C1402" s="8">
        <v>1928.0</v>
      </c>
      <c r="D1402" s="8">
        <v>2590.0</v>
      </c>
      <c r="E1402" s="19">
        <v>0.26</v>
      </c>
      <c r="F1402" s="10">
        <v>4.0</v>
      </c>
      <c r="G1402" s="11">
        <v>2377.0</v>
      </c>
      <c r="K1402" s="23">
        <v>662.0</v>
      </c>
    </row>
    <row r="1403">
      <c r="A1403" s="7" t="s">
        <v>1531</v>
      </c>
      <c r="B1403" s="7" t="s">
        <v>1123</v>
      </c>
      <c r="C1403" s="8">
        <v>3249.0</v>
      </c>
      <c r="D1403" s="8">
        <v>6299.0</v>
      </c>
      <c r="E1403" s="19">
        <v>0.48</v>
      </c>
      <c r="F1403" s="10">
        <v>3.9</v>
      </c>
      <c r="G1403" s="11">
        <v>2569.0</v>
      </c>
      <c r="K1403" s="23">
        <v>3050.0</v>
      </c>
    </row>
    <row r="1404">
      <c r="A1404" s="7" t="s">
        <v>1532</v>
      </c>
      <c r="B1404" s="7" t="s">
        <v>1159</v>
      </c>
      <c r="C1404" s="8">
        <v>1199.0</v>
      </c>
      <c r="D1404" s="8">
        <v>1795.0</v>
      </c>
      <c r="E1404" s="19">
        <v>0.33</v>
      </c>
      <c r="F1404" s="10">
        <v>4.2</v>
      </c>
      <c r="G1404" s="11">
        <v>5967.0</v>
      </c>
      <c r="K1404" s="23">
        <v>596.0</v>
      </c>
    </row>
    <row r="1405">
      <c r="A1405" s="7" t="s">
        <v>1533</v>
      </c>
      <c r="B1405" s="7" t="s">
        <v>1086</v>
      </c>
      <c r="C1405" s="8">
        <v>1456.0</v>
      </c>
      <c r="D1405" s="8">
        <v>3190.0</v>
      </c>
      <c r="E1405" s="19">
        <v>0.54</v>
      </c>
      <c r="F1405" s="10">
        <v>4.1</v>
      </c>
      <c r="G1405" s="11">
        <v>1776.0</v>
      </c>
      <c r="K1405" s="23">
        <v>1734.0</v>
      </c>
    </row>
    <row r="1406">
      <c r="A1406" s="7" t="s">
        <v>1534</v>
      </c>
      <c r="B1406" s="7" t="s">
        <v>1144</v>
      </c>
      <c r="C1406" s="8">
        <v>3349.0</v>
      </c>
      <c r="D1406" s="8">
        <v>4799.0</v>
      </c>
      <c r="E1406" s="19">
        <v>0.3</v>
      </c>
      <c r="F1406" s="10">
        <v>3.7</v>
      </c>
      <c r="G1406" s="11">
        <v>4200.0</v>
      </c>
      <c r="K1406" s="23">
        <v>1450.0</v>
      </c>
    </row>
    <row r="1407">
      <c r="A1407" s="7" t="s">
        <v>1535</v>
      </c>
      <c r="B1407" s="7" t="s">
        <v>1197</v>
      </c>
      <c r="C1407" s="8">
        <v>4899.0</v>
      </c>
      <c r="D1407" s="8">
        <v>8999.0</v>
      </c>
      <c r="E1407" s="19">
        <v>0.46</v>
      </c>
      <c r="F1407" s="10">
        <v>4.1</v>
      </c>
      <c r="G1407" s="10">
        <v>297.0</v>
      </c>
      <c r="K1407" s="23">
        <v>4100.0</v>
      </c>
    </row>
    <row r="1408">
      <c r="A1408" s="7" t="s">
        <v>1536</v>
      </c>
      <c r="B1408" s="7" t="s">
        <v>1121</v>
      </c>
      <c r="C1408" s="8">
        <v>1199.0</v>
      </c>
      <c r="D1408" s="8">
        <v>1899.0</v>
      </c>
      <c r="E1408" s="19">
        <v>0.37</v>
      </c>
      <c r="F1408" s="10">
        <v>4.2</v>
      </c>
      <c r="G1408" s="11">
        <v>3858.0</v>
      </c>
      <c r="K1408" s="23">
        <v>700.0</v>
      </c>
    </row>
    <row r="1409">
      <c r="A1409" s="7" t="s">
        <v>1537</v>
      </c>
      <c r="B1409" s="7" t="s">
        <v>1393</v>
      </c>
      <c r="C1409" s="8">
        <v>3290.0</v>
      </c>
      <c r="D1409" s="8">
        <v>5799.0</v>
      </c>
      <c r="E1409" s="19">
        <v>0.43</v>
      </c>
      <c r="F1409" s="10">
        <v>4.3</v>
      </c>
      <c r="G1409" s="10">
        <v>168.0</v>
      </c>
      <c r="K1409" s="23">
        <v>2509.0</v>
      </c>
    </row>
    <row r="1410">
      <c r="A1410" s="7" t="s">
        <v>1538</v>
      </c>
      <c r="B1410" s="7" t="s">
        <v>1093</v>
      </c>
      <c r="C1410" s="8">
        <v>179.0</v>
      </c>
      <c r="D1410" s="8">
        <v>799.0</v>
      </c>
      <c r="E1410" s="19">
        <v>0.78</v>
      </c>
      <c r="F1410" s="10">
        <v>3.6</v>
      </c>
      <c r="G1410" s="10">
        <v>101.0</v>
      </c>
      <c r="K1410" s="23">
        <v>620.0</v>
      </c>
    </row>
    <row r="1411">
      <c r="A1411" s="7" t="s">
        <v>1539</v>
      </c>
      <c r="B1411" s="7" t="s">
        <v>1504</v>
      </c>
      <c r="C1411" s="8">
        <v>149.0</v>
      </c>
      <c r="D1411" s="8">
        <v>300.0</v>
      </c>
      <c r="E1411" s="19">
        <v>0.5</v>
      </c>
      <c r="F1411" s="10">
        <v>4.1</v>
      </c>
      <c r="G1411" s="11">
        <v>4074.0</v>
      </c>
      <c r="K1411" s="23">
        <v>151.0</v>
      </c>
    </row>
    <row r="1412">
      <c r="A1412" s="7" t="s">
        <v>1540</v>
      </c>
      <c r="B1412" s="7" t="s">
        <v>1113</v>
      </c>
      <c r="C1412" s="8">
        <v>5490.0</v>
      </c>
      <c r="D1412" s="8">
        <v>7200.0</v>
      </c>
      <c r="E1412" s="19">
        <v>0.24</v>
      </c>
      <c r="F1412" s="10">
        <v>4.5</v>
      </c>
      <c r="G1412" s="11">
        <v>1408.0</v>
      </c>
      <c r="K1412" s="23">
        <v>1710.0</v>
      </c>
    </row>
    <row r="1413">
      <c r="A1413" s="7" t="s">
        <v>1541</v>
      </c>
      <c r="B1413" s="7" t="s">
        <v>1095</v>
      </c>
      <c r="C1413" s="8">
        <v>379.0</v>
      </c>
      <c r="D1413" s="8">
        <v>389.0</v>
      </c>
      <c r="E1413" s="19">
        <v>0.03</v>
      </c>
      <c r="F1413" s="10">
        <v>4.2</v>
      </c>
      <c r="G1413" s="11">
        <v>3739.0</v>
      </c>
      <c r="K1413" s="23">
        <v>10.0</v>
      </c>
    </row>
    <row r="1414">
      <c r="A1414" s="7" t="s">
        <v>1542</v>
      </c>
      <c r="B1414" s="7" t="s">
        <v>1280</v>
      </c>
      <c r="C1414" s="8">
        <v>8699.0</v>
      </c>
      <c r="D1414" s="8">
        <v>13049.0</v>
      </c>
      <c r="E1414" s="19">
        <v>0.33</v>
      </c>
      <c r="F1414" s="10">
        <v>4.3</v>
      </c>
      <c r="G1414" s="11">
        <v>5891.0</v>
      </c>
      <c r="K1414" s="23">
        <v>4350.0</v>
      </c>
    </row>
    <row r="1415">
      <c r="A1415" s="7" t="s">
        <v>1543</v>
      </c>
      <c r="B1415" s="7" t="s">
        <v>1113</v>
      </c>
      <c r="C1415" s="8">
        <v>3041.67</v>
      </c>
      <c r="D1415" s="8">
        <v>5999.0</v>
      </c>
      <c r="E1415" s="19">
        <v>0.49</v>
      </c>
      <c r="F1415" s="10">
        <v>4.0</v>
      </c>
      <c r="G1415" s="10">
        <v>777.0</v>
      </c>
      <c r="K1415" s="23">
        <v>2957.33</v>
      </c>
    </row>
    <row r="1416">
      <c r="A1416" s="7" t="s">
        <v>1544</v>
      </c>
      <c r="B1416" s="7" t="s">
        <v>1109</v>
      </c>
      <c r="C1416" s="8">
        <v>1745.0</v>
      </c>
      <c r="D1416" s="8">
        <v>2400.0</v>
      </c>
      <c r="E1416" s="19">
        <v>0.27</v>
      </c>
      <c r="F1416" s="10">
        <v>4.2</v>
      </c>
      <c r="G1416" s="11">
        <v>14160.0</v>
      </c>
      <c r="K1416" s="23">
        <v>655.0</v>
      </c>
    </row>
    <row r="1417">
      <c r="A1417" s="7" t="s">
        <v>1545</v>
      </c>
      <c r="B1417" s="7" t="s">
        <v>1104</v>
      </c>
      <c r="C1417" s="8">
        <v>3180.0</v>
      </c>
      <c r="D1417" s="8">
        <v>5295.0</v>
      </c>
      <c r="E1417" s="19">
        <v>0.4</v>
      </c>
      <c r="F1417" s="10">
        <v>4.2</v>
      </c>
      <c r="G1417" s="11">
        <v>6919.0</v>
      </c>
      <c r="K1417" s="23">
        <v>2115.0</v>
      </c>
    </row>
    <row r="1418">
      <c r="A1418" s="7" t="s">
        <v>1546</v>
      </c>
      <c r="B1418" s="7" t="s">
        <v>1280</v>
      </c>
      <c r="C1418" s="8">
        <v>4999.0</v>
      </c>
      <c r="D1418" s="8">
        <v>24999.0</v>
      </c>
      <c r="E1418" s="19">
        <v>0.8</v>
      </c>
      <c r="F1418" s="10">
        <v>4.5</v>
      </c>
      <c r="G1418" s="10">
        <v>287.0</v>
      </c>
      <c r="K1418" s="23">
        <v>20000.0</v>
      </c>
    </row>
    <row r="1419">
      <c r="A1419" s="7" t="s">
        <v>1547</v>
      </c>
      <c r="B1419" s="7" t="s">
        <v>1137</v>
      </c>
      <c r="C1419" s="8">
        <v>390.0</v>
      </c>
      <c r="D1419" s="8">
        <v>799.0</v>
      </c>
      <c r="E1419" s="19">
        <v>0.51</v>
      </c>
      <c r="F1419" s="10">
        <v>3.8</v>
      </c>
      <c r="G1419" s="10">
        <v>287.0</v>
      </c>
      <c r="K1419" s="23">
        <v>409.0</v>
      </c>
    </row>
    <row r="1420">
      <c r="A1420" s="7" t="s">
        <v>1548</v>
      </c>
      <c r="B1420" s="7" t="s">
        <v>1549</v>
      </c>
      <c r="C1420" s="8">
        <v>1999.0</v>
      </c>
      <c r="D1420" s="8">
        <v>2999.0</v>
      </c>
      <c r="E1420" s="19">
        <v>0.33</v>
      </c>
      <c r="F1420" s="10">
        <v>4.4</v>
      </c>
      <c r="G1420" s="10">
        <v>388.0</v>
      </c>
      <c r="K1420" s="23">
        <v>1000.0</v>
      </c>
    </row>
    <row r="1421">
      <c r="A1421" s="7" t="s">
        <v>1550</v>
      </c>
      <c r="B1421" s="7" t="s">
        <v>1155</v>
      </c>
      <c r="C1421" s="8">
        <v>1624.0</v>
      </c>
      <c r="D1421" s="8">
        <v>2495.0</v>
      </c>
      <c r="E1421" s="19">
        <v>0.35</v>
      </c>
      <c r="F1421" s="10">
        <v>4.1</v>
      </c>
      <c r="G1421" s="10">
        <v>827.0</v>
      </c>
      <c r="K1421" s="23">
        <v>871.0</v>
      </c>
    </row>
    <row r="1422">
      <c r="A1422" s="7" t="s">
        <v>1551</v>
      </c>
      <c r="B1422" s="7" t="s">
        <v>1504</v>
      </c>
      <c r="C1422" s="8">
        <v>184.0</v>
      </c>
      <c r="D1422" s="8">
        <v>450.0</v>
      </c>
      <c r="E1422" s="19">
        <v>0.59</v>
      </c>
      <c r="F1422" s="10">
        <v>4.2</v>
      </c>
      <c r="G1422" s="11">
        <v>4971.0</v>
      </c>
      <c r="K1422" s="23">
        <v>266.0</v>
      </c>
    </row>
    <row r="1423">
      <c r="A1423" s="7" t="s">
        <v>1552</v>
      </c>
      <c r="B1423" s="7" t="s">
        <v>1093</v>
      </c>
      <c r="C1423" s="8">
        <v>445.0</v>
      </c>
      <c r="D1423" s="8">
        <v>999.0</v>
      </c>
      <c r="E1423" s="19">
        <v>0.55</v>
      </c>
      <c r="F1423" s="10">
        <v>4.3</v>
      </c>
      <c r="G1423" s="10">
        <v>229.0</v>
      </c>
      <c r="K1423" s="23">
        <v>554.0</v>
      </c>
    </row>
    <row r="1424">
      <c r="A1424" s="7" t="s">
        <v>1553</v>
      </c>
      <c r="B1424" s="7" t="s">
        <v>1554</v>
      </c>
      <c r="C1424" s="8">
        <v>699.0</v>
      </c>
      <c r="D1424" s="8">
        <v>1690.0</v>
      </c>
      <c r="E1424" s="19">
        <v>0.59</v>
      </c>
      <c r="F1424" s="10">
        <v>4.1</v>
      </c>
      <c r="G1424" s="11">
        <v>3524.0</v>
      </c>
      <c r="K1424" s="23">
        <v>991.0</v>
      </c>
    </row>
    <row r="1425">
      <c r="A1425" s="7" t="s">
        <v>1555</v>
      </c>
      <c r="B1425" s="7" t="s">
        <v>1104</v>
      </c>
      <c r="C1425" s="8">
        <v>1601.0</v>
      </c>
      <c r="D1425" s="8">
        <v>3890.0</v>
      </c>
      <c r="E1425" s="19">
        <v>0.59</v>
      </c>
      <c r="F1425" s="10">
        <v>4.2</v>
      </c>
      <c r="G1425" s="10">
        <v>156.0</v>
      </c>
      <c r="K1425" s="23">
        <v>2289.0</v>
      </c>
    </row>
    <row r="1426">
      <c r="A1426" s="7" t="s">
        <v>1556</v>
      </c>
      <c r="B1426" s="7" t="s">
        <v>1228</v>
      </c>
      <c r="C1426" s="8">
        <v>231.0</v>
      </c>
      <c r="D1426" s="8">
        <v>260.0</v>
      </c>
      <c r="E1426" s="19">
        <v>0.11</v>
      </c>
      <c r="F1426" s="10">
        <v>4.1</v>
      </c>
      <c r="G1426" s="10">
        <v>490.0</v>
      </c>
      <c r="K1426" s="23">
        <v>29.0</v>
      </c>
    </row>
    <row r="1427">
      <c r="A1427" s="7" t="s">
        <v>1557</v>
      </c>
      <c r="B1427" s="7" t="s">
        <v>1093</v>
      </c>
      <c r="C1427" s="8">
        <v>369.0</v>
      </c>
      <c r="D1427" s="8">
        <v>599.0</v>
      </c>
      <c r="E1427" s="19">
        <v>0.38</v>
      </c>
      <c r="F1427" s="10">
        <v>3.9</v>
      </c>
      <c r="G1427" s="10">
        <v>82.0</v>
      </c>
      <c r="K1427" s="23">
        <v>230.0</v>
      </c>
    </row>
    <row r="1428">
      <c r="A1428" s="7" t="s">
        <v>1558</v>
      </c>
      <c r="B1428" s="7" t="s">
        <v>1086</v>
      </c>
      <c r="C1428" s="8">
        <v>809.0</v>
      </c>
      <c r="D1428" s="8">
        <v>1950.0</v>
      </c>
      <c r="E1428" s="19">
        <v>0.59</v>
      </c>
      <c r="F1428" s="10">
        <v>3.9</v>
      </c>
      <c r="G1428" s="10">
        <v>710.0</v>
      </c>
      <c r="K1428" s="23">
        <v>1141.0</v>
      </c>
    </row>
    <row r="1429">
      <c r="A1429" s="7" t="s">
        <v>1559</v>
      </c>
      <c r="B1429" s="7" t="s">
        <v>1113</v>
      </c>
      <c r="C1429" s="8">
        <v>1199.0</v>
      </c>
      <c r="D1429" s="8">
        <v>2990.0</v>
      </c>
      <c r="E1429" s="19">
        <v>0.6</v>
      </c>
      <c r="F1429" s="10">
        <v>3.8</v>
      </c>
      <c r="G1429" s="10">
        <v>133.0</v>
      </c>
      <c r="K1429" s="23">
        <v>1791.0</v>
      </c>
    </row>
    <row r="1430">
      <c r="A1430" s="7" t="s">
        <v>1560</v>
      </c>
      <c r="B1430" s="7" t="s">
        <v>1113</v>
      </c>
      <c r="C1430" s="8">
        <v>6120.0</v>
      </c>
      <c r="D1430" s="8">
        <v>8073.0</v>
      </c>
      <c r="E1430" s="19">
        <v>0.24</v>
      </c>
      <c r="F1430" s="10">
        <v>4.6</v>
      </c>
      <c r="G1430" s="11">
        <v>2751.0</v>
      </c>
      <c r="K1430" s="23">
        <v>1953.0</v>
      </c>
    </row>
    <row r="1431">
      <c r="A1431" s="7" t="s">
        <v>1561</v>
      </c>
      <c r="B1431" s="7" t="s">
        <v>1139</v>
      </c>
      <c r="C1431" s="8">
        <v>1799.0</v>
      </c>
      <c r="D1431" s="8">
        <v>2599.0</v>
      </c>
      <c r="E1431" s="19">
        <v>0.31</v>
      </c>
      <c r="F1431" s="10">
        <v>3.6</v>
      </c>
      <c r="G1431" s="10">
        <v>771.0</v>
      </c>
      <c r="K1431" s="23">
        <v>800.0</v>
      </c>
    </row>
    <row r="1432">
      <c r="A1432" s="7" t="s">
        <v>1562</v>
      </c>
      <c r="B1432" s="7" t="s">
        <v>1428</v>
      </c>
      <c r="C1432" s="8">
        <v>18999.0</v>
      </c>
      <c r="D1432" s="8">
        <v>29999.0</v>
      </c>
      <c r="E1432" s="19">
        <v>0.37</v>
      </c>
      <c r="F1432" s="10">
        <v>4.1</v>
      </c>
      <c r="G1432" s="11">
        <v>2536.0</v>
      </c>
      <c r="K1432" s="23">
        <v>11000.0</v>
      </c>
    </row>
    <row r="1433">
      <c r="A1433" s="7" t="s">
        <v>1563</v>
      </c>
      <c r="B1433" s="7" t="s">
        <v>1222</v>
      </c>
      <c r="C1433" s="8">
        <v>1999.0</v>
      </c>
      <c r="D1433" s="8">
        <v>2360.0</v>
      </c>
      <c r="E1433" s="19">
        <v>0.15</v>
      </c>
      <c r="F1433" s="10">
        <v>4.2</v>
      </c>
      <c r="G1433" s="11">
        <v>7801.0</v>
      </c>
      <c r="K1433" s="23">
        <v>361.0</v>
      </c>
    </row>
    <row r="1434">
      <c r="A1434" s="7" t="s">
        <v>1564</v>
      </c>
      <c r="B1434" s="7" t="s">
        <v>1565</v>
      </c>
      <c r="C1434" s="8">
        <v>5999.0</v>
      </c>
      <c r="D1434" s="8">
        <v>11495.0</v>
      </c>
      <c r="E1434" s="19">
        <v>0.48</v>
      </c>
      <c r="F1434" s="10">
        <v>4.3</v>
      </c>
      <c r="G1434" s="10">
        <v>534.0</v>
      </c>
      <c r="K1434" s="23">
        <v>5496.0</v>
      </c>
    </row>
    <row r="1435">
      <c r="A1435" s="7" t="s">
        <v>1566</v>
      </c>
      <c r="B1435" s="7" t="s">
        <v>1186</v>
      </c>
      <c r="C1435" s="8">
        <v>2599.0</v>
      </c>
      <c r="D1435" s="8">
        <v>4780.0</v>
      </c>
      <c r="E1435" s="19">
        <v>0.46</v>
      </c>
      <c r="F1435" s="10">
        <v>3.9</v>
      </c>
      <c r="G1435" s="10">
        <v>898.0</v>
      </c>
      <c r="K1435" s="23">
        <v>2181.0</v>
      </c>
    </row>
    <row r="1436">
      <c r="A1436" s="7" t="s">
        <v>1567</v>
      </c>
      <c r="B1436" s="7" t="s">
        <v>1489</v>
      </c>
      <c r="C1436" s="8">
        <v>1199.0</v>
      </c>
      <c r="D1436" s="8">
        <v>2400.0</v>
      </c>
      <c r="E1436" s="19">
        <v>0.5</v>
      </c>
      <c r="F1436" s="10">
        <v>3.9</v>
      </c>
      <c r="G1436" s="11">
        <v>1202.0</v>
      </c>
      <c r="K1436" s="23">
        <v>1201.0</v>
      </c>
    </row>
    <row r="1437">
      <c r="A1437" s="7" t="s">
        <v>1568</v>
      </c>
      <c r="B1437" s="7" t="s">
        <v>1137</v>
      </c>
      <c r="C1437" s="8">
        <v>219.0</v>
      </c>
      <c r="D1437" s="8">
        <v>249.0</v>
      </c>
      <c r="E1437" s="19">
        <v>0.12</v>
      </c>
      <c r="F1437" s="10">
        <v>4.0</v>
      </c>
      <c r="G1437" s="11">
        <v>1108.0</v>
      </c>
      <c r="K1437" s="23">
        <v>30.0</v>
      </c>
    </row>
    <row r="1438">
      <c r="A1438" s="7" t="s">
        <v>1569</v>
      </c>
      <c r="B1438" s="7" t="s">
        <v>1091</v>
      </c>
      <c r="C1438" s="8">
        <v>799.0</v>
      </c>
      <c r="D1438" s="8">
        <v>1199.0</v>
      </c>
      <c r="E1438" s="19">
        <v>0.33</v>
      </c>
      <c r="F1438" s="10">
        <v>4.4</v>
      </c>
      <c r="G1438" s="10">
        <v>17.0</v>
      </c>
      <c r="K1438" s="23">
        <v>400.0</v>
      </c>
    </row>
    <row r="1439">
      <c r="A1439" s="7" t="s">
        <v>1570</v>
      </c>
      <c r="B1439" s="7" t="s">
        <v>1263</v>
      </c>
      <c r="C1439" s="8">
        <v>6199.0</v>
      </c>
      <c r="D1439" s="8">
        <v>10999.0</v>
      </c>
      <c r="E1439" s="19">
        <v>0.44</v>
      </c>
      <c r="F1439" s="10">
        <v>4.2</v>
      </c>
      <c r="G1439" s="11">
        <v>10429.0</v>
      </c>
      <c r="K1439" s="23">
        <v>4800.0</v>
      </c>
    </row>
    <row r="1440">
      <c r="A1440" s="7" t="s">
        <v>1571</v>
      </c>
      <c r="B1440" s="7" t="s">
        <v>1135</v>
      </c>
      <c r="C1440" s="8">
        <v>6790.0</v>
      </c>
      <c r="D1440" s="8">
        <v>10995.0</v>
      </c>
      <c r="E1440" s="19">
        <v>0.38</v>
      </c>
      <c r="F1440" s="10">
        <v>4.5</v>
      </c>
      <c r="G1440" s="11">
        <v>3192.0</v>
      </c>
      <c r="K1440" s="23">
        <v>4205.0</v>
      </c>
    </row>
    <row r="1441">
      <c r="A1441" s="7" t="s">
        <v>1572</v>
      </c>
      <c r="B1441" s="7" t="s">
        <v>1573</v>
      </c>
      <c r="C1441" s="8">
        <v>1982.84</v>
      </c>
      <c r="D1441" s="8">
        <v>3300.0</v>
      </c>
      <c r="E1441" s="19">
        <v>0.4</v>
      </c>
      <c r="F1441" s="10">
        <v>4.1</v>
      </c>
      <c r="G1441" s="11">
        <v>5873.0</v>
      </c>
      <c r="K1441" s="23">
        <v>1317.16</v>
      </c>
    </row>
    <row r="1442">
      <c r="A1442" s="7" t="s">
        <v>1574</v>
      </c>
      <c r="B1442" s="7" t="s">
        <v>1228</v>
      </c>
      <c r="C1442" s="8">
        <v>199.0</v>
      </c>
      <c r="D1442" s="8">
        <v>400.0</v>
      </c>
      <c r="E1442" s="19">
        <v>0.5</v>
      </c>
      <c r="F1442" s="10">
        <v>4.1</v>
      </c>
      <c r="G1442" s="11">
        <v>1379.0</v>
      </c>
      <c r="K1442" s="23">
        <v>201.0</v>
      </c>
    </row>
    <row r="1443">
      <c r="A1443" s="7" t="s">
        <v>1575</v>
      </c>
      <c r="B1443" s="7" t="s">
        <v>1086</v>
      </c>
      <c r="C1443" s="8">
        <v>1180.0</v>
      </c>
      <c r="D1443" s="8">
        <v>1440.0</v>
      </c>
      <c r="E1443" s="19">
        <v>0.18</v>
      </c>
      <c r="F1443" s="10">
        <v>4.2</v>
      </c>
      <c r="G1443" s="11">
        <v>1527.0</v>
      </c>
      <c r="K1443" s="23">
        <v>260.0</v>
      </c>
    </row>
    <row r="1444">
      <c r="A1444" s="7" t="s">
        <v>1576</v>
      </c>
      <c r="B1444" s="7" t="s">
        <v>1186</v>
      </c>
      <c r="C1444" s="8">
        <v>2199.0</v>
      </c>
      <c r="D1444" s="8">
        <v>3045.0</v>
      </c>
      <c r="E1444" s="19">
        <v>0.28</v>
      </c>
      <c r="F1444" s="10">
        <v>4.2</v>
      </c>
      <c r="G1444" s="11">
        <v>2686.0</v>
      </c>
      <c r="K1444" s="23">
        <v>846.0</v>
      </c>
    </row>
    <row r="1445">
      <c r="A1445" s="7" t="s">
        <v>1577</v>
      </c>
      <c r="B1445" s="7" t="s">
        <v>1225</v>
      </c>
      <c r="C1445" s="8">
        <v>2999.0</v>
      </c>
      <c r="D1445" s="8">
        <v>3595.0</v>
      </c>
      <c r="E1445" s="19">
        <v>0.17</v>
      </c>
      <c r="F1445" s="10">
        <v>4.0</v>
      </c>
      <c r="G1445" s="10">
        <v>178.0</v>
      </c>
      <c r="K1445" s="23">
        <v>596.0</v>
      </c>
    </row>
    <row r="1446">
      <c r="A1446" s="7" t="s">
        <v>1578</v>
      </c>
      <c r="B1446" s="7" t="s">
        <v>1579</v>
      </c>
      <c r="C1446" s="8">
        <v>253.0</v>
      </c>
      <c r="D1446" s="8">
        <v>500.0</v>
      </c>
      <c r="E1446" s="19">
        <v>0.49</v>
      </c>
      <c r="F1446" s="10">
        <v>4.3</v>
      </c>
      <c r="G1446" s="11">
        <v>2664.0</v>
      </c>
      <c r="K1446" s="23">
        <v>247.0</v>
      </c>
    </row>
    <row r="1447">
      <c r="A1447" s="7" t="s">
        <v>1580</v>
      </c>
      <c r="B1447" s="7" t="s">
        <v>1393</v>
      </c>
      <c r="C1447" s="8">
        <v>499.0</v>
      </c>
      <c r="D1447" s="8">
        <v>799.0</v>
      </c>
      <c r="E1447" s="19">
        <v>0.38</v>
      </c>
      <c r="F1447" s="10">
        <v>3.6</v>
      </c>
      <c r="G1447" s="10">
        <v>212.0</v>
      </c>
      <c r="K1447" s="17" t="e">
        <v>#N/A</v>
      </c>
    </row>
    <row r="1448">
      <c r="A1448" s="7" t="s">
        <v>1581</v>
      </c>
      <c r="B1448" s="7" t="s">
        <v>1089</v>
      </c>
      <c r="C1448" s="8">
        <v>1149.0</v>
      </c>
      <c r="D1448" s="8">
        <v>1899.0</v>
      </c>
      <c r="E1448" s="19">
        <v>0.39</v>
      </c>
      <c r="F1448" s="10">
        <v>3.5</v>
      </c>
      <c r="G1448" s="10">
        <v>24.0</v>
      </c>
      <c r="K1448" s="17" t="e">
        <v>#N/A</v>
      </c>
    </row>
    <row r="1449">
      <c r="A1449" s="7" t="s">
        <v>1582</v>
      </c>
      <c r="B1449" s="7" t="s">
        <v>1111</v>
      </c>
      <c r="C1449" s="8">
        <v>457.0</v>
      </c>
      <c r="D1449" s="8">
        <v>799.0</v>
      </c>
      <c r="E1449" s="19">
        <v>0.43</v>
      </c>
      <c r="F1449" s="10">
        <v>4.3</v>
      </c>
      <c r="G1449" s="11">
        <v>1868.0</v>
      </c>
      <c r="K1449" s="17" t="e">
        <v>#N/A</v>
      </c>
    </row>
    <row r="1450">
      <c r="A1450" s="7" t="s">
        <v>1583</v>
      </c>
      <c r="B1450" s="7" t="s">
        <v>1388</v>
      </c>
      <c r="C1450" s="8">
        <v>229.0</v>
      </c>
      <c r="D1450" s="8">
        <v>399.0</v>
      </c>
      <c r="E1450" s="19">
        <v>0.43</v>
      </c>
      <c r="F1450" s="10">
        <v>3.6</v>
      </c>
      <c r="G1450" s="10">
        <v>451.0</v>
      </c>
      <c r="K1450" s="17" t="e">
        <v>#N/A</v>
      </c>
    </row>
    <row r="1451">
      <c r="A1451" s="7" t="s">
        <v>1584</v>
      </c>
      <c r="B1451" s="7" t="s">
        <v>1228</v>
      </c>
      <c r="C1451" s="8">
        <v>199.0</v>
      </c>
      <c r="D1451" s="8">
        <v>699.0</v>
      </c>
      <c r="E1451" s="19">
        <v>0.72</v>
      </c>
      <c r="F1451" s="10">
        <v>2.9</v>
      </c>
      <c r="G1451" s="10">
        <v>159.0</v>
      </c>
      <c r="K1451" s="17" t="e">
        <v>#N/A</v>
      </c>
    </row>
    <row r="1452">
      <c r="A1452" s="7" t="s">
        <v>1585</v>
      </c>
      <c r="B1452" s="7" t="s">
        <v>1489</v>
      </c>
      <c r="C1452" s="8">
        <v>899.0</v>
      </c>
      <c r="D1452" s="8">
        <v>1999.0</v>
      </c>
      <c r="E1452" s="19">
        <v>0.55</v>
      </c>
      <c r="F1452" s="10">
        <v>4.2</v>
      </c>
      <c r="G1452" s="10">
        <v>39.0</v>
      </c>
      <c r="K1452" s="17" t="e">
        <v>#N/A</v>
      </c>
    </row>
    <row r="1453">
      <c r="A1453" s="7" t="s">
        <v>1586</v>
      </c>
      <c r="B1453" s="7" t="s">
        <v>1310</v>
      </c>
      <c r="C1453" s="8">
        <v>1499.0</v>
      </c>
      <c r="D1453" s="8">
        <v>2199.0</v>
      </c>
      <c r="E1453" s="19">
        <v>0.32</v>
      </c>
      <c r="F1453" s="10">
        <v>4.4</v>
      </c>
      <c r="G1453" s="11">
        <v>6531.0</v>
      </c>
      <c r="K1453" s="17" t="e">
        <v>#N/A</v>
      </c>
    </row>
    <row r="1454">
      <c r="A1454" s="7" t="s">
        <v>1587</v>
      </c>
      <c r="B1454" s="7" t="s">
        <v>1109</v>
      </c>
      <c r="C1454" s="8">
        <v>426.0</v>
      </c>
      <c r="D1454" s="8">
        <v>999.0</v>
      </c>
      <c r="E1454" s="19">
        <v>0.57</v>
      </c>
      <c r="F1454" s="10">
        <v>4.1</v>
      </c>
      <c r="G1454" s="10">
        <v>222.0</v>
      </c>
      <c r="K1454" s="17" t="e">
        <v>#N/A</v>
      </c>
    </row>
    <row r="1455">
      <c r="A1455" s="7" t="s">
        <v>1588</v>
      </c>
      <c r="B1455" s="7" t="s">
        <v>1091</v>
      </c>
      <c r="C1455" s="8">
        <v>2320.0</v>
      </c>
      <c r="D1455" s="8">
        <v>3290.0</v>
      </c>
      <c r="E1455" s="19">
        <v>0.29</v>
      </c>
      <c r="F1455" s="10">
        <v>3.8</v>
      </c>
      <c r="G1455" s="10">
        <v>195.0</v>
      </c>
      <c r="K1455" s="17" t="e">
        <v>#N/A</v>
      </c>
    </row>
    <row r="1456">
      <c r="A1456" s="7" t="s">
        <v>1589</v>
      </c>
      <c r="B1456" s="7" t="s">
        <v>1299</v>
      </c>
      <c r="C1456" s="8">
        <v>1563.0</v>
      </c>
      <c r="D1456" s="8">
        <v>3098.0</v>
      </c>
      <c r="E1456" s="19">
        <v>0.5</v>
      </c>
      <c r="F1456" s="10">
        <v>3.5</v>
      </c>
      <c r="G1456" s="11">
        <v>2283.0</v>
      </c>
      <c r="K1456" s="17" t="e">
        <v>#N/A</v>
      </c>
    </row>
    <row r="1457">
      <c r="A1457" s="7" t="s">
        <v>1590</v>
      </c>
      <c r="B1457" s="7" t="s">
        <v>1089</v>
      </c>
      <c r="C1457" s="8">
        <v>3487.77</v>
      </c>
      <c r="D1457" s="8">
        <v>4990.0</v>
      </c>
      <c r="E1457" s="19">
        <v>0.3</v>
      </c>
      <c r="F1457" s="10">
        <v>4.1</v>
      </c>
      <c r="G1457" s="11">
        <v>1127.0</v>
      </c>
      <c r="K1457" s="17" t="e">
        <v>#N/A</v>
      </c>
    </row>
    <row r="1458">
      <c r="A1458" s="7" t="s">
        <v>1591</v>
      </c>
      <c r="B1458" s="7" t="s">
        <v>1173</v>
      </c>
      <c r="C1458" s="8">
        <v>498.0</v>
      </c>
      <c r="D1458" s="8">
        <v>1200.0</v>
      </c>
      <c r="E1458" s="19">
        <v>0.59</v>
      </c>
      <c r="F1458" s="10">
        <v>3.2</v>
      </c>
      <c r="G1458" s="10">
        <v>113.0</v>
      </c>
      <c r="K1458" s="17" t="e">
        <v>#N/A</v>
      </c>
    </row>
    <row r="1459">
      <c r="A1459" s="7" t="s">
        <v>1592</v>
      </c>
      <c r="B1459" s="7" t="s">
        <v>1086</v>
      </c>
      <c r="C1459" s="8">
        <v>2695.0</v>
      </c>
      <c r="D1459" s="8">
        <v>2695.0</v>
      </c>
      <c r="E1459" s="19">
        <v>0.0</v>
      </c>
      <c r="F1459" s="10">
        <v>4.4</v>
      </c>
      <c r="G1459" s="11">
        <v>2518.0</v>
      </c>
      <c r="K1459" s="17" t="e">
        <v>#N/A</v>
      </c>
    </row>
    <row r="1460">
      <c r="A1460" s="7" t="s">
        <v>1593</v>
      </c>
      <c r="B1460" s="7" t="s">
        <v>1089</v>
      </c>
      <c r="C1460" s="8">
        <v>949.0</v>
      </c>
      <c r="D1460" s="8">
        <v>2299.0</v>
      </c>
      <c r="E1460" s="19">
        <v>0.59</v>
      </c>
      <c r="F1460" s="10">
        <v>3.6</v>
      </c>
      <c r="G1460" s="10">
        <v>550.0</v>
      </c>
      <c r="K1460" s="17" t="e">
        <v>#N/A</v>
      </c>
    </row>
    <row r="1461">
      <c r="A1461" s="7" t="s">
        <v>1594</v>
      </c>
      <c r="B1461" s="7" t="s">
        <v>1093</v>
      </c>
      <c r="C1461" s="8">
        <v>199.0</v>
      </c>
      <c r="D1461" s="8">
        <v>999.0</v>
      </c>
      <c r="E1461" s="19">
        <v>0.8</v>
      </c>
      <c r="F1461" s="10">
        <v>3.1</v>
      </c>
      <c r="G1461" s="10">
        <v>2.0</v>
      </c>
      <c r="K1461" s="17" t="e">
        <v>#N/A</v>
      </c>
    </row>
    <row r="1462">
      <c r="A1462" s="7" t="s">
        <v>1595</v>
      </c>
      <c r="B1462" s="7" t="s">
        <v>1228</v>
      </c>
      <c r="C1462" s="8">
        <v>379.0</v>
      </c>
      <c r="D1462" s="8">
        <v>919.0</v>
      </c>
      <c r="E1462" s="19">
        <v>0.59</v>
      </c>
      <c r="F1462" s="10">
        <v>4.0</v>
      </c>
      <c r="G1462" s="11">
        <v>1090.0</v>
      </c>
      <c r="K1462" s="17" t="e">
        <v>#N/A</v>
      </c>
    </row>
    <row r="1463">
      <c r="A1463" s="7" t="s">
        <v>1596</v>
      </c>
      <c r="B1463" s="7" t="s">
        <v>1236</v>
      </c>
      <c r="C1463" s="8">
        <v>2280.0</v>
      </c>
      <c r="D1463" s="8">
        <v>3045.0</v>
      </c>
      <c r="E1463" s="19">
        <v>0.25</v>
      </c>
      <c r="F1463" s="10">
        <v>4.1</v>
      </c>
      <c r="G1463" s="11">
        <v>4118.0</v>
      </c>
      <c r="K1463" s="17" t="e">
        <v>#N/A</v>
      </c>
    </row>
    <row r="1464">
      <c r="A1464" s="7" t="s">
        <v>1597</v>
      </c>
      <c r="B1464" s="7" t="s">
        <v>1209</v>
      </c>
      <c r="C1464" s="8">
        <v>2219.0</v>
      </c>
      <c r="D1464" s="8">
        <v>3080.0</v>
      </c>
      <c r="E1464" s="19">
        <v>0.28</v>
      </c>
      <c r="F1464" s="10">
        <v>3.6</v>
      </c>
      <c r="G1464" s="10">
        <v>468.0</v>
      </c>
      <c r="K1464" s="17" t="e">
        <v>#N/A</v>
      </c>
    </row>
    <row r="1465">
      <c r="A1465" s="7" t="s">
        <v>1598</v>
      </c>
      <c r="B1465" s="7" t="s">
        <v>1222</v>
      </c>
      <c r="C1465" s="8">
        <v>1399.0</v>
      </c>
      <c r="D1465" s="8">
        <v>1890.0</v>
      </c>
      <c r="E1465" s="19">
        <v>0.26</v>
      </c>
      <c r="F1465" s="10">
        <v>4.0</v>
      </c>
      <c r="G1465" s="11">
        <v>8031.0</v>
      </c>
      <c r="K1465" s="17" t="e">
        <v>#N/A</v>
      </c>
    </row>
    <row r="1466">
      <c r="A1466" s="7" t="s">
        <v>1599</v>
      </c>
      <c r="B1466" s="7" t="s">
        <v>1159</v>
      </c>
      <c r="C1466" s="8">
        <v>2863.0</v>
      </c>
      <c r="D1466" s="8">
        <v>3690.0</v>
      </c>
      <c r="E1466" s="19">
        <v>0.22</v>
      </c>
      <c r="F1466" s="10">
        <v>4.3</v>
      </c>
      <c r="G1466" s="11">
        <v>6987.0</v>
      </c>
      <c r="K1466" s="17" t="e">
        <v>#N/A</v>
      </c>
    </row>
  </sheetData>
  <mergeCells count="1">
    <mergeCell ref="I2:J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K2" s="26" t="s">
        <v>1612</v>
      </c>
      <c r="N2" s="12"/>
    </row>
    <row r="3">
      <c r="A3" s="7" t="s">
        <v>17</v>
      </c>
      <c r="B3" s="7" t="s">
        <v>15</v>
      </c>
      <c r="C3" s="8">
        <v>199.0</v>
      </c>
      <c r="D3" s="8">
        <v>349.0</v>
      </c>
      <c r="E3" s="19">
        <v>0.43</v>
      </c>
      <c r="F3" s="10">
        <v>4.0</v>
      </c>
      <c r="G3" s="11">
        <v>43994.0</v>
      </c>
      <c r="N3" s="12"/>
    </row>
    <row r="4">
      <c r="A4" s="7" t="s">
        <v>18</v>
      </c>
      <c r="B4" s="7" t="s">
        <v>15</v>
      </c>
      <c r="C4" s="8">
        <v>199.0</v>
      </c>
      <c r="D4" s="8">
        <v>1899.0</v>
      </c>
      <c r="E4" s="19">
        <v>0.9</v>
      </c>
      <c r="F4" s="10">
        <v>3.9</v>
      </c>
      <c r="G4" s="11">
        <v>7928.0</v>
      </c>
      <c r="I4" s="22"/>
      <c r="N4" s="12"/>
    </row>
    <row r="5">
      <c r="A5" s="7" t="s">
        <v>19</v>
      </c>
      <c r="B5" s="7" t="s">
        <v>15</v>
      </c>
      <c r="C5" s="8">
        <v>329.0</v>
      </c>
      <c r="D5" s="8">
        <v>699.0</v>
      </c>
      <c r="E5" s="19">
        <v>0.53</v>
      </c>
      <c r="F5" s="10">
        <v>4.2</v>
      </c>
      <c r="G5" s="11">
        <v>94363.0</v>
      </c>
      <c r="N5" s="12"/>
    </row>
    <row r="6">
      <c r="A6" s="7" t="s">
        <v>20</v>
      </c>
      <c r="B6" s="7" t="s">
        <v>15</v>
      </c>
      <c r="C6" s="8">
        <v>154.0</v>
      </c>
      <c r="D6" s="8">
        <v>399.0</v>
      </c>
      <c r="E6" s="19">
        <v>0.61</v>
      </c>
      <c r="F6" s="10">
        <v>4.2</v>
      </c>
      <c r="G6" s="11">
        <v>16905.0</v>
      </c>
      <c r="K6" s="12"/>
      <c r="L6" s="12"/>
      <c r="M6" s="12"/>
      <c r="N6" s="12"/>
    </row>
    <row r="7">
      <c r="A7" s="7" t="s">
        <v>21</v>
      </c>
      <c r="B7" s="7" t="s">
        <v>15</v>
      </c>
      <c r="C7" s="8">
        <v>149.0</v>
      </c>
      <c r="D7" s="8">
        <v>1000.0</v>
      </c>
      <c r="E7" s="19">
        <v>0.85</v>
      </c>
      <c r="F7" s="10">
        <v>3.9</v>
      </c>
      <c r="G7" s="11">
        <v>24871.0</v>
      </c>
    </row>
    <row r="8">
      <c r="A8" s="7" t="s">
        <v>22</v>
      </c>
      <c r="B8" s="7" t="s">
        <v>15</v>
      </c>
      <c r="C8" s="8">
        <v>176.63</v>
      </c>
      <c r="D8" s="8">
        <v>499.0</v>
      </c>
      <c r="E8" s="19">
        <v>0.65</v>
      </c>
      <c r="F8" s="10">
        <v>4.1</v>
      </c>
      <c r="G8" s="11">
        <v>15188.0</v>
      </c>
    </row>
    <row r="9">
      <c r="A9" s="7" t="s">
        <v>23</v>
      </c>
      <c r="B9" s="7" t="s">
        <v>15</v>
      </c>
      <c r="C9" s="8">
        <v>229.0</v>
      </c>
      <c r="D9" s="8">
        <v>299.0</v>
      </c>
      <c r="E9" s="19">
        <v>0.23</v>
      </c>
      <c r="F9" s="10">
        <v>4.3</v>
      </c>
      <c r="G9" s="11">
        <v>30411.0</v>
      </c>
    </row>
    <row r="10">
      <c r="A10" s="7" t="s">
        <v>24</v>
      </c>
      <c r="B10" s="7" t="s">
        <v>25</v>
      </c>
      <c r="C10" s="8">
        <v>499.0</v>
      </c>
      <c r="D10" s="8">
        <v>999.0</v>
      </c>
      <c r="E10" s="19">
        <v>0.5</v>
      </c>
      <c r="F10" s="10">
        <v>4.2</v>
      </c>
      <c r="G10" s="7" t="s">
        <v>26</v>
      </c>
    </row>
    <row r="11">
      <c r="A11" s="7" t="s">
        <v>27</v>
      </c>
      <c r="B11" s="7" t="s">
        <v>15</v>
      </c>
      <c r="C11" s="8">
        <v>199.0</v>
      </c>
      <c r="D11" s="8">
        <v>299.0</v>
      </c>
      <c r="E11" s="19">
        <v>0.33</v>
      </c>
      <c r="F11" s="10">
        <v>4.0</v>
      </c>
      <c r="G11" s="11">
        <v>43994.0</v>
      </c>
    </row>
    <row r="12">
      <c r="A12" s="7" t="s">
        <v>28</v>
      </c>
      <c r="B12" s="7" t="s">
        <v>15</v>
      </c>
      <c r="C12" s="8">
        <v>154.0</v>
      </c>
      <c r="D12" s="8">
        <v>339.0</v>
      </c>
      <c r="E12" s="19">
        <v>0.55</v>
      </c>
      <c r="F12" s="10">
        <v>4.3</v>
      </c>
      <c r="G12" s="11">
        <v>13391.0</v>
      </c>
    </row>
    <row r="13">
      <c r="A13" s="7" t="s">
        <v>29</v>
      </c>
      <c r="B13" s="7" t="s">
        <v>15</v>
      </c>
      <c r="C13" s="8">
        <v>299.0</v>
      </c>
      <c r="D13" s="8">
        <v>799.0</v>
      </c>
      <c r="E13" s="19">
        <v>0.63</v>
      </c>
      <c r="F13" s="10">
        <v>4.2</v>
      </c>
      <c r="G13" s="11">
        <v>94363.0</v>
      </c>
    </row>
    <row r="14">
      <c r="A14" s="7" t="s">
        <v>30</v>
      </c>
      <c r="B14" s="7" t="s">
        <v>31</v>
      </c>
      <c r="C14" s="8">
        <v>219.0</v>
      </c>
      <c r="D14" s="8">
        <v>700.0</v>
      </c>
      <c r="E14" s="19">
        <v>0.69</v>
      </c>
      <c r="F14" s="10">
        <v>4.4</v>
      </c>
      <c r="G14" s="7" t="s">
        <v>32</v>
      </c>
    </row>
    <row r="15">
      <c r="A15" s="7" t="s">
        <v>33</v>
      </c>
      <c r="B15" s="7" t="s">
        <v>15</v>
      </c>
      <c r="C15" s="8">
        <v>350.0</v>
      </c>
      <c r="D15" s="8">
        <v>899.0</v>
      </c>
      <c r="E15" s="19">
        <v>0.61</v>
      </c>
      <c r="F15" s="10">
        <v>4.2</v>
      </c>
      <c r="G15" s="11">
        <v>2262.0</v>
      </c>
    </row>
    <row r="16">
      <c r="A16" s="7" t="s">
        <v>34</v>
      </c>
      <c r="B16" s="7" t="s">
        <v>15</v>
      </c>
      <c r="C16" s="8">
        <v>159.0</v>
      </c>
      <c r="D16" s="8">
        <v>399.0</v>
      </c>
      <c r="E16" s="19">
        <v>0.6</v>
      </c>
      <c r="F16" s="10">
        <v>4.1</v>
      </c>
      <c r="G16" s="11">
        <v>4768.0</v>
      </c>
    </row>
    <row r="17">
      <c r="A17" s="7" t="s">
        <v>35</v>
      </c>
      <c r="B17" s="7" t="s">
        <v>15</v>
      </c>
      <c r="C17" s="8">
        <v>349.0</v>
      </c>
      <c r="D17" s="8">
        <v>399.0</v>
      </c>
      <c r="E17" s="19">
        <v>0.13</v>
      </c>
      <c r="F17" s="10">
        <v>4.4</v>
      </c>
      <c r="G17" s="11">
        <v>18757.0</v>
      </c>
    </row>
    <row r="18">
      <c r="A18" s="7" t="s">
        <v>36</v>
      </c>
      <c r="B18" s="7" t="s">
        <v>37</v>
      </c>
      <c r="C18" s="8">
        <v>13999.0</v>
      </c>
      <c r="D18" s="8">
        <v>24999.0</v>
      </c>
      <c r="E18" s="19">
        <v>0.44</v>
      </c>
      <c r="F18" s="10">
        <v>4.2</v>
      </c>
      <c r="G18" s="11">
        <v>32840.0</v>
      </c>
    </row>
    <row r="19">
      <c r="A19" s="7" t="s">
        <v>38</v>
      </c>
      <c r="B19" s="7" t="s">
        <v>15</v>
      </c>
      <c r="C19" s="8">
        <v>249.0</v>
      </c>
      <c r="D19" s="8">
        <v>399.0</v>
      </c>
      <c r="E19" s="19">
        <v>0.38</v>
      </c>
      <c r="F19" s="10">
        <v>4.0</v>
      </c>
      <c r="G19" s="11">
        <v>43994.0</v>
      </c>
    </row>
    <row r="20">
      <c r="A20" s="7" t="s">
        <v>39</v>
      </c>
      <c r="B20" s="7" t="s">
        <v>15</v>
      </c>
      <c r="C20" s="8">
        <v>199.0</v>
      </c>
      <c r="D20" s="8">
        <v>499.0</v>
      </c>
      <c r="E20" s="19">
        <v>0.6</v>
      </c>
      <c r="F20" s="10">
        <v>4.1</v>
      </c>
      <c r="G20" s="11">
        <v>13045.0</v>
      </c>
    </row>
    <row r="21">
      <c r="A21" s="7" t="s">
        <v>40</v>
      </c>
      <c r="B21" s="7" t="s">
        <v>37</v>
      </c>
      <c r="C21" s="8">
        <v>13490.0</v>
      </c>
      <c r="D21" s="8">
        <v>21990.0</v>
      </c>
      <c r="E21" s="19">
        <v>0.39</v>
      </c>
      <c r="F21" s="10">
        <v>4.3</v>
      </c>
      <c r="G21" s="11">
        <v>11976.0</v>
      </c>
    </row>
    <row r="22">
      <c r="A22" s="7" t="s">
        <v>41</v>
      </c>
      <c r="B22" s="7" t="s">
        <v>15</v>
      </c>
      <c r="C22" s="8">
        <v>970.0</v>
      </c>
      <c r="D22" s="8">
        <v>1799.0</v>
      </c>
      <c r="E22" s="19">
        <v>0.46</v>
      </c>
      <c r="F22" s="10">
        <v>4.5</v>
      </c>
      <c r="G22" s="10">
        <v>815.0</v>
      </c>
    </row>
    <row r="23">
      <c r="A23" s="7" t="s">
        <v>42</v>
      </c>
      <c r="B23" s="7" t="s">
        <v>31</v>
      </c>
      <c r="C23" s="8">
        <v>279.0</v>
      </c>
      <c r="D23" s="8">
        <v>499.0</v>
      </c>
      <c r="E23" s="19">
        <v>0.44</v>
      </c>
      <c r="F23" s="10">
        <v>3.7</v>
      </c>
      <c r="G23" s="11">
        <v>10962.0</v>
      </c>
    </row>
    <row r="24">
      <c r="A24" s="7" t="s">
        <v>43</v>
      </c>
      <c r="B24" s="7" t="s">
        <v>37</v>
      </c>
      <c r="C24" s="8">
        <v>13490.0</v>
      </c>
      <c r="D24" s="8">
        <v>22900.0</v>
      </c>
      <c r="E24" s="19">
        <v>0.41</v>
      </c>
      <c r="F24" s="10">
        <v>4.3</v>
      </c>
      <c r="G24" s="11">
        <v>16299.0</v>
      </c>
    </row>
    <row r="25">
      <c r="A25" s="7" t="s">
        <v>44</v>
      </c>
      <c r="B25" s="7" t="s">
        <v>15</v>
      </c>
      <c r="C25" s="8">
        <v>59.0</v>
      </c>
      <c r="D25" s="8">
        <v>199.0</v>
      </c>
      <c r="E25" s="19">
        <v>0.7</v>
      </c>
      <c r="F25" s="10">
        <v>4.0</v>
      </c>
      <c r="G25" s="11">
        <v>9378.0</v>
      </c>
    </row>
    <row r="26">
      <c r="A26" s="7" t="s">
        <v>45</v>
      </c>
      <c r="B26" s="7" t="s">
        <v>37</v>
      </c>
      <c r="C26" s="8">
        <v>11499.0</v>
      </c>
      <c r="D26" s="8">
        <v>19990.0</v>
      </c>
      <c r="E26" s="19">
        <v>0.42</v>
      </c>
      <c r="F26" s="10">
        <v>4.3</v>
      </c>
      <c r="G26" s="11">
        <v>4703.0</v>
      </c>
    </row>
    <row r="27">
      <c r="A27" s="7" t="s">
        <v>46</v>
      </c>
      <c r="B27" s="7" t="s">
        <v>31</v>
      </c>
      <c r="C27" s="8">
        <v>199.0</v>
      </c>
      <c r="D27" s="8">
        <v>699.0</v>
      </c>
      <c r="E27" s="19">
        <v>0.72</v>
      </c>
      <c r="F27" s="10">
        <v>4.2</v>
      </c>
      <c r="G27" s="11">
        <v>12153.0</v>
      </c>
    </row>
    <row r="28">
      <c r="A28" s="7" t="s">
        <v>47</v>
      </c>
      <c r="B28" s="7" t="s">
        <v>37</v>
      </c>
      <c r="C28" s="8">
        <v>14999.0</v>
      </c>
      <c r="D28" s="8">
        <v>19999.0</v>
      </c>
      <c r="E28" s="19">
        <v>0.25</v>
      </c>
      <c r="F28" s="10">
        <v>4.2</v>
      </c>
      <c r="G28" s="11">
        <v>34899.0</v>
      </c>
    </row>
    <row r="29">
      <c r="A29" s="7" t="s">
        <v>48</v>
      </c>
      <c r="B29" s="7" t="s">
        <v>15</v>
      </c>
      <c r="C29" s="8">
        <v>299.0</v>
      </c>
      <c r="D29" s="8">
        <v>399.0</v>
      </c>
      <c r="E29" s="19">
        <v>0.25</v>
      </c>
      <c r="F29" s="10">
        <v>4.0</v>
      </c>
      <c r="G29" s="11">
        <v>2766.0</v>
      </c>
    </row>
    <row r="30">
      <c r="A30" s="7" t="s">
        <v>49</v>
      </c>
      <c r="B30" s="7" t="s">
        <v>15</v>
      </c>
      <c r="C30" s="8">
        <v>970.0</v>
      </c>
      <c r="D30" s="8">
        <v>1999.0</v>
      </c>
      <c r="E30" s="19">
        <v>0.51</v>
      </c>
      <c r="F30" s="10">
        <v>4.4</v>
      </c>
      <c r="G30" s="10">
        <v>184.0</v>
      </c>
    </row>
    <row r="31">
      <c r="A31" s="7" t="s">
        <v>50</v>
      </c>
      <c r="B31" s="7" t="s">
        <v>15</v>
      </c>
      <c r="C31" s="8">
        <v>299.0</v>
      </c>
      <c r="D31" s="8">
        <v>999.0</v>
      </c>
      <c r="E31" s="19">
        <v>0.7</v>
      </c>
      <c r="F31" s="10">
        <v>4.3</v>
      </c>
      <c r="G31" s="11">
        <v>20850.0</v>
      </c>
    </row>
    <row r="32">
      <c r="A32" s="7" t="s">
        <v>51</v>
      </c>
      <c r="B32" s="7" t="s">
        <v>15</v>
      </c>
      <c r="C32" s="8">
        <v>199.0</v>
      </c>
      <c r="D32" s="8">
        <v>750.0</v>
      </c>
      <c r="E32" s="19">
        <v>0.73</v>
      </c>
      <c r="F32" s="10">
        <v>4.5</v>
      </c>
      <c r="G32" s="11">
        <v>74976.0</v>
      </c>
    </row>
    <row r="33">
      <c r="A33" s="7" t="s">
        <v>52</v>
      </c>
      <c r="B33" s="7" t="s">
        <v>15</v>
      </c>
      <c r="C33" s="8">
        <v>179.0</v>
      </c>
      <c r="D33" s="8">
        <v>499.0</v>
      </c>
      <c r="E33" s="19">
        <v>0.64</v>
      </c>
      <c r="F33" s="10">
        <v>4.0</v>
      </c>
      <c r="G33" s="11">
        <v>1934.0</v>
      </c>
    </row>
    <row r="34">
      <c r="A34" s="7" t="s">
        <v>53</v>
      </c>
      <c r="B34" s="7" t="s">
        <v>15</v>
      </c>
      <c r="C34" s="8">
        <v>389.0</v>
      </c>
      <c r="D34" s="8">
        <v>1099.0</v>
      </c>
      <c r="E34" s="19">
        <v>0.65</v>
      </c>
      <c r="F34" s="10">
        <v>4.3</v>
      </c>
      <c r="G34" s="10">
        <v>974.0</v>
      </c>
    </row>
    <row r="35">
      <c r="A35" s="7" t="s">
        <v>54</v>
      </c>
      <c r="B35" s="7" t="s">
        <v>15</v>
      </c>
      <c r="C35" s="8">
        <v>599.0</v>
      </c>
      <c r="D35" s="8">
        <v>599.0</v>
      </c>
      <c r="E35" s="19">
        <v>0.0</v>
      </c>
      <c r="F35" s="10">
        <v>4.3</v>
      </c>
      <c r="G35" s="10">
        <v>355.0</v>
      </c>
    </row>
    <row r="36">
      <c r="A36" s="7" t="s">
        <v>55</v>
      </c>
      <c r="B36" s="7" t="s">
        <v>15</v>
      </c>
      <c r="C36" s="8">
        <v>199.0</v>
      </c>
      <c r="D36" s="8">
        <v>999.0</v>
      </c>
      <c r="E36" s="19">
        <v>0.8</v>
      </c>
      <c r="F36" s="10">
        <v>3.9</v>
      </c>
      <c r="G36" s="11">
        <v>1075.0</v>
      </c>
    </row>
    <row r="37">
      <c r="A37" s="7" t="s">
        <v>56</v>
      </c>
      <c r="B37" s="7" t="s">
        <v>15</v>
      </c>
      <c r="C37" s="8">
        <v>99.0</v>
      </c>
      <c r="D37" s="8">
        <v>666.66</v>
      </c>
      <c r="E37" s="19">
        <v>0.85</v>
      </c>
      <c r="F37" s="10">
        <v>3.9</v>
      </c>
      <c r="G37" s="11">
        <v>24871.0</v>
      </c>
    </row>
    <row r="38">
      <c r="A38" s="7" t="s">
        <v>57</v>
      </c>
      <c r="B38" s="7" t="s">
        <v>15</v>
      </c>
      <c r="C38" s="8">
        <v>899.0</v>
      </c>
      <c r="D38" s="8">
        <v>1900.0</v>
      </c>
      <c r="E38" s="19">
        <v>0.53</v>
      </c>
      <c r="F38" s="10">
        <v>4.4</v>
      </c>
      <c r="G38" s="11">
        <v>13552.0</v>
      </c>
    </row>
    <row r="39">
      <c r="A39" s="7" t="s">
        <v>58</v>
      </c>
      <c r="B39" s="7" t="s">
        <v>15</v>
      </c>
      <c r="C39" s="8">
        <v>199.0</v>
      </c>
      <c r="D39" s="8">
        <v>999.0</v>
      </c>
      <c r="E39" s="19">
        <v>0.8</v>
      </c>
      <c r="F39" s="10">
        <v>4.0</v>
      </c>
      <c r="G39" s="10">
        <v>576.0</v>
      </c>
    </row>
    <row r="40">
      <c r="A40" s="7" t="s">
        <v>59</v>
      </c>
      <c r="B40" s="7" t="s">
        <v>37</v>
      </c>
      <c r="C40" s="8">
        <v>32999.0</v>
      </c>
      <c r="D40" s="8">
        <v>45999.0</v>
      </c>
      <c r="E40" s="19">
        <v>0.28</v>
      </c>
      <c r="F40" s="10">
        <v>4.2</v>
      </c>
      <c r="G40" s="11">
        <v>7298.0</v>
      </c>
    </row>
    <row r="41">
      <c r="A41" s="7" t="s">
        <v>60</v>
      </c>
      <c r="B41" s="7" t="s">
        <v>15</v>
      </c>
      <c r="C41" s="8">
        <v>970.0</v>
      </c>
      <c r="D41" s="8">
        <v>1999.0</v>
      </c>
      <c r="E41" s="19">
        <v>0.51</v>
      </c>
      <c r="F41" s="10">
        <v>4.2</v>
      </c>
      <c r="G41" s="10">
        <v>462.0</v>
      </c>
    </row>
    <row r="42">
      <c r="A42" s="7" t="s">
        <v>61</v>
      </c>
      <c r="B42" s="7" t="s">
        <v>15</v>
      </c>
      <c r="C42" s="8">
        <v>209.0</v>
      </c>
      <c r="D42" s="8">
        <v>695.0</v>
      </c>
      <c r="E42" s="19">
        <v>0.7</v>
      </c>
      <c r="F42" s="10">
        <v>4.5</v>
      </c>
      <c r="G42" s="7" t="s">
        <v>62</v>
      </c>
    </row>
    <row r="43">
      <c r="A43" s="7" t="s">
        <v>63</v>
      </c>
      <c r="B43" s="7" t="s">
        <v>37</v>
      </c>
      <c r="C43" s="8">
        <v>19999.0</v>
      </c>
      <c r="D43" s="8">
        <v>34999.0</v>
      </c>
      <c r="E43" s="19">
        <v>0.43</v>
      </c>
      <c r="F43" s="10">
        <v>4.3</v>
      </c>
      <c r="G43" s="11">
        <v>27151.0</v>
      </c>
    </row>
    <row r="44">
      <c r="A44" s="7" t="s">
        <v>64</v>
      </c>
      <c r="B44" s="7" t="s">
        <v>15</v>
      </c>
      <c r="C44" s="8">
        <v>399.0</v>
      </c>
      <c r="D44" s="8">
        <v>1099.0</v>
      </c>
      <c r="E44" s="19">
        <v>0.64</v>
      </c>
      <c r="F44" s="10">
        <v>4.2</v>
      </c>
      <c r="G44" s="11">
        <v>24269.0</v>
      </c>
    </row>
    <row r="45">
      <c r="A45" s="7" t="s">
        <v>65</v>
      </c>
      <c r="B45" s="7" t="s">
        <v>25</v>
      </c>
      <c r="C45" s="8">
        <v>999.0</v>
      </c>
      <c r="D45" s="8">
        <v>1599.0</v>
      </c>
      <c r="E45" s="19">
        <v>0.38</v>
      </c>
      <c r="F45" s="10">
        <v>4.3</v>
      </c>
      <c r="G45" s="11">
        <v>12093.0</v>
      </c>
    </row>
    <row r="46">
      <c r="A46" s="7" t="s">
        <v>66</v>
      </c>
      <c r="B46" s="7" t="s">
        <v>15</v>
      </c>
      <c r="C46" s="8">
        <v>59.0</v>
      </c>
      <c r="D46" s="8">
        <v>199.0</v>
      </c>
      <c r="E46" s="19">
        <v>0.7</v>
      </c>
      <c r="F46" s="10">
        <v>4.0</v>
      </c>
      <c r="G46" s="11">
        <v>9378.0</v>
      </c>
    </row>
    <row r="47">
      <c r="A47" s="7" t="s">
        <v>67</v>
      </c>
      <c r="B47" s="7" t="s">
        <v>15</v>
      </c>
      <c r="C47" s="8">
        <v>333.0</v>
      </c>
      <c r="D47" s="8">
        <v>999.0</v>
      </c>
      <c r="E47" s="19">
        <v>0.67</v>
      </c>
      <c r="F47" s="10">
        <v>3.3</v>
      </c>
      <c r="G47" s="11">
        <v>9792.0</v>
      </c>
    </row>
    <row r="48">
      <c r="A48" s="7" t="s">
        <v>68</v>
      </c>
      <c r="B48" s="7" t="s">
        <v>25</v>
      </c>
      <c r="C48" s="8">
        <v>507.0</v>
      </c>
      <c r="D48" s="8">
        <v>1208.0</v>
      </c>
      <c r="E48" s="19">
        <v>0.58</v>
      </c>
      <c r="F48" s="10">
        <v>4.1</v>
      </c>
      <c r="G48" s="11">
        <v>8131.0</v>
      </c>
    </row>
    <row r="49">
      <c r="A49" s="7" t="s">
        <v>69</v>
      </c>
      <c r="B49" s="7" t="s">
        <v>31</v>
      </c>
      <c r="C49" s="8">
        <v>309.0</v>
      </c>
      <c r="D49" s="8">
        <v>475.0</v>
      </c>
      <c r="E49" s="19">
        <v>0.35</v>
      </c>
      <c r="F49" s="10">
        <v>4.4</v>
      </c>
      <c r="G49" s="7" t="s">
        <v>32</v>
      </c>
    </row>
    <row r="50">
      <c r="A50" s="7" t="s">
        <v>70</v>
      </c>
      <c r="B50" s="7" t="s">
        <v>71</v>
      </c>
      <c r="C50" s="8">
        <v>399.0</v>
      </c>
      <c r="D50" s="8">
        <v>999.0</v>
      </c>
      <c r="E50" s="19">
        <v>0.6</v>
      </c>
      <c r="F50" s="10">
        <v>3.6</v>
      </c>
      <c r="G50" s="10">
        <v>493.0</v>
      </c>
    </row>
    <row r="51">
      <c r="A51" s="7" t="s">
        <v>72</v>
      </c>
      <c r="B51" s="7" t="s">
        <v>15</v>
      </c>
      <c r="C51" s="8">
        <v>199.0</v>
      </c>
      <c r="D51" s="8">
        <v>395.0</v>
      </c>
      <c r="E51" s="19">
        <v>0.5</v>
      </c>
      <c r="F51" s="10">
        <v>4.2</v>
      </c>
      <c r="G51" s="11">
        <v>92595.0</v>
      </c>
    </row>
    <row r="52">
      <c r="A52" s="7" t="s">
        <v>73</v>
      </c>
      <c r="B52" s="7" t="s">
        <v>25</v>
      </c>
      <c r="C52" s="8">
        <v>1199.0</v>
      </c>
      <c r="D52" s="8">
        <v>2199.0</v>
      </c>
      <c r="E52" s="19">
        <v>0.45</v>
      </c>
      <c r="F52" s="10">
        <v>4.4</v>
      </c>
      <c r="G52" s="11">
        <v>24780.0</v>
      </c>
    </row>
    <row r="53">
      <c r="A53" s="7" t="s">
        <v>74</v>
      </c>
      <c r="B53" s="7" t="s">
        <v>15</v>
      </c>
      <c r="C53" s="8">
        <v>179.0</v>
      </c>
      <c r="D53" s="8">
        <v>500.0</v>
      </c>
      <c r="E53" s="19">
        <v>0.64</v>
      </c>
      <c r="F53" s="10">
        <v>4.2</v>
      </c>
      <c r="G53" s="11">
        <v>92595.0</v>
      </c>
    </row>
    <row r="54">
      <c r="A54" s="7" t="s">
        <v>75</v>
      </c>
      <c r="B54" s="7" t="s">
        <v>15</v>
      </c>
      <c r="C54" s="8">
        <v>799.0</v>
      </c>
      <c r="D54" s="8">
        <v>2100.0</v>
      </c>
      <c r="E54" s="19">
        <v>0.62</v>
      </c>
      <c r="F54" s="10">
        <v>4.3</v>
      </c>
      <c r="G54" s="11">
        <v>8188.0</v>
      </c>
    </row>
    <row r="55">
      <c r="A55" s="7" t="s">
        <v>76</v>
      </c>
      <c r="B55" s="7" t="s">
        <v>77</v>
      </c>
      <c r="C55" s="8">
        <v>6999.0</v>
      </c>
      <c r="D55" s="8">
        <v>12999.0</v>
      </c>
      <c r="E55" s="19">
        <v>0.46</v>
      </c>
      <c r="F55" s="10">
        <v>4.2</v>
      </c>
      <c r="G55" s="11">
        <v>4003.0</v>
      </c>
    </row>
    <row r="56">
      <c r="A56" s="7" t="s">
        <v>78</v>
      </c>
      <c r="B56" s="7" t="s">
        <v>15</v>
      </c>
      <c r="C56" s="8">
        <v>199.0</v>
      </c>
      <c r="D56" s="8">
        <v>349.0</v>
      </c>
      <c r="E56" s="19">
        <v>0.43</v>
      </c>
      <c r="F56" s="10">
        <v>4.1</v>
      </c>
      <c r="G56" s="10">
        <v>314.0</v>
      </c>
    </row>
    <row r="57">
      <c r="A57" s="7" t="s">
        <v>79</v>
      </c>
      <c r="B57" s="7" t="s">
        <v>71</v>
      </c>
      <c r="C57" s="8">
        <v>230.0</v>
      </c>
      <c r="D57" s="8">
        <v>499.0</v>
      </c>
      <c r="E57" s="19">
        <v>0.54</v>
      </c>
      <c r="F57" s="10">
        <v>3.7</v>
      </c>
      <c r="G57" s="11">
        <v>2960.0</v>
      </c>
    </row>
    <row r="58">
      <c r="A58" s="7" t="s">
        <v>80</v>
      </c>
      <c r="B58" s="7" t="s">
        <v>25</v>
      </c>
      <c r="C58" s="8">
        <v>649.0</v>
      </c>
      <c r="D58" s="8">
        <v>1399.0</v>
      </c>
      <c r="E58" s="19">
        <v>0.54</v>
      </c>
      <c r="F58" s="10">
        <v>4.2</v>
      </c>
      <c r="G58" s="7" t="s">
        <v>26</v>
      </c>
    </row>
    <row r="59">
      <c r="A59" s="7" t="s">
        <v>81</v>
      </c>
      <c r="B59" s="7" t="s">
        <v>37</v>
      </c>
      <c r="C59" s="8">
        <v>15999.0</v>
      </c>
      <c r="D59" s="8">
        <v>21999.0</v>
      </c>
      <c r="E59" s="19">
        <v>0.27</v>
      </c>
      <c r="F59" s="10">
        <v>4.2</v>
      </c>
      <c r="G59" s="11">
        <v>34899.0</v>
      </c>
    </row>
    <row r="60">
      <c r="A60" s="7" t="s">
        <v>82</v>
      </c>
      <c r="B60" s="7" t="s">
        <v>15</v>
      </c>
      <c r="C60" s="8">
        <v>348.0</v>
      </c>
      <c r="D60" s="8">
        <v>1499.0</v>
      </c>
      <c r="E60" s="19">
        <v>0.77</v>
      </c>
      <c r="F60" s="10">
        <v>4.2</v>
      </c>
      <c r="G60" s="10">
        <v>656.0</v>
      </c>
    </row>
    <row r="61">
      <c r="A61" s="7" t="s">
        <v>83</v>
      </c>
      <c r="B61" s="7" t="s">
        <v>15</v>
      </c>
      <c r="C61" s="8">
        <v>154.0</v>
      </c>
      <c r="D61" s="8">
        <v>349.0</v>
      </c>
      <c r="E61" s="19">
        <v>0.56</v>
      </c>
      <c r="F61" s="10">
        <v>4.3</v>
      </c>
      <c r="G61" s="11">
        <v>7064.0</v>
      </c>
    </row>
    <row r="62">
      <c r="A62" s="7" t="s">
        <v>84</v>
      </c>
      <c r="B62" s="7" t="s">
        <v>71</v>
      </c>
      <c r="C62" s="8">
        <v>179.0</v>
      </c>
      <c r="D62" s="8">
        <v>799.0</v>
      </c>
      <c r="E62" s="19">
        <v>0.78</v>
      </c>
      <c r="F62" s="10">
        <v>3.7</v>
      </c>
      <c r="G62" s="11">
        <v>2201.0</v>
      </c>
    </row>
    <row r="63">
      <c r="A63" s="7" t="s">
        <v>85</v>
      </c>
      <c r="B63" s="7" t="s">
        <v>37</v>
      </c>
      <c r="C63" s="8">
        <v>32990.0</v>
      </c>
      <c r="D63" s="8">
        <v>47900.0</v>
      </c>
      <c r="E63" s="19">
        <v>0.31</v>
      </c>
      <c r="F63" s="10">
        <v>4.3</v>
      </c>
      <c r="G63" s="11">
        <v>7109.0</v>
      </c>
    </row>
    <row r="64">
      <c r="A64" s="7" t="s">
        <v>86</v>
      </c>
      <c r="B64" s="7" t="s">
        <v>15</v>
      </c>
      <c r="C64" s="8">
        <v>139.0</v>
      </c>
      <c r="D64" s="8">
        <v>999.0</v>
      </c>
      <c r="E64" s="19">
        <v>0.86</v>
      </c>
      <c r="F64" s="10">
        <v>4.0</v>
      </c>
      <c r="G64" s="11">
        <v>1313.0</v>
      </c>
    </row>
    <row r="65">
      <c r="A65" s="7" t="s">
        <v>87</v>
      </c>
      <c r="B65" s="7" t="s">
        <v>15</v>
      </c>
      <c r="C65" s="8">
        <v>329.0</v>
      </c>
      <c r="D65" s="8">
        <v>845.0</v>
      </c>
      <c r="E65" s="19">
        <v>0.61</v>
      </c>
      <c r="F65" s="10">
        <v>4.2</v>
      </c>
      <c r="G65" s="11">
        <v>29746.0</v>
      </c>
    </row>
    <row r="66">
      <c r="A66" s="7" t="s">
        <v>88</v>
      </c>
      <c r="B66" s="7" t="s">
        <v>37</v>
      </c>
      <c r="C66" s="8">
        <v>13999.0</v>
      </c>
      <c r="D66" s="8">
        <v>24999.0</v>
      </c>
      <c r="E66" s="19">
        <v>0.44</v>
      </c>
      <c r="F66" s="10">
        <v>4.2</v>
      </c>
      <c r="G66" s="11">
        <v>45238.0</v>
      </c>
    </row>
    <row r="67">
      <c r="A67" s="7" t="s">
        <v>89</v>
      </c>
      <c r="B67" s="7" t="s">
        <v>31</v>
      </c>
      <c r="C67" s="8">
        <v>309.0</v>
      </c>
      <c r="D67" s="8">
        <v>1400.0</v>
      </c>
      <c r="E67" s="19">
        <v>0.78</v>
      </c>
      <c r="F67" s="10">
        <v>4.4</v>
      </c>
      <c r="G67" s="7" t="s">
        <v>32</v>
      </c>
    </row>
    <row r="68">
      <c r="A68" s="7" t="s">
        <v>90</v>
      </c>
      <c r="B68" s="7" t="s">
        <v>15</v>
      </c>
      <c r="C68" s="8">
        <v>263.0</v>
      </c>
      <c r="D68" s="8">
        <v>699.0</v>
      </c>
      <c r="E68" s="19">
        <v>0.62</v>
      </c>
      <c r="F68" s="10">
        <v>4.1</v>
      </c>
      <c r="G68" s="10">
        <v>450.0</v>
      </c>
    </row>
    <row r="69">
      <c r="A69" s="7" t="s">
        <v>91</v>
      </c>
      <c r="B69" s="7" t="s">
        <v>77</v>
      </c>
      <c r="C69" s="8">
        <v>7999.0</v>
      </c>
      <c r="D69" s="8">
        <v>14990.0</v>
      </c>
      <c r="E69" s="19">
        <v>0.47</v>
      </c>
      <c r="F69" s="10">
        <v>4.3</v>
      </c>
      <c r="G69" s="10">
        <v>457.0</v>
      </c>
    </row>
    <row r="70">
      <c r="A70" s="7" t="s">
        <v>92</v>
      </c>
      <c r="B70" s="7" t="s">
        <v>93</v>
      </c>
      <c r="C70" s="8">
        <v>1599.0</v>
      </c>
      <c r="D70" s="8">
        <v>2999.0</v>
      </c>
      <c r="E70" s="19">
        <v>0.47</v>
      </c>
      <c r="F70" s="10">
        <v>4.2</v>
      </c>
      <c r="G70" s="11">
        <v>2727.0</v>
      </c>
    </row>
    <row r="71">
      <c r="A71" s="7" t="s">
        <v>94</v>
      </c>
      <c r="B71" s="7" t="s">
        <v>15</v>
      </c>
      <c r="C71" s="8">
        <v>219.0</v>
      </c>
      <c r="D71" s="8">
        <v>700.0</v>
      </c>
      <c r="E71" s="19">
        <v>0.69</v>
      </c>
      <c r="F71" s="10">
        <v>4.3</v>
      </c>
      <c r="G71" s="11">
        <v>20053.0</v>
      </c>
    </row>
    <row r="72">
      <c r="A72" s="7" t="s">
        <v>95</v>
      </c>
      <c r="B72" s="7" t="s">
        <v>15</v>
      </c>
      <c r="C72" s="8">
        <v>349.0</v>
      </c>
      <c r="D72" s="8">
        <v>899.0</v>
      </c>
      <c r="E72" s="19">
        <v>0.61</v>
      </c>
      <c r="F72" s="10">
        <v>4.5</v>
      </c>
      <c r="G72" s="10">
        <v>149.0</v>
      </c>
    </row>
    <row r="73">
      <c r="A73" s="7" t="s">
        <v>96</v>
      </c>
      <c r="B73" s="7" t="s">
        <v>15</v>
      </c>
      <c r="C73" s="8">
        <v>349.0</v>
      </c>
      <c r="D73" s="8">
        <v>599.0</v>
      </c>
      <c r="E73" s="19">
        <v>0.42</v>
      </c>
      <c r="F73" s="10">
        <v>4.1</v>
      </c>
      <c r="G73" s="10">
        <v>210.0</v>
      </c>
    </row>
    <row r="74">
      <c r="A74" s="7" t="s">
        <v>97</v>
      </c>
      <c r="B74" s="7" t="s">
        <v>37</v>
      </c>
      <c r="C74" s="8">
        <v>26999.0</v>
      </c>
      <c r="D74" s="8">
        <v>42999.0</v>
      </c>
      <c r="E74" s="19">
        <v>0.37</v>
      </c>
      <c r="F74" s="10">
        <v>4.2</v>
      </c>
      <c r="G74" s="11">
        <v>45238.0</v>
      </c>
    </row>
    <row r="75">
      <c r="A75" s="7" t="s">
        <v>98</v>
      </c>
      <c r="B75" s="7" t="s">
        <v>15</v>
      </c>
      <c r="C75" s="8">
        <v>115.0</v>
      </c>
      <c r="D75" s="8">
        <v>499.0</v>
      </c>
      <c r="E75" s="19">
        <v>0.77</v>
      </c>
      <c r="F75" s="10">
        <v>4.0</v>
      </c>
      <c r="G75" s="11">
        <v>7732.0</v>
      </c>
    </row>
    <row r="76">
      <c r="A76" s="7" t="s">
        <v>99</v>
      </c>
      <c r="B76" s="7" t="s">
        <v>15</v>
      </c>
      <c r="C76" s="8">
        <v>399.0</v>
      </c>
      <c r="D76" s="8">
        <v>999.0</v>
      </c>
      <c r="E76" s="19">
        <v>0.6</v>
      </c>
      <c r="F76" s="10">
        <v>4.1</v>
      </c>
      <c r="G76" s="11">
        <v>1780.0</v>
      </c>
    </row>
    <row r="77">
      <c r="A77" s="7" t="s">
        <v>100</v>
      </c>
      <c r="B77" s="7" t="s">
        <v>15</v>
      </c>
      <c r="C77" s="8">
        <v>199.0</v>
      </c>
      <c r="D77" s="8">
        <v>499.0</v>
      </c>
      <c r="E77" s="19">
        <v>0.6</v>
      </c>
      <c r="F77" s="10">
        <v>4.1</v>
      </c>
      <c r="G77" s="10">
        <v>602.0</v>
      </c>
    </row>
    <row r="78">
      <c r="A78" s="7" t="s">
        <v>101</v>
      </c>
      <c r="B78" s="7" t="s">
        <v>15</v>
      </c>
      <c r="C78" s="8">
        <v>179.0</v>
      </c>
      <c r="D78" s="8">
        <v>399.0</v>
      </c>
      <c r="E78" s="19">
        <v>0.55</v>
      </c>
      <c r="F78" s="10">
        <v>4.0</v>
      </c>
      <c r="G78" s="11">
        <v>1423.0</v>
      </c>
    </row>
    <row r="79">
      <c r="A79" s="7" t="s">
        <v>102</v>
      </c>
      <c r="B79" s="7" t="s">
        <v>37</v>
      </c>
      <c r="C79" s="8">
        <v>10901.0</v>
      </c>
      <c r="D79" s="8">
        <v>30990.0</v>
      </c>
      <c r="E79" s="19">
        <v>0.65</v>
      </c>
      <c r="F79" s="10">
        <v>4.1</v>
      </c>
      <c r="G79" s="10">
        <v>398.0</v>
      </c>
    </row>
    <row r="80">
      <c r="A80" s="7" t="s">
        <v>103</v>
      </c>
      <c r="B80" s="7" t="s">
        <v>15</v>
      </c>
      <c r="C80" s="8">
        <v>209.0</v>
      </c>
      <c r="D80" s="8">
        <v>499.0</v>
      </c>
      <c r="E80" s="19">
        <v>0.58</v>
      </c>
      <c r="F80" s="10">
        <v>3.9</v>
      </c>
      <c r="G80" s="10">
        <v>536.0</v>
      </c>
    </row>
    <row r="81">
      <c r="A81" s="7" t="s">
        <v>104</v>
      </c>
      <c r="B81" s="7" t="s">
        <v>71</v>
      </c>
      <c r="C81" s="8">
        <v>1434.0</v>
      </c>
      <c r="D81" s="8">
        <v>3999.0</v>
      </c>
      <c r="E81" s="19">
        <v>0.64</v>
      </c>
      <c r="F81" s="10">
        <v>4.0</v>
      </c>
      <c r="G81" s="10">
        <v>32.0</v>
      </c>
    </row>
    <row r="82">
      <c r="A82" s="7" t="s">
        <v>105</v>
      </c>
      <c r="B82" s="7" t="s">
        <v>15</v>
      </c>
      <c r="C82" s="8">
        <v>399.0</v>
      </c>
      <c r="D82" s="8">
        <v>1099.0</v>
      </c>
      <c r="E82" s="19">
        <v>0.64</v>
      </c>
      <c r="F82" s="10">
        <v>4.2</v>
      </c>
      <c r="G82" s="11">
        <v>24269.0</v>
      </c>
    </row>
    <row r="83">
      <c r="A83" s="7" t="s">
        <v>106</v>
      </c>
      <c r="B83" s="7" t="s">
        <v>15</v>
      </c>
      <c r="C83" s="8">
        <v>139.0</v>
      </c>
      <c r="D83" s="8">
        <v>249.0</v>
      </c>
      <c r="E83" s="19">
        <v>0.44</v>
      </c>
      <c r="F83" s="10">
        <v>4.0</v>
      </c>
      <c r="G83" s="11">
        <v>9378.0</v>
      </c>
    </row>
    <row r="84">
      <c r="A84" s="7" t="s">
        <v>107</v>
      </c>
      <c r="B84" s="7" t="s">
        <v>37</v>
      </c>
      <c r="C84" s="8">
        <v>7299.0</v>
      </c>
      <c r="D84" s="8">
        <v>19125.0</v>
      </c>
      <c r="E84" s="19">
        <v>0.62</v>
      </c>
      <c r="F84" s="10">
        <v>3.4</v>
      </c>
      <c r="G84" s="10">
        <v>902.0</v>
      </c>
    </row>
    <row r="85">
      <c r="A85" s="7" t="s">
        <v>108</v>
      </c>
      <c r="B85" s="7" t="s">
        <v>15</v>
      </c>
      <c r="C85" s="8">
        <v>299.0</v>
      </c>
      <c r="D85" s="8">
        <v>799.0</v>
      </c>
      <c r="E85" s="19">
        <v>0.63</v>
      </c>
      <c r="F85" s="10">
        <v>4.4</v>
      </c>
      <c r="G85" s="11">
        <v>28791.0</v>
      </c>
    </row>
    <row r="86">
      <c r="A86" s="7" t="s">
        <v>109</v>
      </c>
      <c r="B86" s="7" t="s">
        <v>15</v>
      </c>
      <c r="C86" s="8">
        <v>325.0</v>
      </c>
      <c r="D86" s="8">
        <v>1299.0</v>
      </c>
      <c r="E86" s="19">
        <v>0.75</v>
      </c>
      <c r="F86" s="10">
        <v>4.2</v>
      </c>
      <c r="G86" s="11">
        <v>10576.0</v>
      </c>
    </row>
    <row r="87">
      <c r="A87" s="7" t="s">
        <v>110</v>
      </c>
      <c r="B87" s="7" t="s">
        <v>37</v>
      </c>
      <c r="C87" s="8">
        <v>29999.0</v>
      </c>
      <c r="D87" s="8">
        <v>39999.0</v>
      </c>
      <c r="E87" s="19">
        <v>0.25</v>
      </c>
      <c r="F87" s="10">
        <v>4.2</v>
      </c>
      <c r="G87" s="11">
        <v>7298.0</v>
      </c>
    </row>
    <row r="88">
      <c r="A88" s="7" t="s">
        <v>111</v>
      </c>
      <c r="B88" s="7" t="s">
        <v>37</v>
      </c>
      <c r="C88" s="8">
        <v>27999.0</v>
      </c>
      <c r="D88" s="8">
        <v>40990.0</v>
      </c>
      <c r="E88" s="19">
        <v>0.32</v>
      </c>
      <c r="F88" s="10">
        <v>4.3</v>
      </c>
      <c r="G88" s="11">
        <v>4703.0</v>
      </c>
    </row>
    <row r="89">
      <c r="A89" s="7" t="s">
        <v>112</v>
      </c>
      <c r="B89" s="7" t="s">
        <v>37</v>
      </c>
      <c r="C89" s="8">
        <v>30990.0</v>
      </c>
      <c r="D89" s="8">
        <v>52900.0</v>
      </c>
      <c r="E89" s="19">
        <v>0.41</v>
      </c>
      <c r="F89" s="10">
        <v>4.3</v>
      </c>
      <c r="G89" s="11">
        <v>7109.0</v>
      </c>
    </row>
    <row r="90">
      <c r="A90" s="7" t="s">
        <v>113</v>
      </c>
      <c r="B90" s="7" t="s">
        <v>15</v>
      </c>
      <c r="C90" s="8">
        <v>199.0</v>
      </c>
      <c r="D90" s="8">
        <v>999.0</v>
      </c>
      <c r="E90" s="19">
        <v>0.8</v>
      </c>
      <c r="F90" s="10">
        <v>4.5</v>
      </c>
      <c r="G90" s="10">
        <v>127.0</v>
      </c>
    </row>
    <row r="91">
      <c r="A91" s="7" t="s">
        <v>114</v>
      </c>
      <c r="B91" s="7" t="s">
        <v>15</v>
      </c>
      <c r="C91" s="8">
        <v>649.0</v>
      </c>
      <c r="D91" s="8">
        <v>1999.0</v>
      </c>
      <c r="E91" s="19">
        <v>0.68</v>
      </c>
      <c r="F91" s="10">
        <v>4.2</v>
      </c>
      <c r="G91" s="11">
        <v>24269.0</v>
      </c>
    </row>
    <row r="92">
      <c r="A92" s="7" t="s">
        <v>115</v>
      </c>
      <c r="B92" s="7" t="s">
        <v>25</v>
      </c>
      <c r="C92" s="8">
        <v>269.0</v>
      </c>
      <c r="D92" s="8">
        <v>800.0</v>
      </c>
      <c r="E92" s="19">
        <v>0.66</v>
      </c>
      <c r="F92" s="10">
        <v>3.6</v>
      </c>
      <c r="G92" s="11">
        <v>10134.0</v>
      </c>
    </row>
    <row r="93">
      <c r="A93" s="7" t="s">
        <v>116</v>
      </c>
      <c r="B93" s="7" t="s">
        <v>37</v>
      </c>
      <c r="C93" s="8">
        <v>24999.0</v>
      </c>
      <c r="D93" s="8">
        <v>31999.0</v>
      </c>
      <c r="E93" s="19">
        <v>0.22</v>
      </c>
      <c r="F93" s="10">
        <v>4.2</v>
      </c>
      <c r="G93" s="11">
        <v>34899.0</v>
      </c>
    </row>
    <row r="94">
      <c r="A94" s="7" t="s">
        <v>117</v>
      </c>
      <c r="B94" s="7" t="s">
        <v>15</v>
      </c>
      <c r="C94" s="8">
        <v>299.0</v>
      </c>
      <c r="D94" s="8">
        <v>699.0</v>
      </c>
      <c r="E94" s="19">
        <v>0.57</v>
      </c>
      <c r="F94" s="10">
        <v>4.2</v>
      </c>
      <c r="G94" s="11">
        <v>94363.0</v>
      </c>
    </row>
    <row r="95">
      <c r="A95" s="7" t="s">
        <v>118</v>
      </c>
      <c r="B95" s="7" t="s">
        <v>15</v>
      </c>
      <c r="C95" s="8">
        <v>199.0</v>
      </c>
      <c r="D95" s="8">
        <v>999.0</v>
      </c>
      <c r="E95" s="19">
        <v>0.8</v>
      </c>
      <c r="F95" s="10">
        <v>4.1</v>
      </c>
      <c r="G95" s="10">
        <v>425.0</v>
      </c>
    </row>
    <row r="96">
      <c r="A96" s="7" t="s">
        <v>119</v>
      </c>
      <c r="B96" s="7" t="s">
        <v>37</v>
      </c>
      <c r="C96" s="8">
        <v>18990.0</v>
      </c>
      <c r="D96" s="8">
        <v>40990.0</v>
      </c>
      <c r="E96" s="19">
        <v>0.54</v>
      </c>
      <c r="F96" s="10">
        <v>4.2</v>
      </c>
      <c r="G96" s="11">
        <v>6659.0</v>
      </c>
    </row>
    <row r="97">
      <c r="A97" s="7" t="s">
        <v>120</v>
      </c>
      <c r="B97" s="7" t="s">
        <v>25</v>
      </c>
      <c r="C97" s="8">
        <v>290.0</v>
      </c>
      <c r="D97" s="8">
        <v>349.0</v>
      </c>
      <c r="E97" s="19">
        <v>0.17</v>
      </c>
      <c r="F97" s="10">
        <v>3.7</v>
      </c>
      <c r="G97" s="11">
        <v>1977.0</v>
      </c>
    </row>
    <row r="98">
      <c r="A98" s="7" t="s">
        <v>121</v>
      </c>
      <c r="B98" s="7" t="s">
        <v>71</v>
      </c>
      <c r="C98" s="8">
        <v>249.0</v>
      </c>
      <c r="D98" s="8">
        <v>799.0</v>
      </c>
      <c r="E98" s="19">
        <v>0.69</v>
      </c>
      <c r="F98" s="10">
        <v>3.8</v>
      </c>
      <c r="G98" s="11">
        <v>1079.0</v>
      </c>
    </row>
    <row r="99">
      <c r="A99" s="7" t="s">
        <v>122</v>
      </c>
      <c r="B99" s="7" t="s">
        <v>15</v>
      </c>
      <c r="C99" s="8">
        <v>345.0</v>
      </c>
      <c r="D99" s="8">
        <v>999.0</v>
      </c>
      <c r="E99" s="19">
        <v>0.65</v>
      </c>
      <c r="F99" s="10">
        <v>3.7</v>
      </c>
      <c r="G99" s="11">
        <v>1097.0</v>
      </c>
    </row>
    <row r="100">
      <c r="A100" s="7" t="s">
        <v>123</v>
      </c>
      <c r="B100" s="7" t="s">
        <v>25</v>
      </c>
      <c r="C100" s="8">
        <v>1099.0</v>
      </c>
      <c r="D100" s="8">
        <v>1899.0</v>
      </c>
      <c r="E100" s="19">
        <v>0.42</v>
      </c>
      <c r="F100" s="10">
        <v>4.5</v>
      </c>
      <c r="G100" s="11">
        <v>22420.0</v>
      </c>
    </row>
    <row r="101">
      <c r="A101" s="7" t="s">
        <v>124</v>
      </c>
      <c r="B101" s="7" t="s">
        <v>15</v>
      </c>
      <c r="C101" s="8">
        <v>719.0</v>
      </c>
      <c r="D101" s="8">
        <v>1499.0</v>
      </c>
      <c r="E101" s="19">
        <v>0.52</v>
      </c>
      <c r="F101" s="10">
        <v>4.1</v>
      </c>
      <c r="G101" s="11">
        <v>1045.0</v>
      </c>
    </row>
    <row r="102">
      <c r="A102" s="7" t="s">
        <v>125</v>
      </c>
      <c r="B102" s="7" t="s">
        <v>71</v>
      </c>
      <c r="C102" s="8">
        <v>349.0</v>
      </c>
      <c r="D102" s="8">
        <v>1499.0</v>
      </c>
      <c r="E102" s="19">
        <v>0.77</v>
      </c>
      <c r="F102" s="10">
        <v>4.3</v>
      </c>
      <c r="G102" s="11">
        <v>4145.0</v>
      </c>
    </row>
    <row r="103">
      <c r="A103" s="7" t="s">
        <v>126</v>
      </c>
      <c r="B103" s="7" t="s">
        <v>15</v>
      </c>
      <c r="C103" s="8">
        <v>849.0</v>
      </c>
      <c r="D103" s="8">
        <v>1809.0</v>
      </c>
      <c r="E103" s="19">
        <v>0.53</v>
      </c>
      <c r="F103" s="10">
        <v>4.3</v>
      </c>
      <c r="G103" s="11">
        <v>6547.0</v>
      </c>
    </row>
    <row r="104">
      <c r="A104" s="7" t="s">
        <v>127</v>
      </c>
      <c r="B104" s="7" t="s">
        <v>71</v>
      </c>
      <c r="C104" s="8">
        <v>299.0</v>
      </c>
      <c r="D104" s="8">
        <v>899.0</v>
      </c>
      <c r="E104" s="19">
        <v>0.67</v>
      </c>
      <c r="F104" s="10">
        <v>4.0</v>
      </c>
      <c r="G104" s="11">
        <v>1588.0</v>
      </c>
    </row>
    <row r="105">
      <c r="A105" s="7" t="s">
        <v>128</v>
      </c>
      <c r="B105" s="7" t="s">
        <v>37</v>
      </c>
      <c r="C105" s="8">
        <v>21999.0</v>
      </c>
      <c r="D105" s="8">
        <v>29999.0</v>
      </c>
      <c r="E105" s="19">
        <v>0.27</v>
      </c>
      <c r="F105" s="10">
        <v>4.2</v>
      </c>
      <c r="G105" s="11">
        <v>32840.0</v>
      </c>
    </row>
    <row r="106">
      <c r="A106" s="7" t="s">
        <v>129</v>
      </c>
      <c r="B106" s="7" t="s">
        <v>15</v>
      </c>
      <c r="C106" s="8">
        <v>349.0</v>
      </c>
      <c r="D106" s="8">
        <v>999.0</v>
      </c>
      <c r="E106" s="19">
        <v>0.65</v>
      </c>
      <c r="F106" s="10">
        <v>4.2</v>
      </c>
      <c r="G106" s="11">
        <v>13120.0</v>
      </c>
    </row>
    <row r="107">
      <c r="A107" s="7" t="s">
        <v>130</v>
      </c>
      <c r="B107" s="7" t="s">
        <v>15</v>
      </c>
      <c r="C107" s="8">
        <v>399.0</v>
      </c>
      <c r="D107" s="8">
        <v>999.0</v>
      </c>
      <c r="E107" s="19">
        <v>0.6</v>
      </c>
      <c r="F107" s="10">
        <v>4.3</v>
      </c>
      <c r="G107" s="11">
        <v>2806.0</v>
      </c>
    </row>
    <row r="108">
      <c r="A108" s="7" t="s">
        <v>131</v>
      </c>
      <c r="B108" s="7" t="s">
        <v>15</v>
      </c>
      <c r="C108" s="8">
        <v>449.0</v>
      </c>
      <c r="D108" s="8">
        <v>1299.0</v>
      </c>
      <c r="E108" s="19">
        <v>0.65</v>
      </c>
      <c r="F108" s="10">
        <v>4.2</v>
      </c>
      <c r="G108" s="11">
        <v>24269.0</v>
      </c>
    </row>
    <row r="109">
      <c r="A109" s="7" t="s">
        <v>132</v>
      </c>
      <c r="B109" s="7" t="s">
        <v>15</v>
      </c>
      <c r="C109" s="8">
        <v>299.0</v>
      </c>
      <c r="D109" s="8">
        <v>999.0</v>
      </c>
      <c r="E109" s="19">
        <v>0.7</v>
      </c>
      <c r="F109" s="10">
        <v>4.3</v>
      </c>
      <c r="G109" s="10">
        <v>766.0</v>
      </c>
    </row>
    <row r="110">
      <c r="A110" s="7" t="s">
        <v>133</v>
      </c>
      <c r="B110" s="7" t="s">
        <v>37</v>
      </c>
      <c r="C110" s="8">
        <v>37999.0</v>
      </c>
      <c r="D110" s="8">
        <v>65000.0</v>
      </c>
      <c r="E110" s="19">
        <v>0.42</v>
      </c>
      <c r="F110" s="10">
        <v>4.3</v>
      </c>
      <c r="G110" s="11">
        <v>3587.0</v>
      </c>
    </row>
    <row r="111">
      <c r="A111" s="7" t="s">
        <v>134</v>
      </c>
      <c r="B111" s="7" t="s">
        <v>15</v>
      </c>
      <c r="C111" s="8">
        <v>99.0</v>
      </c>
      <c r="D111" s="8">
        <v>800.0</v>
      </c>
      <c r="E111" s="19">
        <v>0.88</v>
      </c>
      <c r="F111" s="10">
        <v>3.9</v>
      </c>
      <c r="G111" s="11">
        <v>24871.0</v>
      </c>
    </row>
    <row r="112">
      <c r="A112" s="7" t="s">
        <v>135</v>
      </c>
      <c r="B112" s="7" t="s">
        <v>77</v>
      </c>
      <c r="C112" s="8">
        <v>7390.0</v>
      </c>
      <c r="D112" s="8">
        <v>20000.0</v>
      </c>
      <c r="E112" s="19">
        <v>0.63</v>
      </c>
      <c r="F112" s="10">
        <v>4.1</v>
      </c>
      <c r="G112" s="11">
        <v>2581.0</v>
      </c>
    </row>
    <row r="113">
      <c r="A113" s="7" t="s">
        <v>136</v>
      </c>
      <c r="B113" s="7" t="s">
        <v>15</v>
      </c>
      <c r="C113" s="8">
        <v>273.1</v>
      </c>
      <c r="D113" s="8">
        <v>999.0</v>
      </c>
      <c r="E113" s="19">
        <v>0.73</v>
      </c>
      <c r="F113" s="10">
        <v>4.3</v>
      </c>
      <c r="G113" s="11">
        <v>20850.0</v>
      </c>
    </row>
    <row r="114">
      <c r="A114" s="7" t="s">
        <v>137</v>
      </c>
      <c r="B114" s="7" t="s">
        <v>37</v>
      </c>
      <c r="C114" s="8">
        <v>15990.0</v>
      </c>
      <c r="D114" s="8">
        <v>23990.0</v>
      </c>
      <c r="E114" s="19">
        <v>0.33</v>
      </c>
      <c r="F114" s="10">
        <v>4.3</v>
      </c>
      <c r="G114" s="11">
        <v>1035.0</v>
      </c>
    </row>
    <row r="115">
      <c r="A115" s="7" t="s">
        <v>138</v>
      </c>
      <c r="B115" s="7" t="s">
        <v>15</v>
      </c>
      <c r="C115" s="8">
        <v>399.0</v>
      </c>
      <c r="D115" s="8">
        <v>999.0</v>
      </c>
      <c r="E115" s="19">
        <v>0.6</v>
      </c>
      <c r="F115" s="10">
        <v>4.1</v>
      </c>
      <c r="G115" s="11">
        <v>1780.0</v>
      </c>
    </row>
    <row r="116">
      <c r="A116" s="7" t="s">
        <v>139</v>
      </c>
      <c r="B116" s="7" t="s">
        <v>71</v>
      </c>
      <c r="C116" s="8">
        <v>399.0</v>
      </c>
      <c r="D116" s="8">
        <v>1999.0</v>
      </c>
      <c r="E116" s="19">
        <v>0.8</v>
      </c>
      <c r="F116" s="10">
        <v>4.5</v>
      </c>
      <c r="G116" s="10">
        <v>505.0</v>
      </c>
    </row>
    <row r="117">
      <c r="A117" s="7" t="s">
        <v>140</v>
      </c>
      <c r="B117" s="7" t="s">
        <v>15</v>
      </c>
      <c r="C117" s="8">
        <v>210.0</v>
      </c>
      <c r="D117" s="8">
        <v>399.0</v>
      </c>
      <c r="E117" s="19">
        <v>0.47</v>
      </c>
      <c r="F117" s="10">
        <v>4.1</v>
      </c>
      <c r="G117" s="11">
        <v>1717.0</v>
      </c>
    </row>
    <row r="118">
      <c r="A118" s="7" t="s">
        <v>141</v>
      </c>
      <c r="B118" s="7" t="s">
        <v>71</v>
      </c>
      <c r="C118" s="8">
        <v>1299.0</v>
      </c>
      <c r="D118" s="8">
        <v>1999.0</v>
      </c>
      <c r="E118" s="19">
        <v>0.35</v>
      </c>
      <c r="F118" s="10">
        <v>3.6</v>
      </c>
      <c r="G118" s="10">
        <v>590.0</v>
      </c>
    </row>
    <row r="119">
      <c r="A119" s="7" t="s">
        <v>142</v>
      </c>
      <c r="B119" s="7" t="s">
        <v>15</v>
      </c>
      <c r="C119" s="8">
        <v>347.0</v>
      </c>
      <c r="D119" s="8">
        <v>999.0</v>
      </c>
      <c r="E119" s="19">
        <v>0.65</v>
      </c>
      <c r="F119" s="10">
        <v>3.5</v>
      </c>
      <c r="G119" s="11">
        <v>1121.0</v>
      </c>
    </row>
    <row r="120">
      <c r="A120" s="7" t="s">
        <v>143</v>
      </c>
      <c r="B120" s="7" t="s">
        <v>15</v>
      </c>
      <c r="C120" s="8">
        <v>149.0</v>
      </c>
      <c r="D120" s="8">
        <v>999.0</v>
      </c>
      <c r="E120" s="19">
        <v>0.85</v>
      </c>
      <c r="F120" s="10">
        <v>4.0</v>
      </c>
      <c r="G120" s="11">
        <v>1313.0</v>
      </c>
    </row>
    <row r="121">
      <c r="A121" s="7" t="s">
        <v>144</v>
      </c>
      <c r="B121" s="7" t="s">
        <v>15</v>
      </c>
      <c r="C121" s="8">
        <v>228.0</v>
      </c>
      <c r="D121" s="8">
        <v>899.0</v>
      </c>
      <c r="E121" s="19">
        <v>0.75</v>
      </c>
      <c r="F121" s="10">
        <v>3.8</v>
      </c>
      <c r="G121" s="10">
        <v>132.0</v>
      </c>
    </row>
    <row r="122">
      <c r="A122" s="7" t="s">
        <v>145</v>
      </c>
      <c r="B122" s="7" t="s">
        <v>15</v>
      </c>
      <c r="C122" s="8">
        <v>1599.0</v>
      </c>
      <c r="D122" s="8">
        <v>1999.0</v>
      </c>
      <c r="E122" s="19">
        <v>0.2</v>
      </c>
      <c r="F122" s="10">
        <v>4.4</v>
      </c>
      <c r="G122" s="11">
        <v>1951.0</v>
      </c>
    </row>
    <row r="123">
      <c r="A123" s="7" t="s">
        <v>146</v>
      </c>
      <c r="B123" s="7" t="s">
        <v>71</v>
      </c>
      <c r="C123" s="8">
        <v>1499.0</v>
      </c>
      <c r="D123" s="8">
        <v>3999.0</v>
      </c>
      <c r="E123" s="19">
        <v>0.63</v>
      </c>
      <c r="F123" s="10">
        <v>3.7</v>
      </c>
      <c r="G123" s="10">
        <v>37.0</v>
      </c>
    </row>
    <row r="124">
      <c r="A124" s="7" t="s">
        <v>147</v>
      </c>
      <c r="B124" s="7" t="s">
        <v>37</v>
      </c>
      <c r="C124" s="8">
        <v>8499.0</v>
      </c>
      <c r="D124" s="8">
        <v>15999.0</v>
      </c>
      <c r="E124" s="19">
        <v>0.47</v>
      </c>
      <c r="F124" s="10">
        <v>4.3</v>
      </c>
      <c r="G124" s="10">
        <v>592.0</v>
      </c>
    </row>
    <row r="125">
      <c r="A125" s="7" t="s">
        <v>148</v>
      </c>
      <c r="B125" s="7" t="s">
        <v>37</v>
      </c>
      <c r="C125" s="8">
        <v>20990.0</v>
      </c>
      <c r="D125" s="8">
        <v>44990.0</v>
      </c>
      <c r="E125" s="19">
        <v>0.53</v>
      </c>
      <c r="F125" s="10">
        <v>4.1</v>
      </c>
      <c r="G125" s="11">
        <v>1259.0</v>
      </c>
    </row>
    <row r="126">
      <c r="A126" s="7" t="s">
        <v>149</v>
      </c>
      <c r="B126" s="7" t="s">
        <v>37</v>
      </c>
      <c r="C126" s="8">
        <v>32999.0</v>
      </c>
      <c r="D126" s="8">
        <v>44999.0</v>
      </c>
      <c r="E126" s="19">
        <v>0.27</v>
      </c>
      <c r="F126" s="10">
        <v>4.2</v>
      </c>
      <c r="G126" s="11">
        <v>45238.0</v>
      </c>
    </row>
    <row r="127">
      <c r="A127" s="7" t="s">
        <v>150</v>
      </c>
      <c r="B127" s="7" t="s">
        <v>31</v>
      </c>
      <c r="C127" s="8">
        <v>799.0</v>
      </c>
      <c r="D127" s="8">
        <v>1700.0</v>
      </c>
      <c r="E127" s="19">
        <v>0.53</v>
      </c>
      <c r="F127" s="10">
        <v>4.1</v>
      </c>
      <c r="G127" s="11">
        <v>28638.0</v>
      </c>
    </row>
    <row r="128">
      <c r="A128" s="7" t="s">
        <v>151</v>
      </c>
      <c r="B128" s="7" t="s">
        <v>31</v>
      </c>
      <c r="C128" s="8">
        <v>229.0</v>
      </c>
      <c r="D128" s="8">
        <v>595.0</v>
      </c>
      <c r="E128" s="19">
        <v>0.62</v>
      </c>
      <c r="F128" s="10">
        <v>4.3</v>
      </c>
      <c r="G128" s="11">
        <v>12835.0</v>
      </c>
    </row>
    <row r="129">
      <c r="A129" s="7" t="s">
        <v>152</v>
      </c>
      <c r="B129" s="7" t="s">
        <v>37</v>
      </c>
      <c r="C129" s="8">
        <v>9999.0</v>
      </c>
      <c r="D129" s="8">
        <v>27990.0</v>
      </c>
      <c r="E129" s="19">
        <v>0.64</v>
      </c>
      <c r="F129" s="10">
        <v>4.2</v>
      </c>
      <c r="G129" s="11">
        <v>1269.0</v>
      </c>
    </row>
    <row r="130">
      <c r="A130" s="7" t="s">
        <v>153</v>
      </c>
      <c r="B130" s="7" t="s">
        <v>71</v>
      </c>
      <c r="C130" s="8">
        <v>349.0</v>
      </c>
      <c r="D130" s="8">
        <v>599.0</v>
      </c>
      <c r="E130" s="19">
        <v>0.42</v>
      </c>
      <c r="F130" s="10">
        <v>4.2</v>
      </c>
      <c r="G130" s="10">
        <v>284.0</v>
      </c>
    </row>
    <row r="131">
      <c r="A131" s="7" t="s">
        <v>154</v>
      </c>
      <c r="B131" s="7" t="s">
        <v>155</v>
      </c>
      <c r="C131" s="8">
        <v>489.0</v>
      </c>
      <c r="D131" s="8">
        <v>1200.0</v>
      </c>
      <c r="E131" s="19">
        <v>0.59</v>
      </c>
      <c r="F131" s="10">
        <v>4.4</v>
      </c>
      <c r="G131" s="11">
        <v>69538.0</v>
      </c>
    </row>
    <row r="132">
      <c r="A132" s="7" t="s">
        <v>156</v>
      </c>
      <c r="B132" s="7" t="s">
        <v>37</v>
      </c>
      <c r="C132" s="8">
        <v>23999.0</v>
      </c>
      <c r="D132" s="8">
        <v>34990.0</v>
      </c>
      <c r="E132" s="19">
        <v>0.31</v>
      </c>
      <c r="F132" s="10">
        <v>4.3</v>
      </c>
      <c r="G132" s="11">
        <v>4703.0</v>
      </c>
    </row>
    <row r="133">
      <c r="A133" s="7" t="s">
        <v>157</v>
      </c>
      <c r="B133" s="7" t="s">
        <v>15</v>
      </c>
      <c r="C133" s="8">
        <v>399.0</v>
      </c>
      <c r="D133" s="8">
        <v>999.0</v>
      </c>
      <c r="E133" s="19">
        <v>0.6</v>
      </c>
      <c r="F133" s="10">
        <v>4.3</v>
      </c>
      <c r="G133" s="11">
        <v>2806.0</v>
      </c>
    </row>
    <row r="134">
      <c r="A134" s="7" t="s">
        <v>158</v>
      </c>
      <c r="B134" s="7" t="s">
        <v>159</v>
      </c>
      <c r="C134" s="8">
        <v>349.0</v>
      </c>
      <c r="D134" s="8">
        <v>1299.0</v>
      </c>
      <c r="E134" s="19">
        <v>0.73</v>
      </c>
      <c r="F134" s="10">
        <v>4.0</v>
      </c>
      <c r="G134" s="11">
        <v>3295.0</v>
      </c>
    </row>
    <row r="135">
      <c r="A135" s="7" t="s">
        <v>160</v>
      </c>
      <c r="B135" s="7" t="s">
        <v>15</v>
      </c>
      <c r="C135" s="8">
        <v>179.0</v>
      </c>
      <c r="D135" s="8">
        <v>299.0</v>
      </c>
      <c r="E135" s="19">
        <v>0.4</v>
      </c>
      <c r="F135" s="10">
        <v>3.9</v>
      </c>
      <c r="G135" s="10">
        <v>81.0</v>
      </c>
    </row>
    <row r="136">
      <c r="A136" s="7" t="s">
        <v>161</v>
      </c>
      <c r="B136" s="7" t="s">
        <v>15</v>
      </c>
      <c r="C136" s="8">
        <v>689.0</v>
      </c>
      <c r="D136" s="8">
        <v>1500.0</v>
      </c>
      <c r="E136" s="19">
        <v>0.54</v>
      </c>
      <c r="F136" s="10">
        <v>4.2</v>
      </c>
      <c r="G136" s="11">
        <v>42301.0</v>
      </c>
    </row>
    <row r="137">
      <c r="A137" s="7" t="s">
        <v>162</v>
      </c>
      <c r="B137" s="7" t="s">
        <v>37</v>
      </c>
      <c r="C137" s="8">
        <v>30990.0</v>
      </c>
      <c r="D137" s="8">
        <v>49990.0</v>
      </c>
      <c r="E137" s="19">
        <v>0.38</v>
      </c>
      <c r="F137" s="10">
        <v>4.3</v>
      </c>
      <c r="G137" s="11">
        <v>1376.0</v>
      </c>
    </row>
    <row r="138">
      <c r="A138" s="7" t="s">
        <v>163</v>
      </c>
      <c r="B138" s="7" t="s">
        <v>15</v>
      </c>
      <c r="C138" s="8">
        <v>249.0</v>
      </c>
      <c r="D138" s="8">
        <v>931.0</v>
      </c>
      <c r="E138" s="19">
        <v>0.73</v>
      </c>
      <c r="F138" s="10">
        <v>3.9</v>
      </c>
      <c r="G138" s="11">
        <v>1075.0</v>
      </c>
    </row>
    <row r="139">
      <c r="A139" s="7" t="s">
        <v>164</v>
      </c>
      <c r="B139" s="7" t="s">
        <v>31</v>
      </c>
      <c r="C139" s="8">
        <v>999.0</v>
      </c>
      <c r="D139" s="8">
        <v>2399.0</v>
      </c>
      <c r="E139" s="19">
        <v>0.58</v>
      </c>
      <c r="F139" s="10">
        <v>4.6</v>
      </c>
      <c r="G139" s="11">
        <v>3664.0</v>
      </c>
    </row>
    <row r="140">
      <c r="A140" s="7" t="s">
        <v>165</v>
      </c>
      <c r="B140" s="7" t="s">
        <v>71</v>
      </c>
      <c r="C140" s="8">
        <v>399.0</v>
      </c>
      <c r="D140" s="8">
        <v>399.0</v>
      </c>
      <c r="E140" s="19">
        <v>0.0</v>
      </c>
      <c r="F140" s="10">
        <v>3.9</v>
      </c>
      <c r="G140" s="11">
        <v>1951.0</v>
      </c>
    </row>
    <row r="141">
      <c r="A141" s="7" t="s">
        <v>166</v>
      </c>
      <c r="B141" s="7" t="s">
        <v>15</v>
      </c>
      <c r="C141" s="8">
        <v>349.0</v>
      </c>
      <c r="D141" s="8">
        <v>699.0</v>
      </c>
      <c r="E141" s="19">
        <v>0.5</v>
      </c>
      <c r="F141" s="10">
        <v>4.3</v>
      </c>
      <c r="G141" s="11">
        <v>20850.0</v>
      </c>
    </row>
    <row r="142">
      <c r="A142" s="7" t="s">
        <v>167</v>
      </c>
      <c r="B142" s="7" t="s">
        <v>15</v>
      </c>
      <c r="C142" s="8">
        <v>399.0</v>
      </c>
      <c r="D142" s="8">
        <v>1099.0</v>
      </c>
      <c r="E142" s="19">
        <v>0.64</v>
      </c>
      <c r="F142" s="10">
        <v>4.1</v>
      </c>
      <c r="G142" s="11">
        <v>2685.0</v>
      </c>
    </row>
    <row r="143">
      <c r="A143" s="7" t="s">
        <v>168</v>
      </c>
      <c r="B143" s="7" t="s">
        <v>25</v>
      </c>
      <c r="C143" s="8">
        <v>1699.0</v>
      </c>
      <c r="D143" s="8">
        <v>2999.0</v>
      </c>
      <c r="E143" s="19">
        <v>0.43</v>
      </c>
      <c r="F143" s="10">
        <v>4.4</v>
      </c>
      <c r="G143" s="11">
        <v>24780.0</v>
      </c>
    </row>
    <row r="144">
      <c r="A144" s="7" t="s">
        <v>169</v>
      </c>
      <c r="B144" s="7" t="s">
        <v>71</v>
      </c>
      <c r="C144" s="8">
        <v>655.0</v>
      </c>
      <c r="D144" s="8">
        <v>1099.0</v>
      </c>
      <c r="E144" s="19">
        <v>0.4</v>
      </c>
      <c r="F144" s="10">
        <v>3.2</v>
      </c>
      <c r="G144" s="10">
        <v>285.0</v>
      </c>
    </row>
    <row r="145">
      <c r="A145" s="7" t="s">
        <v>170</v>
      </c>
      <c r="B145" s="7" t="s">
        <v>25</v>
      </c>
      <c r="C145" s="8">
        <v>749.0</v>
      </c>
      <c r="D145" s="8">
        <v>1339.0</v>
      </c>
      <c r="E145" s="19">
        <v>0.44</v>
      </c>
      <c r="F145" s="10">
        <v>4.2</v>
      </c>
      <c r="G145" s="7" t="s">
        <v>171</v>
      </c>
    </row>
    <row r="146">
      <c r="A146" s="7" t="s">
        <v>172</v>
      </c>
      <c r="B146" s="7" t="s">
        <v>37</v>
      </c>
      <c r="C146" s="8">
        <v>9999.0</v>
      </c>
      <c r="D146" s="8">
        <v>12999.0</v>
      </c>
      <c r="E146" s="19">
        <v>0.23</v>
      </c>
      <c r="F146" s="10">
        <v>4.2</v>
      </c>
      <c r="G146" s="11">
        <v>6088.0</v>
      </c>
    </row>
    <row r="147">
      <c r="A147" s="7" t="s">
        <v>173</v>
      </c>
      <c r="B147" s="7" t="s">
        <v>71</v>
      </c>
      <c r="C147" s="8">
        <v>195.0</v>
      </c>
      <c r="D147" s="8">
        <v>499.0</v>
      </c>
      <c r="E147" s="19">
        <v>0.61</v>
      </c>
      <c r="F147" s="10">
        <v>3.7</v>
      </c>
      <c r="G147" s="11">
        <v>1383.0</v>
      </c>
    </row>
    <row r="148">
      <c r="A148" s="7" t="s">
        <v>174</v>
      </c>
      <c r="B148" s="7" t="s">
        <v>15</v>
      </c>
      <c r="C148" s="8">
        <v>999.0</v>
      </c>
      <c r="D148" s="8">
        <v>2100.0</v>
      </c>
      <c r="E148" s="19">
        <v>0.52</v>
      </c>
      <c r="F148" s="10">
        <v>4.5</v>
      </c>
      <c r="G148" s="11">
        <v>5492.0</v>
      </c>
    </row>
    <row r="149">
      <c r="A149" s="7" t="s">
        <v>175</v>
      </c>
      <c r="B149" s="7" t="s">
        <v>15</v>
      </c>
      <c r="C149" s="8">
        <v>499.0</v>
      </c>
      <c r="D149" s="8">
        <v>899.0</v>
      </c>
      <c r="E149" s="19">
        <v>0.44</v>
      </c>
      <c r="F149" s="10">
        <v>4.2</v>
      </c>
      <c r="G149" s="10">
        <v>919.0</v>
      </c>
    </row>
    <row r="150">
      <c r="A150" s="7" t="s">
        <v>176</v>
      </c>
      <c r="B150" s="7" t="s">
        <v>177</v>
      </c>
      <c r="C150" s="8">
        <v>416.0</v>
      </c>
      <c r="D150" s="8">
        <v>599.0</v>
      </c>
      <c r="E150" s="19">
        <v>0.31</v>
      </c>
      <c r="F150" s="10">
        <v>4.2</v>
      </c>
      <c r="G150" s="11">
        <v>30023.0</v>
      </c>
    </row>
    <row r="151">
      <c r="A151" s="7" t="s">
        <v>178</v>
      </c>
      <c r="B151" s="7" t="s">
        <v>15</v>
      </c>
      <c r="C151" s="8">
        <v>368.0</v>
      </c>
      <c r="D151" s="8">
        <v>699.0</v>
      </c>
      <c r="E151" s="19">
        <v>0.47</v>
      </c>
      <c r="F151" s="10">
        <v>4.2</v>
      </c>
      <c r="G151" s="10">
        <v>387.0</v>
      </c>
    </row>
    <row r="152">
      <c r="A152" s="7" t="s">
        <v>179</v>
      </c>
      <c r="B152" s="7" t="s">
        <v>37</v>
      </c>
      <c r="C152" s="8">
        <v>29990.0</v>
      </c>
      <c r="D152" s="8">
        <v>65000.0</v>
      </c>
      <c r="E152" s="19">
        <v>0.54</v>
      </c>
      <c r="F152" s="10">
        <v>4.1</v>
      </c>
      <c r="G152" s="10">
        <v>211.0</v>
      </c>
    </row>
    <row r="153">
      <c r="A153" s="7" t="s">
        <v>180</v>
      </c>
      <c r="B153" s="7" t="s">
        <v>15</v>
      </c>
      <c r="C153" s="8">
        <v>339.0</v>
      </c>
      <c r="D153" s="8">
        <v>1099.0</v>
      </c>
      <c r="E153" s="19">
        <v>0.69</v>
      </c>
      <c r="F153" s="10">
        <v>4.3</v>
      </c>
      <c r="G153" s="10">
        <v>974.0</v>
      </c>
    </row>
    <row r="154">
      <c r="A154" s="7" t="s">
        <v>181</v>
      </c>
      <c r="B154" s="7" t="s">
        <v>37</v>
      </c>
      <c r="C154" s="8">
        <v>15490.0</v>
      </c>
      <c r="D154" s="8">
        <v>20900.0</v>
      </c>
      <c r="E154" s="19">
        <v>0.26</v>
      </c>
      <c r="F154" s="10">
        <v>4.3</v>
      </c>
      <c r="G154" s="11">
        <v>16299.0</v>
      </c>
    </row>
    <row r="155">
      <c r="A155" s="7" t="s">
        <v>182</v>
      </c>
      <c r="B155" s="7" t="s">
        <v>15</v>
      </c>
      <c r="C155" s="8">
        <v>499.0</v>
      </c>
      <c r="D155" s="8">
        <v>1299.0</v>
      </c>
      <c r="E155" s="19">
        <v>0.62</v>
      </c>
      <c r="F155" s="10">
        <v>4.3</v>
      </c>
      <c r="G155" s="11">
        <v>30411.0</v>
      </c>
    </row>
    <row r="156">
      <c r="A156" s="7" t="s">
        <v>183</v>
      </c>
      <c r="B156" s="7" t="s">
        <v>25</v>
      </c>
      <c r="C156" s="8">
        <v>249.0</v>
      </c>
      <c r="D156" s="8">
        <v>399.0</v>
      </c>
      <c r="E156" s="19">
        <v>0.38</v>
      </c>
      <c r="F156" s="10">
        <v>3.4</v>
      </c>
      <c r="G156" s="11">
        <v>4642.0</v>
      </c>
    </row>
    <row r="157">
      <c r="A157" s="7" t="s">
        <v>184</v>
      </c>
      <c r="B157" s="7" t="s">
        <v>71</v>
      </c>
      <c r="C157" s="8">
        <v>399.0</v>
      </c>
      <c r="D157" s="8">
        <v>799.0</v>
      </c>
      <c r="E157" s="19">
        <v>0.5</v>
      </c>
      <c r="F157" s="10">
        <v>4.3</v>
      </c>
      <c r="G157" s="10">
        <v>12.0</v>
      </c>
    </row>
    <row r="158">
      <c r="A158" s="7" t="s">
        <v>185</v>
      </c>
      <c r="B158" s="7" t="s">
        <v>15</v>
      </c>
      <c r="C158" s="8">
        <v>1499.0</v>
      </c>
      <c r="D158" s="8">
        <v>1999.0</v>
      </c>
      <c r="E158" s="19">
        <v>0.25</v>
      </c>
      <c r="F158" s="10">
        <v>4.4</v>
      </c>
      <c r="G158" s="11">
        <v>1951.0</v>
      </c>
    </row>
    <row r="159">
      <c r="A159" s="7" t="s">
        <v>186</v>
      </c>
      <c r="B159" s="7" t="s">
        <v>187</v>
      </c>
      <c r="C159" s="8">
        <v>9490.0</v>
      </c>
      <c r="D159" s="8">
        <v>15990.0</v>
      </c>
      <c r="E159" s="19">
        <v>0.41</v>
      </c>
      <c r="F159" s="10">
        <v>3.9</v>
      </c>
      <c r="G159" s="11">
        <v>10480.0</v>
      </c>
    </row>
    <row r="160">
      <c r="A160" s="7" t="s">
        <v>188</v>
      </c>
      <c r="B160" s="7" t="s">
        <v>31</v>
      </c>
      <c r="C160" s="8">
        <v>637.0</v>
      </c>
      <c r="D160" s="8">
        <v>1499.0</v>
      </c>
      <c r="E160" s="19">
        <v>0.58</v>
      </c>
      <c r="F160" s="10">
        <v>4.1</v>
      </c>
      <c r="G160" s="10">
        <v>24.0</v>
      </c>
    </row>
    <row r="161">
      <c r="A161" s="7" t="s">
        <v>189</v>
      </c>
      <c r="B161" s="7" t="s">
        <v>71</v>
      </c>
      <c r="C161" s="8">
        <v>399.0</v>
      </c>
      <c r="D161" s="8">
        <v>899.0</v>
      </c>
      <c r="E161" s="19">
        <v>0.56</v>
      </c>
      <c r="F161" s="10">
        <v>3.9</v>
      </c>
      <c r="G161" s="10">
        <v>254.0</v>
      </c>
    </row>
    <row r="162">
      <c r="A162" s="7" t="s">
        <v>190</v>
      </c>
      <c r="B162" s="7" t="s">
        <v>177</v>
      </c>
      <c r="C162" s="8">
        <v>1089.0</v>
      </c>
      <c r="D162" s="8">
        <v>1600.0</v>
      </c>
      <c r="E162" s="19">
        <v>0.32</v>
      </c>
      <c r="F162" s="10">
        <v>4.0</v>
      </c>
      <c r="G162" s="11">
        <v>3565.0</v>
      </c>
    </row>
    <row r="163">
      <c r="A163" s="7" t="s">
        <v>191</v>
      </c>
      <c r="B163" s="7" t="s">
        <v>15</v>
      </c>
      <c r="C163" s="8">
        <v>339.0</v>
      </c>
      <c r="D163" s="8">
        <v>999.0</v>
      </c>
      <c r="E163" s="19">
        <v>0.66</v>
      </c>
      <c r="F163" s="10">
        <v>4.3</v>
      </c>
      <c r="G163" s="11">
        <v>6255.0</v>
      </c>
    </row>
    <row r="164">
      <c r="A164" s="7" t="s">
        <v>192</v>
      </c>
      <c r="B164" s="7" t="s">
        <v>15</v>
      </c>
      <c r="C164" s="8">
        <v>149.0</v>
      </c>
      <c r="D164" s="8">
        <v>499.0</v>
      </c>
      <c r="E164" s="19">
        <v>0.7</v>
      </c>
      <c r="F164" s="10">
        <v>4.0</v>
      </c>
      <c r="G164" s="11">
        <v>7732.0</v>
      </c>
    </row>
    <row r="165">
      <c r="A165" s="7" t="s">
        <v>193</v>
      </c>
      <c r="B165" s="7" t="s">
        <v>15</v>
      </c>
      <c r="C165" s="8">
        <v>149.0</v>
      </c>
      <c r="D165" s="8">
        <v>399.0</v>
      </c>
      <c r="E165" s="19">
        <v>0.63</v>
      </c>
      <c r="F165" s="10">
        <v>3.9</v>
      </c>
      <c r="G165" s="10">
        <v>57.0</v>
      </c>
    </row>
    <row r="166">
      <c r="A166" s="7" t="s">
        <v>194</v>
      </c>
      <c r="B166" s="7" t="s">
        <v>15</v>
      </c>
      <c r="C166" s="8">
        <v>599.0</v>
      </c>
      <c r="D166" s="8">
        <v>849.0</v>
      </c>
      <c r="E166" s="19">
        <v>0.29</v>
      </c>
      <c r="F166" s="10">
        <v>4.5</v>
      </c>
      <c r="G166" s="10">
        <v>577.0</v>
      </c>
    </row>
    <row r="167">
      <c r="A167" s="7" t="s">
        <v>195</v>
      </c>
      <c r="B167" s="7" t="s">
        <v>71</v>
      </c>
      <c r="C167" s="8">
        <v>299.0</v>
      </c>
      <c r="D167" s="8">
        <v>1199.0</v>
      </c>
      <c r="E167" s="19">
        <v>0.75</v>
      </c>
      <c r="F167" s="10">
        <v>3.9</v>
      </c>
      <c r="G167" s="11">
        <v>1193.0</v>
      </c>
    </row>
    <row r="168">
      <c r="A168" s="7" t="s">
        <v>196</v>
      </c>
      <c r="B168" s="7" t="s">
        <v>15</v>
      </c>
      <c r="C168" s="8">
        <v>399.0</v>
      </c>
      <c r="D168" s="8">
        <v>1299.0</v>
      </c>
      <c r="E168" s="19">
        <v>0.69</v>
      </c>
      <c r="F168" s="10">
        <v>4.2</v>
      </c>
      <c r="G168" s="11">
        <v>13120.0</v>
      </c>
    </row>
    <row r="169">
      <c r="A169" s="7" t="s">
        <v>197</v>
      </c>
      <c r="B169" s="7" t="s">
        <v>71</v>
      </c>
      <c r="C169" s="8">
        <v>339.0</v>
      </c>
      <c r="D169" s="8">
        <v>1999.0</v>
      </c>
      <c r="E169" s="19">
        <v>0.83</v>
      </c>
      <c r="F169" s="10">
        <v>4.0</v>
      </c>
      <c r="G169" s="10">
        <v>343.0</v>
      </c>
    </row>
    <row r="170">
      <c r="A170" s="7" t="s">
        <v>198</v>
      </c>
      <c r="B170" s="7" t="s">
        <v>37</v>
      </c>
      <c r="C170" s="8">
        <v>12499.0</v>
      </c>
      <c r="D170" s="8">
        <v>22990.0</v>
      </c>
      <c r="E170" s="19">
        <v>0.46</v>
      </c>
      <c r="F170" s="10">
        <v>4.3</v>
      </c>
      <c r="G170" s="11">
        <v>1611.0</v>
      </c>
    </row>
    <row r="171">
      <c r="A171" s="7" t="s">
        <v>199</v>
      </c>
      <c r="B171" s="7" t="s">
        <v>15</v>
      </c>
      <c r="C171" s="8">
        <v>249.0</v>
      </c>
      <c r="D171" s="8">
        <v>399.0</v>
      </c>
      <c r="E171" s="19">
        <v>0.38</v>
      </c>
      <c r="F171" s="10">
        <v>4.0</v>
      </c>
      <c r="G171" s="11">
        <v>6558.0</v>
      </c>
    </row>
    <row r="172">
      <c r="A172" s="7" t="s">
        <v>200</v>
      </c>
      <c r="B172" s="7" t="s">
        <v>25</v>
      </c>
      <c r="C172" s="8">
        <v>1399.0</v>
      </c>
      <c r="D172" s="8">
        <v>2499.0</v>
      </c>
      <c r="E172" s="19">
        <v>0.44</v>
      </c>
      <c r="F172" s="10">
        <v>4.4</v>
      </c>
      <c r="G172" s="11">
        <v>23169.0</v>
      </c>
    </row>
    <row r="173">
      <c r="A173" s="7" t="s">
        <v>201</v>
      </c>
      <c r="B173" s="7" t="s">
        <v>37</v>
      </c>
      <c r="C173" s="8">
        <v>32999.0</v>
      </c>
      <c r="D173" s="8">
        <v>47990.0</v>
      </c>
      <c r="E173" s="19">
        <v>0.31</v>
      </c>
      <c r="F173" s="10">
        <v>4.3</v>
      </c>
      <c r="G173" s="11">
        <v>4703.0</v>
      </c>
    </row>
    <row r="174">
      <c r="A174" s="7" t="s">
        <v>202</v>
      </c>
      <c r="B174" s="7" t="s">
        <v>15</v>
      </c>
      <c r="C174" s="8">
        <v>149.0</v>
      </c>
      <c r="D174" s="8">
        <v>399.0</v>
      </c>
      <c r="E174" s="19">
        <v>0.63</v>
      </c>
      <c r="F174" s="10">
        <v>4.0</v>
      </c>
      <c r="G174" s="11">
        <v>1423.0</v>
      </c>
    </row>
    <row r="175">
      <c r="A175" s="7" t="s">
        <v>203</v>
      </c>
      <c r="B175" s="7" t="s">
        <v>15</v>
      </c>
      <c r="C175" s="8">
        <v>325.0</v>
      </c>
      <c r="D175" s="8">
        <v>999.0</v>
      </c>
      <c r="E175" s="19">
        <v>0.67</v>
      </c>
      <c r="F175" s="10">
        <v>4.3</v>
      </c>
      <c r="G175" s="11">
        <v>2651.0</v>
      </c>
    </row>
    <row r="176">
      <c r="A176" s="7" t="s">
        <v>204</v>
      </c>
      <c r="B176" s="7" t="s">
        <v>15</v>
      </c>
      <c r="C176" s="8">
        <v>399.0</v>
      </c>
      <c r="D176" s="8">
        <v>1999.0</v>
      </c>
      <c r="E176" s="19">
        <v>0.8</v>
      </c>
      <c r="F176" s="10">
        <v>5.0</v>
      </c>
      <c r="G176" s="10">
        <v>5.0</v>
      </c>
    </row>
    <row r="177">
      <c r="A177" s="7" t="s">
        <v>205</v>
      </c>
      <c r="B177" s="7" t="s">
        <v>25</v>
      </c>
      <c r="C177" s="8">
        <v>199.0</v>
      </c>
      <c r="D177" s="8">
        <v>499.0</v>
      </c>
      <c r="E177" s="19">
        <v>0.6</v>
      </c>
      <c r="F177" s="10">
        <v>3.7</v>
      </c>
      <c r="G177" s="10">
        <v>612.0</v>
      </c>
    </row>
    <row r="178">
      <c r="A178" s="7" t="s">
        <v>206</v>
      </c>
      <c r="B178" s="7" t="s">
        <v>15</v>
      </c>
      <c r="C178" s="8">
        <v>88.0</v>
      </c>
      <c r="D178" s="8">
        <v>299.0</v>
      </c>
      <c r="E178" s="19">
        <v>0.71</v>
      </c>
      <c r="F178" s="10">
        <v>4.0</v>
      </c>
      <c r="G178" s="11">
        <v>9378.0</v>
      </c>
    </row>
    <row r="179">
      <c r="A179" s="7" t="s">
        <v>207</v>
      </c>
      <c r="B179" s="7" t="s">
        <v>15</v>
      </c>
      <c r="C179" s="8">
        <v>399.0</v>
      </c>
      <c r="D179" s="8">
        <v>1099.0</v>
      </c>
      <c r="E179" s="19">
        <v>0.64</v>
      </c>
      <c r="F179" s="10">
        <v>4.1</v>
      </c>
      <c r="G179" s="11">
        <v>2685.0</v>
      </c>
    </row>
    <row r="180">
      <c r="A180" s="7" t="s">
        <v>208</v>
      </c>
      <c r="B180" s="7" t="s">
        <v>15</v>
      </c>
      <c r="C180" s="8">
        <v>57.89</v>
      </c>
      <c r="D180" s="8">
        <v>199.0</v>
      </c>
      <c r="E180" s="19">
        <v>0.71</v>
      </c>
      <c r="F180" s="10">
        <v>4.0</v>
      </c>
      <c r="G180" s="11">
        <v>9378.0</v>
      </c>
    </row>
    <row r="181">
      <c r="A181" s="7" t="s">
        <v>209</v>
      </c>
      <c r="B181" s="7" t="s">
        <v>71</v>
      </c>
      <c r="C181" s="8">
        <v>799.0</v>
      </c>
      <c r="D181" s="8">
        <v>1999.0</v>
      </c>
      <c r="E181" s="19">
        <v>0.6</v>
      </c>
      <c r="F181" s="10">
        <v>3.3</v>
      </c>
      <c r="G181" s="10">
        <v>576.0</v>
      </c>
    </row>
    <row r="182">
      <c r="A182" s="7" t="s">
        <v>210</v>
      </c>
      <c r="B182" s="7" t="s">
        <v>71</v>
      </c>
      <c r="C182" s="8">
        <v>205.0</v>
      </c>
      <c r="D182" s="8">
        <v>499.0</v>
      </c>
      <c r="E182" s="19">
        <v>0.59</v>
      </c>
      <c r="F182" s="10">
        <v>3.8</v>
      </c>
      <c r="G182" s="10">
        <v>313.0</v>
      </c>
    </row>
    <row r="183">
      <c r="A183" s="7" t="s">
        <v>211</v>
      </c>
      <c r="B183" s="7" t="s">
        <v>15</v>
      </c>
      <c r="C183" s="8">
        <v>299.0</v>
      </c>
      <c r="D183" s="8">
        <v>699.0</v>
      </c>
      <c r="E183" s="19">
        <v>0.57</v>
      </c>
      <c r="F183" s="10">
        <v>4.1</v>
      </c>
      <c r="G183" s="11">
        <v>2957.0</v>
      </c>
    </row>
    <row r="184">
      <c r="A184" s="7" t="s">
        <v>212</v>
      </c>
      <c r="B184" s="7" t="s">
        <v>15</v>
      </c>
      <c r="C184" s="8">
        <v>849.0</v>
      </c>
      <c r="D184" s="8">
        <v>999.0</v>
      </c>
      <c r="E184" s="19">
        <v>0.15</v>
      </c>
      <c r="F184" s="10">
        <v>4.1</v>
      </c>
      <c r="G184" s="11">
        <v>6736.0</v>
      </c>
    </row>
    <row r="185">
      <c r="A185" s="7" t="s">
        <v>213</v>
      </c>
      <c r="B185" s="7" t="s">
        <v>15</v>
      </c>
      <c r="C185" s="8">
        <v>949.0</v>
      </c>
      <c r="D185" s="8">
        <v>1999.0</v>
      </c>
      <c r="E185" s="19">
        <v>0.53</v>
      </c>
      <c r="F185" s="10">
        <v>4.4</v>
      </c>
      <c r="G185" s="11">
        <v>13552.0</v>
      </c>
    </row>
    <row r="186">
      <c r="A186" s="7" t="s">
        <v>214</v>
      </c>
      <c r="B186" s="7" t="s">
        <v>15</v>
      </c>
      <c r="C186" s="8">
        <v>499.0</v>
      </c>
      <c r="D186" s="8">
        <v>1200.0</v>
      </c>
      <c r="E186" s="19">
        <v>0.58</v>
      </c>
      <c r="F186" s="10">
        <v>4.3</v>
      </c>
      <c r="G186" s="11">
        <v>5451.0</v>
      </c>
    </row>
    <row r="187">
      <c r="A187" s="7" t="s">
        <v>215</v>
      </c>
      <c r="B187" s="7" t="s">
        <v>15</v>
      </c>
      <c r="C187" s="8">
        <v>299.0</v>
      </c>
      <c r="D187" s="8">
        <v>485.0</v>
      </c>
      <c r="E187" s="19">
        <v>0.38</v>
      </c>
      <c r="F187" s="10">
        <v>4.3</v>
      </c>
      <c r="G187" s="11">
        <v>10911.0</v>
      </c>
    </row>
    <row r="188">
      <c r="A188" s="7" t="s">
        <v>216</v>
      </c>
      <c r="B188" s="7" t="s">
        <v>15</v>
      </c>
      <c r="C188" s="8">
        <v>949.0</v>
      </c>
      <c r="D188" s="8">
        <v>1999.0</v>
      </c>
      <c r="E188" s="19">
        <v>0.53</v>
      </c>
      <c r="F188" s="10">
        <v>4.4</v>
      </c>
      <c r="G188" s="11">
        <v>13552.0</v>
      </c>
    </row>
    <row r="189">
      <c r="A189" s="7" t="s">
        <v>217</v>
      </c>
      <c r="B189" s="7" t="s">
        <v>15</v>
      </c>
      <c r="C189" s="8">
        <v>379.0</v>
      </c>
      <c r="D189" s="8">
        <v>1099.0</v>
      </c>
      <c r="E189" s="19">
        <v>0.66</v>
      </c>
      <c r="F189" s="10">
        <v>4.3</v>
      </c>
      <c r="G189" s="11">
        <v>2806.0</v>
      </c>
    </row>
    <row r="190">
      <c r="A190" s="7" t="s">
        <v>218</v>
      </c>
      <c r="B190" s="7" t="s">
        <v>37</v>
      </c>
      <c r="C190" s="8">
        <v>8990.0</v>
      </c>
      <c r="D190" s="8">
        <v>18990.0</v>
      </c>
      <c r="E190" s="19">
        <v>0.53</v>
      </c>
      <c r="F190" s="10">
        <v>3.9</v>
      </c>
      <c r="G190" s="10">
        <v>350.0</v>
      </c>
    </row>
    <row r="191">
      <c r="A191" s="7" t="s">
        <v>219</v>
      </c>
      <c r="B191" s="7" t="s">
        <v>177</v>
      </c>
      <c r="C191" s="8">
        <v>486.0</v>
      </c>
      <c r="D191" s="8">
        <v>1999.0</v>
      </c>
      <c r="E191" s="19">
        <v>0.76</v>
      </c>
      <c r="F191" s="10">
        <v>4.2</v>
      </c>
      <c r="G191" s="11">
        <v>30023.0</v>
      </c>
    </row>
    <row r="192">
      <c r="A192" s="7" t="s">
        <v>220</v>
      </c>
      <c r="B192" s="7" t="s">
        <v>77</v>
      </c>
      <c r="C192" s="8">
        <v>5699.0</v>
      </c>
      <c r="D192" s="8">
        <v>11000.0</v>
      </c>
      <c r="E192" s="19">
        <v>0.48</v>
      </c>
      <c r="F192" s="10">
        <v>4.2</v>
      </c>
      <c r="G192" s="11">
        <v>4003.0</v>
      </c>
    </row>
    <row r="193">
      <c r="A193" s="7" t="s">
        <v>221</v>
      </c>
      <c r="B193" s="7" t="s">
        <v>15</v>
      </c>
      <c r="C193" s="8">
        <v>709.0</v>
      </c>
      <c r="D193" s="8">
        <v>1999.0</v>
      </c>
      <c r="E193" s="19">
        <v>0.65</v>
      </c>
      <c r="F193" s="10">
        <v>4.1</v>
      </c>
      <c r="G193" s="7" t="s">
        <v>222</v>
      </c>
    </row>
    <row r="194">
      <c r="A194" s="7" t="s">
        <v>223</v>
      </c>
      <c r="B194" s="7" t="s">
        <v>37</v>
      </c>
      <c r="C194" s="8">
        <v>47990.0</v>
      </c>
      <c r="D194" s="8">
        <v>70900.0</v>
      </c>
      <c r="E194" s="19">
        <v>0.32</v>
      </c>
      <c r="F194" s="10">
        <v>4.3</v>
      </c>
      <c r="G194" s="11">
        <v>7109.0</v>
      </c>
    </row>
    <row r="195">
      <c r="A195" s="7" t="s">
        <v>224</v>
      </c>
      <c r="B195" s="7" t="s">
        <v>71</v>
      </c>
      <c r="C195" s="8">
        <v>299.0</v>
      </c>
      <c r="D195" s="8">
        <v>1199.0</v>
      </c>
      <c r="E195" s="19">
        <v>0.75</v>
      </c>
      <c r="F195" s="10">
        <v>3.7</v>
      </c>
      <c r="G195" s="10">
        <v>490.0</v>
      </c>
    </row>
    <row r="196">
      <c r="A196" s="7" t="s">
        <v>225</v>
      </c>
      <c r="B196" s="7" t="s">
        <v>15</v>
      </c>
      <c r="C196" s="8">
        <v>320.0</v>
      </c>
      <c r="D196" s="8">
        <v>599.0</v>
      </c>
      <c r="E196" s="19">
        <v>0.47</v>
      </c>
      <c r="F196" s="10">
        <v>4.1</v>
      </c>
      <c r="G196" s="10">
        <v>491.0</v>
      </c>
    </row>
    <row r="197">
      <c r="A197" s="7" t="s">
        <v>226</v>
      </c>
      <c r="B197" s="7" t="s">
        <v>15</v>
      </c>
      <c r="C197" s="8">
        <v>139.0</v>
      </c>
      <c r="D197" s="8">
        <v>549.0</v>
      </c>
      <c r="E197" s="19">
        <v>0.75</v>
      </c>
      <c r="F197" s="10">
        <v>3.9</v>
      </c>
      <c r="G197" s="10">
        <v>61.0</v>
      </c>
    </row>
    <row r="198">
      <c r="A198" s="7" t="s">
        <v>227</v>
      </c>
      <c r="B198" s="7" t="s">
        <v>15</v>
      </c>
      <c r="C198" s="8">
        <v>129.0</v>
      </c>
      <c r="D198" s="8">
        <v>249.0</v>
      </c>
      <c r="E198" s="19">
        <v>0.48</v>
      </c>
      <c r="F198" s="10">
        <v>4.0</v>
      </c>
      <c r="G198" s="11">
        <v>9378.0</v>
      </c>
    </row>
    <row r="199">
      <c r="A199" s="7" t="s">
        <v>228</v>
      </c>
      <c r="B199" s="7" t="s">
        <v>37</v>
      </c>
      <c r="C199" s="8">
        <v>24999.0</v>
      </c>
      <c r="D199" s="8">
        <v>35999.0</v>
      </c>
      <c r="E199" s="19">
        <v>0.31</v>
      </c>
      <c r="F199" s="10">
        <v>4.2</v>
      </c>
      <c r="G199" s="11">
        <v>32840.0</v>
      </c>
    </row>
    <row r="200">
      <c r="A200" s="7" t="s">
        <v>229</v>
      </c>
      <c r="B200" s="7" t="s">
        <v>15</v>
      </c>
      <c r="C200" s="8">
        <v>999.0</v>
      </c>
      <c r="D200" s="8">
        <v>1699.0</v>
      </c>
      <c r="E200" s="19">
        <v>0.41</v>
      </c>
      <c r="F200" s="10">
        <v>4.4</v>
      </c>
      <c r="G200" s="11">
        <v>7318.0</v>
      </c>
    </row>
    <row r="201">
      <c r="A201" s="7" t="s">
        <v>230</v>
      </c>
      <c r="B201" s="7" t="s">
        <v>15</v>
      </c>
      <c r="C201" s="8">
        <v>225.0</v>
      </c>
      <c r="D201" s="8">
        <v>499.0</v>
      </c>
      <c r="E201" s="19">
        <v>0.55</v>
      </c>
      <c r="F201" s="10">
        <v>4.1</v>
      </c>
      <c r="G201" s="10">
        <v>789.0</v>
      </c>
    </row>
    <row r="202">
      <c r="A202" s="7" t="s">
        <v>231</v>
      </c>
      <c r="B202" s="7" t="s">
        <v>71</v>
      </c>
      <c r="C202" s="8">
        <v>547.0</v>
      </c>
      <c r="D202" s="8">
        <v>2999.0</v>
      </c>
      <c r="E202" s="19">
        <v>0.82</v>
      </c>
      <c r="F202" s="10">
        <v>4.3</v>
      </c>
      <c r="G202" s="10">
        <v>407.0</v>
      </c>
    </row>
    <row r="203">
      <c r="A203" s="7" t="s">
        <v>232</v>
      </c>
      <c r="B203" s="7" t="s">
        <v>15</v>
      </c>
      <c r="C203" s="8">
        <v>259.0</v>
      </c>
      <c r="D203" s="8">
        <v>699.0</v>
      </c>
      <c r="E203" s="19">
        <v>0.63</v>
      </c>
      <c r="F203" s="10">
        <v>3.8</v>
      </c>
      <c r="G203" s="11">
        <v>2399.0</v>
      </c>
    </row>
    <row r="204">
      <c r="A204" s="7" t="s">
        <v>233</v>
      </c>
      <c r="B204" s="7" t="s">
        <v>71</v>
      </c>
      <c r="C204" s="8">
        <v>239.0</v>
      </c>
      <c r="D204" s="8">
        <v>699.0</v>
      </c>
      <c r="E204" s="19">
        <v>0.66</v>
      </c>
      <c r="F204" s="10">
        <v>4.4</v>
      </c>
      <c r="G204" s="11">
        <v>2640.0</v>
      </c>
    </row>
    <row r="205">
      <c r="A205" s="7" t="s">
        <v>234</v>
      </c>
      <c r="B205" s="7" t="s">
        <v>71</v>
      </c>
      <c r="C205" s="8">
        <v>349.0</v>
      </c>
      <c r="D205" s="8">
        <v>999.0</v>
      </c>
      <c r="E205" s="19">
        <v>0.65</v>
      </c>
      <c r="F205" s="10">
        <v>4.0</v>
      </c>
      <c r="G205" s="10">
        <v>839.0</v>
      </c>
    </row>
    <row r="206">
      <c r="A206" s="7" t="s">
        <v>235</v>
      </c>
      <c r="B206" s="7" t="s">
        <v>31</v>
      </c>
      <c r="C206" s="8">
        <v>467.0</v>
      </c>
      <c r="D206" s="8">
        <v>599.0</v>
      </c>
      <c r="E206" s="19">
        <v>0.22</v>
      </c>
      <c r="F206" s="10">
        <v>4.4</v>
      </c>
      <c r="G206" s="11">
        <v>44054.0</v>
      </c>
    </row>
    <row r="207">
      <c r="A207" s="7" t="s">
        <v>236</v>
      </c>
      <c r="B207" s="7" t="s">
        <v>15</v>
      </c>
      <c r="C207" s="8">
        <v>449.0</v>
      </c>
      <c r="D207" s="8">
        <v>599.0</v>
      </c>
      <c r="E207" s="19">
        <v>0.25</v>
      </c>
      <c r="F207" s="10">
        <v>4.0</v>
      </c>
      <c r="G207" s="11">
        <v>3231.0</v>
      </c>
    </row>
    <row r="208">
      <c r="A208" s="7" t="s">
        <v>237</v>
      </c>
      <c r="B208" s="7" t="s">
        <v>37</v>
      </c>
      <c r="C208" s="8">
        <v>11990.0</v>
      </c>
      <c r="D208" s="8">
        <v>31990.0</v>
      </c>
      <c r="E208" s="19">
        <v>0.63</v>
      </c>
      <c r="F208" s="10">
        <v>4.2</v>
      </c>
      <c r="G208" s="10">
        <v>64.0</v>
      </c>
    </row>
    <row r="209">
      <c r="A209" s="7" t="s">
        <v>238</v>
      </c>
      <c r="B209" s="7" t="s">
        <v>15</v>
      </c>
      <c r="C209" s="8">
        <v>350.0</v>
      </c>
      <c r="D209" s="8">
        <v>599.0</v>
      </c>
      <c r="E209" s="19">
        <v>0.42</v>
      </c>
      <c r="F209" s="10">
        <v>3.9</v>
      </c>
      <c r="G209" s="11">
        <v>8314.0</v>
      </c>
    </row>
    <row r="210">
      <c r="A210" s="7" t="s">
        <v>239</v>
      </c>
      <c r="B210" s="7" t="s">
        <v>15</v>
      </c>
      <c r="C210" s="8">
        <v>252.0</v>
      </c>
      <c r="D210" s="8">
        <v>999.0</v>
      </c>
      <c r="E210" s="19">
        <v>0.75</v>
      </c>
      <c r="F210" s="10">
        <v>3.7</v>
      </c>
      <c r="G210" s="11">
        <v>2249.0</v>
      </c>
    </row>
    <row r="211">
      <c r="A211" s="7" t="s">
        <v>240</v>
      </c>
      <c r="B211" s="7" t="s">
        <v>71</v>
      </c>
      <c r="C211" s="8">
        <v>204.0</v>
      </c>
      <c r="D211" s="8">
        <v>599.0</v>
      </c>
      <c r="E211" s="19">
        <v>0.66</v>
      </c>
      <c r="F211" s="10">
        <v>3.6</v>
      </c>
      <c r="G211" s="10">
        <v>339.0</v>
      </c>
    </row>
    <row r="212">
      <c r="A212" s="7" t="s">
        <v>241</v>
      </c>
      <c r="B212" s="7" t="s">
        <v>187</v>
      </c>
      <c r="C212" s="8">
        <v>6490.0</v>
      </c>
      <c r="D212" s="8">
        <v>9990.0</v>
      </c>
      <c r="E212" s="19">
        <v>0.35</v>
      </c>
      <c r="F212" s="10">
        <v>4.0</v>
      </c>
      <c r="G212" s="10">
        <v>27.0</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v>0.7</v>
      </c>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v>0.67</v>
      </c>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v>0.58</v>
      </c>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v>0.5</v>
      </c>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v>0.38</v>
      </c>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v>0.57</v>
      </c>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v>0.62</v>
      </c>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1">
    <mergeCell ref="K2:M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1613</v>
      </c>
      <c r="K2" s="23">
        <f>INDIRECT("VLOOKUP!K2")</f>
        <v>1690</v>
      </c>
    </row>
    <row r="3">
      <c r="A3" s="7" t="s">
        <v>17</v>
      </c>
      <c r="B3" s="7" t="s">
        <v>15</v>
      </c>
      <c r="C3" s="8">
        <v>199.0</v>
      </c>
      <c r="D3" s="8">
        <v>349.0</v>
      </c>
      <c r="E3" s="19">
        <v>0.43</v>
      </c>
      <c r="F3" s="10">
        <v>4.0</v>
      </c>
      <c r="G3" s="11">
        <v>43994.0</v>
      </c>
    </row>
    <row r="4">
      <c r="A4" s="7" t="s">
        <v>18</v>
      </c>
      <c r="B4" s="7" t="s">
        <v>15</v>
      </c>
      <c r="C4" s="8">
        <v>199.0</v>
      </c>
      <c r="D4" s="8">
        <v>1899.0</v>
      </c>
      <c r="E4" s="19">
        <v>0.9</v>
      </c>
      <c r="F4" s="10">
        <v>3.9</v>
      </c>
      <c r="G4" s="11">
        <v>7928.0</v>
      </c>
    </row>
    <row r="5">
      <c r="A5" s="7" t="s">
        <v>19</v>
      </c>
      <c r="B5" s="7" t="s">
        <v>15</v>
      </c>
      <c r="C5" s="8">
        <v>329.0</v>
      </c>
      <c r="D5" s="8">
        <v>699.0</v>
      </c>
      <c r="E5" s="19">
        <v>0.53</v>
      </c>
      <c r="F5" s="10">
        <v>4.2</v>
      </c>
      <c r="G5" s="11">
        <v>94363.0</v>
      </c>
    </row>
    <row r="6">
      <c r="A6" s="7" t="s">
        <v>20</v>
      </c>
      <c r="B6" s="7" t="s">
        <v>15</v>
      </c>
      <c r="C6" s="8">
        <v>154.0</v>
      </c>
      <c r="D6" s="8">
        <v>399.0</v>
      </c>
      <c r="E6" s="19">
        <v>0.61</v>
      </c>
      <c r="F6" s="10">
        <v>4.2</v>
      </c>
      <c r="G6" s="11">
        <v>16905.0</v>
      </c>
    </row>
    <row r="7">
      <c r="A7" s="7" t="s">
        <v>21</v>
      </c>
      <c r="B7" s="7" t="s">
        <v>15</v>
      </c>
      <c r="C7" s="8">
        <v>149.0</v>
      </c>
      <c r="D7" s="8">
        <v>1000.0</v>
      </c>
      <c r="E7" s="19">
        <v>0.85</v>
      </c>
      <c r="F7" s="10">
        <v>3.9</v>
      </c>
      <c r="G7" s="11">
        <v>24871.0</v>
      </c>
    </row>
    <row r="8">
      <c r="A8" s="7" t="s">
        <v>22</v>
      </c>
      <c r="B8" s="7" t="s">
        <v>15</v>
      </c>
      <c r="C8" s="8">
        <v>176.63</v>
      </c>
      <c r="D8" s="8">
        <v>499.0</v>
      </c>
      <c r="E8" s="19">
        <v>0.65</v>
      </c>
      <c r="F8" s="10">
        <v>4.1</v>
      </c>
      <c r="G8" s="11">
        <v>15188.0</v>
      </c>
    </row>
    <row r="9">
      <c r="A9" s="7" t="s">
        <v>23</v>
      </c>
      <c r="B9" s="7" t="s">
        <v>15</v>
      </c>
      <c r="C9" s="8">
        <v>229.0</v>
      </c>
      <c r="D9" s="8">
        <v>299.0</v>
      </c>
      <c r="E9" s="19">
        <v>0.23</v>
      </c>
      <c r="F9" s="10">
        <v>4.3</v>
      </c>
      <c r="G9" s="11">
        <v>30411.0</v>
      </c>
    </row>
    <row r="10">
      <c r="A10" s="7" t="s">
        <v>24</v>
      </c>
      <c r="B10" s="7" t="s">
        <v>25</v>
      </c>
      <c r="C10" s="8">
        <v>499.0</v>
      </c>
      <c r="D10" s="8">
        <v>999.0</v>
      </c>
      <c r="E10" s="19">
        <v>0.5</v>
      </c>
      <c r="F10" s="10">
        <v>4.2</v>
      </c>
      <c r="G10" s="7" t="s">
        <v>26</v>
      </c>
    </row>
    <row r="11">
      <c r="A11" s="7" t="s">
        <v>27</v>
      </c>
      <c r="B11" s="7" t="s">
        <v>15</v>
      </c>
      <c r="C11" s="8">
        <v>199.0</v>
      </c>
      <c r="D11" s="8">
        <v>299.0</v>
      </c>
      <c r="E11" s="19">
        <v>0.33</v>
      </c>
      <c r="F11" s="10">
        <v>4.0</v>
      </c>
      <c r="G11" s="11">
        <v>43994.0</v>
      </c>
    </row>
    <row r="12">
      <c r="A12" s="7" t="s">
        <v>28</v>
      </c>
      <c r="B12" s="7" t="s">
        <v>15</v>
      </c>
      <c r="C12" s="8">
        <v>154.0</v>
      </c>
      <c r="D12" s="8">
        <v>339.0</v>
      </c>
      <c r="E12" s="19">
        <v>0.55</v>
      </c>
      <c r="F12" s="10">
        <v>4.3</v>
      </c>
      <c r="G12" s="11">
        <v>13391.0</v>
      </c>
    </row>
    <row r="13">
      <c r="A13" s="7" t="s">
        <v>29</v>
      </c>
      <c r="B13" s="7" t="s">
        <v>15</v>
      </c>
      <c r="C13" s="8">
        <v>299.0</v>
      </c>
      <c r="D13" s="8">
        <v>799.0</v>
      </c>
      <c r="E13" s="19">
        <v>0.63</v>
      </c>
      <c r="F13" s="10">
        <v>4.2</v>
      </c>
      <c r="G13" s="11">
        <v>94363.0</v>
      </c>
    </row>
    <row r="14">
      <c r="A14" s="7" t="s">
        <v>30</v>
      </c>
      <c r="B14" s="7" t="s">
        <v>31</v>
      </c>
      <c r="C14" s="8">
        <v>219.0</v>
      </c>
      <c r="D14" s="8">
        <v>700.0</v>
      </c>
      <c r="E14" s="19">
        <v>0.69</v>
      </c>
      <c r="F14" s="10">
        <v>4.4</v>
      </c>
      <c r="G14" s="7" t="s">
        <v>32</v>
      </c>
    </row>
    <row r="15">
      <c r="A15" s="7" t="s">
        <v>33</v>
      </c>
      <c r="B15" s="7" t="s">
        <v>15</v>
      </c>
      <c r="C15" s="8">
        <v>350.0</v>
      </c>
      <c r="D15" s="8">
        <v>899.0</v>
      </c>
      <c r="E15" s="19">
        <v>0.61</v>
      </c>
      <c r="F15" s="10">
        <v>4.2</v>
      </c>
      <c r="G15" s="11">
        <v>2262.0</v>
      </c>
    </row>
    <row r="16">
      <c r="A16" s="7" t="s">
        <v>34</v>
      </c>
      <c r="B16" s="7" t="s">
        <v>15</v>
      </c>
      <c r="C16" s="8">
        <v>159.0</v>
      </c>
      <c r="D16" s="8">
        <v>399.0</v>
      </c>
      <c r="E16" s="19">
        <v>0.6</v>
      </c>
      <c r="F16" s="10">
        <v>4.1</v>
      </c>
      <c r="G16" s="11">
        <v>4768.0</v>
      </c>
    </row>
    <row r="17">
      <c r="A17" s="7" t="s">
        <v>35</v>
      </c>
      <c r="B17" s="7" t="s">
        <v>15</v>
      </c>
      <c r="C17" s="8">
        <v>349.0</v>
      </c>
      <c r="D17" s="8">
        <v>399.0</v>
      </c>
      <c r="E17" s="19">
        <v>0.13</v>
      </c>
      <c r="F17" s="10">
        <v>4.4</v>
      </c>
      <c r="G17" s="11">
        <v>18757.0</v>
      </c>
    </row>
    <row r="18">
      <c r="A18" s="7" t="s">
        <v>36</v>
      </c>
      <c r="B18" s="7" t="s">
        <v>37</v>
      </c>
      <c r="C18" s="8">
        <v>13999.0</v>
      </c>
      <c r="D18" s="8">
        <v>24999.0</v>
      </c>
      <c r="E18" s="19">
        <v>0.44</v>
      </c>
      <c r="F18" s="10">
        <v>4.2</v>
      </c>
      <c r="G18" s="11">
        <v>32840.0</v>
      </c>
    </row>
    <row r="19">
      <c r="A19" s="7" t="s">
        <v>38</v>
      </c>
      <c r="B19" s="7" t="s">
        <v>15</v>
      </c>
      <c r="C19" s="8">
        <v>249.0</v>
      </c>
      <c r="D19" s="8">
        <v>399.0</v>
      </c>
      <c r="E19" s="19">
        <v>0.38</v>
      </c>
      <c r="F19" s="10">
        <v>4.0</v>
      </c>
      <c r="G19" s="11">
        <v>43994.0</v>
      </c>
    </row>
    <row r="20">
      <c r="A20" s="7" t="s">
        <v>39</v>
      </c>
      <c r="B20" s="7" t="s">
        <v>15</v>
      </c>
      <c r="C20" s="8">
        <v>199.0</v>
      </c>
      <c r="D20" s="8">
        <v>499.0</v>
      </c>
      <c r="E20" s="19">
        <v>0.6</v>
      </c>
      <c r="F20" s="10">
        <v>4.1</v>
      </c>
      <c r="G20" s="11">
        <v>13045.0</v>
      </c>
    </row>
    <row r="21">
      <c r="A21" s="7" t="s">
        <v>40</v>
      </c>
      <c r="B21" s="7" t="s">
        <v>37</v>
      </c>
      <c r="C21" s="8">
        <v>13490.0</v>
      </c>
      <c r="D21" s="8">
        <v>21990.0</v>
      </c>
      <c r="E21" s="19">
        <v>0.39</v>
      </c>
      <c r="F21" s="10">
        <v>4.3</v>
      </c>
      <c r="G21" s="11">
        <v>11976.0</v>
      </c>
    </row>
    <row r="22">
      <c r="A22" s="7" t="s">
        <v>41</v>
      </c>
      <c r="B22" s="7" t="s">
        <v>15</v>
      </c>
      <c r="C22" s="8">
        <v>970.0</v>
      </c>
      <c r="D22" s="8">
        <v>1799.0</v>
      </c>
      <c r="E22" s="19">
        <v>0.46</v>
      </c>
      <c r="F22" s="10">
        <v>4.5</v>
      </c>
      <c r="G22" s="10">
        <v>815.0</v>
      </c>
    </row>
    <row r="23">
      <c r="A23" s="7" t="s">
        <v>42</v>
      </c>
      <c r="B23" s="7" t="s">
        <v>31</v>
      </c>
      <c r="C23" s="8">
        <v>279.0</v>
      </c>
      <c r="D23" s="8">
        <v>499.0</v>
      </c>
      <c r="E23" s="19">
        <v>0.44</v>
      </c>
      <c r="F23" s="10">
        <v>3.7</v>
      </c>
      <c r="G23" s="11">
        <v>10962.0</v>
      </c>
    </row>
    <row r="24">
      <c r="A24" s="7" t="s">
        <v>43</v>
      </c>
      <c r="B24" s="7" t="s">
        <v>37</v>
      </c>
      <c r="C24" s="8">
        <v>13490.0</v>
      </c>
      <c r="D24" s="8">
        <v>22900.0</v>
      </c>
      <c r="E24" s="19">
        <v>0.41</v>
      </c>
      <c r="F24" s="10">
        <v>4.3</v>
      </c>
      <c r="G24" s="11">
        <v>16299.0</v>
      </c>
    </row>
    <row r="25">
      <c r="A25" s="7" t="s">
        <v>44</v>
      </c>
      <c r="B25" s="7" t="s">
        <v>15</v>
      </c>
      <c r="C25" s="8">
        <v>59.0</v>
      </c>
      <c r="D25" s="8">
        <v>199.0</v>
      </c>
      <c r="E25" s="19">
        <v>0.7</v>
      </c>
      <c r="F25" s="10">
        <v>4.0</v>
      </c>
      <c r="G25" s="11">
        <v>9378.0</v>
      </c>
    </row>
    <row r="26">
      <c r="A26" s="7" t="s">
        <v>45</v>
      </c>
      <c r="B26" s="7" t="s">
        <v>37</v>
      </c>
      <c r="C26" s="8">
        <v>11499.0</v>
      </c>
      <c r="D26" s="8">
        <v>19990.0</v>
      </c>
      <c r="E26" s="19">
        <v>0.42</v>
      </c>
      <c r="F26" s="10">
        <v>4.3</v>
      </c>
      <c r="G26" s="11">
        <v>4703.0</v>
      </c>
    </row>
    <row r="27">
      <c r="A27" s="7" t="s">
        <v>46</v>
      </c>
      <c r="B27" s="7" t="s">
        <v>31</v>
      </c>
      <c r="C27" s="8">
        <v>199.0</v>
      </c>
      <c r="D27" s="8">
        <v>699.0</v>
      </c>
      <c r="E27" s="19">
        <v>0.72</v>
      </c>
      <c r="F27" s="10">
        <v>4.2</v>
      </c>
      <c r="G27" s="11">
        <v>12153.0</v>
      </c>
    </row>
    <row r="28">
      <c r="A28" s="7" t="s">
        <v>47</v>
      </c>
      <c r="B28" s="7" t="s">
        <v>37</v>
      </c>
      <c r="C28" s="8">
        <v>14999.0</v>
      </c>
      <c r="D28" s="8">
        <v>19999.0</v>
      </c>
      <c r="E28" s="19">
        <v>0.25</v>
      </c>
      <c r="F28" s="10">
        <v>4.2</v>
      </c>
      <c r="G28" s="11">
        <v>34899.0</v>
      </c>
    </row>
    <row r="29">
      <c r="A29" s="7" t="s">
        <v>48</v>
      </c>
      <c r="B29" s="7" t="s">
        <v>15</v>
      </c>
      <c r="C29" s="8">
        <v>299.0</v>
      </c>
      <c r="D29" s="8">
        <v>399.0</v>
      </c>
      <c r="E29" s="19">
        <v>0.25</v>
      </c>
      <c r="F29" s="10">
        <v>4.0</v>
      </c>
      <c r="G29" s="11">
        <v>2766.0</v>
      </c>
    </row>
    <row r="30">
      <c r="A30" s="7" t="s">
        <v>49</v>
      </c>
      <c r="B30" s="7" t="s">
        <v>15</v>
      </c>
      <c r="C30" s="8">
        <v>970.0</v>
      </c>
      <c r="D30" s="8">
        <v>1999.0</v>
      </c>
      <c r="E30" s="19">
        <v>0.51</v>
      </c>
      <c r="F30" s="10">
        <v>4.4</v>
      </c>
      <c r="G30" s="10">
        <v>184.0</v>
      </c>
    </row>
    <row r="31">
      <c r="A31" s="7" t="s">
        <v>50</v>
      </c>
      <c r="B31" s="7" t="s">
        <v>15</v>
      </c>
      <c r="C31" s="8">
        <v>299.0</v>
      </c>
      <c r="D31" s="8">
        <v>999.0</v>
      </c>
      <c r="E31" s="19">
        <v>0.7</v>
      </c>
      <c r="F31" s="10">
        <v>4.3</v>
      </c>
      <c r="G31" s="11">
        <v>20850.0</v>
      </c>
    </row>
    <row r="32">
      <c r="A32" s="7" t="s">
        <v>51</v>
      </c>
      <c r="B32" s="7" t="s">
        <v>15</v>
      </c>
      <c r="C32" s="8">
        <v>199.0</v>
      </c>
      <c r="D32" s="8">
        <v>750.0</v>
      </c>
      <c r="E32" s="19">
        <v>0.73</v>
      </c>
      <c r="F32" s="10">
        <v>4.5</v>
      </c>
      <c r="G32" s="11">
        <v>74976.0</v>
      </c>
    </row>
    <row r="33">
      <c r="A33" s="7" t="s">
        <v>52</v>
      </c>
      <c r="B33" s="7" t="s">
        <v>15</v>
      </c>
      <c r="C33" s="8">
        <v>179.0</v>
      </c>
      <c r="D33" s="8">
        <v>499.0</v>
      </c>
      <c r="E33" s="19">
        <v>0.64</v>
      </c>
      <c r="F33" s="10">
        <v>4.0</v>
      </c>
      <c r="G33" s="11">
        <v>1934.0</v>
      </c>
    </row>
    <row r="34">
      <c r="A34" s="7" t="s">
        <v>53</v>
      </c>
      <c r="B34" s="7" t="s">
        <v>15</v>
      </c>
      <c r="C34" s="8">
        <v>389.0</v>
      </c>
      <c r="D34" s="8">
        <v>1099.0</v>
      </c>
      <c r="E34" s="19">
        <v>0.65</v>
      </c>
      <c r="F34" s="10">
        <v>4.3</v>
      </c>
      <c r="G34" s="10">
        <v>974.0</v>
      </c>
    </row>
    <row r="35">
      <c r="A35" s="7" t="s">
        <v>54</v>
      </c>
      <c r="B35" s="7" t="s">
        <v>15</v>
      </c>
      <c r="C35" s="8">
        <v>599.0</v>
      </c>
      <c r="D35" s="8">
        <v>599.0</v>
      </c>
      <c r="E35" s="19">
        <v>0.0</v>
      </c>
      <c r="F35" s="10">
        <v>4.3</v>
      </c>
      <c r="G35" s="10">
        <v>355.0</v>
      </c>
    </row>
    <row r="36">
      <c r="A36" s="7" t="s">
        <v>55</v>
      </c>
      <c r="B36" s="7" t="s">
        <v>15</v>
      </c>
      <c r="C36" s="8">
        <v>199.0</v>
      </c>
      <c r="D36" s="8">
        <v>999.0</v>
      </c>
      <c r="E36" s="19">
        <v>0.8</v>
      </c>
      <c r="F36" s="10">
        <v>3.9</v>
      </c>
      <c r="G36" s="11">
        <v>1075.0</v>
      </c>
    </row>
    <row r="37">
      <c r="A37" s="7" t="s">
        <v>56</v>
      </c>
      <c r="B37" s="7" t="s">
        <v>15</v>
      </c>
      <c r="C37" s="8">
        <v>99.0</v>
      </c>
      <c r="D37" s="8">
        <v>666.66</v>
      </c>
      <c r="E37" s="19">
        <v>0.85</v>
      </c>
      <c r="F37" s="10">
        <v>3.9</v>
      </c>
      <c r="G37" s="11">
        <v>24871.0</v>
      </c>
    </row>
    <row r="38">
      <c r="A38" s="7" t="s">
        <v>57</v>
      </c>
      <c r="B38" s="7" t="s">
        <v>15</v>
      </c>
      <c r="C38" s="8">
        <v>899.0</v>
      </c>
      <c r="D38" s="8">
        <v>1900.0</v>
      </c>
      <c r="E38" s="19">
        <v>0.53</v>
      </c>
      <c r="F38" s="10">
        <v>4.4</v>
      </c>
      <c r="G38" s="11">
        <v>13552.0</v>
      </c>
    </row>
    <row r="39">
      <c r="A39" s="7" t="s">
        <v>58</v>
      </c>
      <c r="B39" s="7" t="s">
        <v>15</v>
      </c>
      <c r="C39" s="8">
        <v>199.0</v>
      </c>
      <c r="D39" s="8">
        <v>999.0</v>
      </c>
      <c r="E39" s="19">
        <v>0.8</v>
      </c>
      <c r="F39" s="10">
        <v>4.0</v>
      </c>
      <c r="G39" s="10">
        <v>576.0</v>
      </c>
    </row>
    <row r="40">
      <c r="A40" s="7" t="s">
        <v>59</v>
      </c>
      <c r="B40" s="7" t="s">
        <v>37</v>
      </c>
      <c r="C40" s="8">
        <v>32999.0</v>
      </c>
      <c r="D40" s="8">
        <v>45999.0</v>
      </c>
      <c r="E40" s="19">
        <v>0.28</v>
      </c>
      <c r="F40" s="10">
        <v>4.2</v>
      </c>
      <c r="G40" s="11">
        <v>7298.0</v>
      </c>
    </row>
    <row r="41">
      <c r="A41" s="7" t="s">
        <v>60</v>
      </c>
      <c r="B41" s="7" t="s">
        <v>15</v>
      </c>
      <c r="C41" s="8">
        <v>970.0</v>
      </c>
      <c r="D41" s="8">
        <v>1999.0</v>
      </c>
      <c r="E41" s="19">
        <v>0.51</v>
      </c>
      <c r="F41" s="10">
        <v>4.2</v>
      </c>
      <c r="G41" s="10">
        <v>462.0</v>
      </c>
    </row>
    <row r="42">
      <c r="A42" s="7" t="s">
        <v>61</v>
      </c>
      <c r="B42" s="7" t="s">
        <v>15</v>
      </c>
      <c r="C42" s="8">
        <v>209.0</v>
      </c>
      <c r="D42" s="8">
        <v>695.0</v>
      </c>
      <c r="E42" s="19">
        <v>0.7</v>
      </c>
      <c r="F42" s="10">
        <v>4.5</v>
      </c>
      <c r="G42" s="7" t="s">
        <v>62</v>
      </c>
    </row>
    <row r="43">
      <c r="A43" s="7" t="s">
        <v>63</v>
      </c>
      <c r="B43" s="7" t="s">
        <v>37</v>
      </c>
      <c r="C43" s="8">
        <v>19999.0</v>
      </c>
      <c r="D43" s="8">
        <v>34999.0</v>
      </c>
      <c r="E43" s="19">
        <v>0.43</v>
      </c>
      <c r="F43" s="10">
        <v>4.3</v>
      </c>
      <c r="G43" s="11">
        <v>27151.0</v>
      </c>
    </row>
    <row r="44">
      <c r="A44" s="7" t="s">
        <v>64</v>
      </c>
      <c r="B44" s="7" t="s">
        <v>15</v>
      </c>
      <c r="C44" s="8">
        <v>399.0</v>
      </c>
      <c r="D44" s="8">
        <v>1099.0</v>
      </c>
      <c r="E44" s="19">
        <v>0.64</v>
      </c>
      <c r="F44" s="10">
        <v>4.2</v>
      </c>
      <c r="G44" s="11">
        <v>24269.0</v>
      </c>
    </row>
    <row r="45">
      <c r="A45" s="7" t="s">
        <v>65</v>
      </c>
      <c r="B45" s="7" t="s">
        <v>25</v>
      </c>
      <c r="C45" s="8">
        <v>999.0</v>
      </c>
      <c r="D45" s="8">
        <v>1599.0</v>
      </c>
      <c r="E45" s="19">
        <v>0.38</v>
      </c>
      <c r="F45" s="10">
        <v>4.3</v>
      </c>
      <c r="G45" s="11">
        <v>12093.0</v>
      </c>
    </row>
    <row r="46">
      <c r="A46" s="7" t="s">
        <v>66</v>
      </c>
      <c r="B46" s="7" t="s">
        <v>15</v>
      </c>
      <c r="C46" s="8">
        <v>59.0</v>
      </c>
      <c r="D46" s="8">
        <v>199.0</v>
      </c>
      <c r="E46" s="19">
        <v>0.7</v>
      </c>
      <c r="F46" s="10">
        <v>4.0</v>
      </c>
      <c r="G46" s="11">
        <v>9378.0</v>
      </c>
    </row>
    <row r="47">
      <c r="A47" s="7" t="s">
        <v>67</v>
      </c>
      <c r="B47" s="7" t="s">
        <v>15</v>
      </c>
      <c r="C47" s="8">
        <v>333.0</v>
      </c>
      <c r="D47" s="8">
        <v>999.0</v>
      </c>
      <c r="E47" s="19">
        <v>0.67</v>
      </c>
      <c r="F47" s="10">
        <v>3.3</v>
      </c>
      <c r="G47" s="11">
        <v>9792.0</v>
      </c>
    </row>
    <row r="48">
      <c r="A48" s="7" t="s">
        <v>68</v>
      </c>
      <c r="B48" s="7" t="s">
        <v>25</v>
      </c>
      <c r="C48" s="8">
        <v>507.0</v>
      </c>
      <c r="D48" s="8">
        <v>1208.0</v>
      </c>
      <c r="E48" s="19">
        <v>0.58</v>
      </c>
      <c r="F48" s="10">
        <v>4.1</v>
      </c>
      <c r="G48" s="11">
        <v>8131.0</v>
      </c>
    </row>
    <row r="49">
      <c r="A49" s="7" t="s">
        <v>69</v>
      </c>
      <c r="B49" s="7" t="s">
        <v>31</v>
      </c>
      <c r="C49" s="8">
        <v>309.0</v>
      </c>
      <c r="D49" s="8">
        <v>475.0</v>
      </c>
      <c r="E49" s="19">
        <v>0.35</v>
      </c>
      <c r="F49" s="10">
        <v>4.4</v>
      </c>
      <c r="G49" s="7" t="s">
        <v>32</v>
      </c>
    </row>
    <row r="50">
      <c r="A50" s="7" t="s">
        <v>70</v>
      </c>
      <c r="B50" s="7" t="s">
        <v>71</v>
      </c>
      <c r="C50" s="8">
        <v>399.0</v>
      </c>
      <c r="D50" s="8">
        <v>999.0</v>
      </c>
      <c r="E50" s="19">
        <v>0.6</v>
      </c>
      <c r="F50" s="10">
        <v>3.6</v>
      </c>
      <c r="G50" s="10">
        <v>493.0</v>
      </c>
    </row>
    <row r="51">
      <c r="A51" s="7" t="s">
        <v>72</v>
      </c>
      <c r="B51" s="7" t="s">
        <v>15</v>
      </c>
      <c r="C51" s="8">
        <v>199.0</v>
      </c>
      <c r="D51" s="8">
        <v>395.0</v>
      </c>
      <c r="E51" s="19">
        <v>0.5</v>
      </c>
      <c r="F51" s="10">
        <v>4.2</v>
      </c>
      <c r="G51" s="11">
        <v>92595.0</v>
      </c>
    </row>
    <row r="52">
      <c r="A52" s="7" t="s">
        <v>73</v>
      </c>
      <c r="B52" s="7" t="s">
        <v>25</v>
      </c>
      <c r="C52" s="8">
        <v>1199.0</v>
      </c>
      <c r="D52" s="8">
        <v>2199.0</v>
      </c>
      <c r="E52" s="19">
        <v>0.45</v>
      </c>
      <c r="F52" s="10">
        <v>4.4</v>
      </c>
      <c r="G52" s="11">
        <v>24780.0</v>
      </c>
    </row>
    <row r="53">
      <c r="A53" s="7" t="s">
        <v>74</v>
      </c>
      <c r="B53" s="7" t="s">
        <v>15</v>
      </c>
      <c r="C53" s="8">
        <v>179.0</v>
      </c>
      <c r="D53" s="8">
        <v>500.0</v>
      </c>
      <c r="E53" s="19">
        <v>0.64</v>
      </c>
      <c r="F53" s="10">
        <v>4.2</v>
      </c>
      <c r="G53" s="11">
        <v>92595.0</v>
      </c>
    </row>
    <row r="54">
      <c r="A54" s="7" t="s">
        <v>75</v>
      </c>
      <c r="B54" s="7" t="s">
        <v>15</v>
      </c>
      <c r="C54" s="8">
        <v>799.0</v>
      </c>
      <c r="D54" s="8">
        <v>2100.0</v>
      </c>
      <c r="E54" s="19">
        <v>0.62</v>
      </c>
      <c r="F54" s="10">
        <v>4.3</v>
      </c>
      <c r="G54" s="11">
        <v>8188.0</v>
      </c>
    </row>
    <row r="55">
      <c r="A55" s="7" t="s">
        <v>76</v>
      </c>
      <c r="B55" s="7" t="s">
        <v>77</v>
      </c>
      <c r="C55" s="8">
        <v>6999.0</v>
      </c>
      <c r="D55" s="8">
        <v>12999.0</v>
      </c>
      <c r="E55" s="19">
        <v>0.46</v>
      </c>
      <c r="F55" s="10">
        <v>4.2</v>
      </c>
      <c r="G55" s="11">
        <v>4003.0</v>
      </c>
    </row>
    <row r="56">
      <c r="A56" s="7" t="s">
        <v>78</v>
      </c>
      <c r="B56" s="7" t="s">
        <v>15</v>
      </c>
      <c r="C56" s="8">
        <v>199.0</v>
      </c>
      <c r="D56" s="8">
        <v>349.0</v>
      </c>
      <c r="E56" s="19">
        <v>0.43</v>
      </c>
      <c r="F56" s="10">
        <v>4.1</v>
      </c>
      <c r="G56" s="10">
        <v>314.0</v>
      </c>
    </row>
    <row r="57">
      <c r="A57" s="7" t="s">
        <v>79</v>
      </c>
      <c r="B57" s="7" t="s">
        <v>71</v>
      </c>
      <c r="C57" s="8">
        <v>230.0</v>
      </c>
      <c r="D57" s="8">
        <v>499.0</v>
      </c>
      <c r="E57" s="19">
        <v>0.54</v>
      </c>
      <c r="F57" s="10">
        <v>3.7</v>
      </c>
      <c r="G57" s="11">
        <v>2960.0</v>
      </c>
    </row>
    <row r="58">
      <c r="A58" s="7" t="s">
        <v>80</v>
      </c>
      <c r="B58" s="7" t="s">
        <v>25</v>
      </c>
      <c r="C58" s="8">
        <v>649.0</v>
      </c>
      <c r="D58" s="8">
        <v>1399.0</v>
      </c>
      <c r="E58" s="19">
        <v>0.54</v>
      </c>
      <c r="F58" s="10">
        <v>4.2</v>
      </c>
      <c r="G58" s="7" t="s">
        <v>26</v>
      </c>
    </row>
    <row r="59">
      <c r="A59" s="7" t="s">
        <v>81</v>
      </c>
      <c r="B59" s="7" t="s">
        <v>37</v>
      </c>
      <c r="C59" s="8">
        <v>15999.0</v>
      </c>
      <c r="D59" s="8">
        <v>21999.0</v>
      </c>
      <c r="E59" s="19">
        <v>0.27</v>
      </c>
      <c r="F59" s="10">
        <v>4.2</v>
      </c>
      <c r="G59" s="11">
        <v>34899.0</v>
      </c>
    </row>
    <row r="60">
      <c r="A60" s="7" t="s">
        <v>82</v>
      </c>
      <c r="B60" s="7" t="s">
        <v>15</v>
      </c>
      <c r="C60" s="8">
        <v>348.0</v>
      </c>
      <c r="D60" s="8">
        <v>1499.0</v>
      </c>
      <c r="E60" s="19">
        <v>0.77</v>
      </c>
      <c r="F60" s="10">
        <v>4.2</v>
      </c>
      <c r="G60" s="10">
        <v>656.0</v>
      </c>
    </row>
    <row r="61">
      <c r="A61" s="7" t="s">
        <v>83</v>
      </c>
      <c r="B61" s="7" t="s">
        <v>15</v>
      </c>
      <c r="C61" s="8">
        <v>154.0</v>
      </c>
      <c r="D61" s="8">
        <v>349.0</v>
      </c>
      <c r="E61" s="19">
        <v>0.56</v>
      </c>
      <c r="F61" s="10">
        <v>4.3</v>
      </c>
      <c r="G61" s="11">
        <v>7064.0</v>
      </c>
    </row>
    <row r="62">
      <c r="A62" s="7" t="s">
        <v>84</v>
      </c>
      <c r="B62" s="7" t="s">
        <v>71</v>
      </c>
      <c r="C62" s="8">
        <v>179.0</v>
      </c>
      <c r="D62" s="8">
        <v>799.0</v>
      </c>
      <c r="E62" s="19">
        <v>0.78</v>
      </c>
      <c r="F62" s="10">
        <v>3.7</v>
      </c>
      <c r="G62" s="11">
        <v>2201.0</v>
      </c>
    </row>
    <row r="63">
      <c r="A63" s="7" t="s">
        <v>85</v>
      </c>
      <c r="B63" s="7" t="s">
        <v>37</v>
      </c>
      <c r="C63" s="8">
        <v>32990.0</v>
      </c>
      <c r="D63" s="8">
        <v>47900.0</v>
      </c>
      <c r="E63" s="19">
        <v>0.31</v>
      </c>
      <c r="F63" s="10">
        <v>4.3</v>
      </c>
      <c r="G63" s="11">
        <v>7109.0</v>
      </c>
    </row>
    <row r="64">
      <c r="A64" s="7" t="s">
        <v>86</v>
      </c>
      <c r="B64" s="7" t="s">
        <v>15</v>
      </c>
      <c r="C64" s="8">
        <v>139.0</v>
      </c>
      <c r="D64" s="8">
        <v>999.0</v>
      </c>
      <c r="E64" s="19">
        <v>0.86</v>
      </c>
      <c r="F64" s="10">
        <v>4.0</v>
      </c>
      <c r="G64" s="11">
        <v>1313.0</v>
      </c>
    </row>
    <row r="65">
      <c r="A65" s="7" t="s">
        <v>87</v>
      </c>
      <c r="B65" s="7" t="s">
        <v>15</v>
      </c>
      <c r="C65" s="8">
        <v>329.0</v>
      </c>
      <c r="D65" s="8">
        <v>845.0</v>
      </c>
      <c r="E65" s="19">
        <v>0.61</v>
      </c>
      <c r="F65" s="10">
        <v>4.2</v>
      </c>
      <c r="G65" s="11">
        <v>29746.0</v>
      </c>
    </row>
    <row r="66">
      <c r="A66" s="7" t="s">
        <v>88</v>
      </c>
      <c r="B66" s="7" t="s">
        <v>37</v>
      </c>
      <c r="C66" s="8">
        <v>13999.0</v>
      </c>
      <c r="D66" s="8">
        <v>24999.0</v>
      </c>
      <c r="E66" s="19">
        <v>0.44</v>
      </c>
      <c r="F66" s="10">
        <v>4.2</v>
      </c>
      <c r="G66" s="11">
        <v>45238.0</v>
      </c>
    </row>
    <row r="67">
      <c r="A67" s="7" t="s">
        <v>89</v>
      </c>
      <c r="B67" s="7" t="s">
        <v>31</v>
      </c>
      <c r="C67" s="8">
        <v>309.0</v>
      </c>
      <c r="D67" s="8">
        <v>1400.0</v>
      </c>
      <c r="E67" s="19">
        <v>0.78</v>
      </c>
      <c r="F67" s="10">
        <v>4.4</v>
      </c>
      <c r="G67" s="7" t="s">
        <v>32</v>
      </c>
    </row>
    <row r="68">
      <c r="A68" s="7" t="s">
        <v>90</v>
      </c>
      <c r="B68" s="7" t="s">
        <v>15</v>
      </c>
      <c r="C68" s="8">
        <v>263.0</v>
      </c>
      <c r="D68" s="8">
        <v>699.0</v>
      </c>
      <c r="E68" s="19">
        <v>0.62</v>
      </c>
      <c r="F68" s="10">
        <v>4.1</v>
      </c>
      <c r="G68" s="10">
        <v>450.0</v>
      </c>
    </row>
    <row r="69">
      <c r="A69" s="7" t="s">
        <v>91</v>
      </c>
      <c r="B69" s="7" t="s">
        <v>77</v>
      </c>
      <c r="C69" s="8">
        <v>7999.0</v>
      </c>
      <c r="D69" s="8">
        <v>14990.0</v>
      </c>
      <c r="E69" s="19">
        <v>0.47</v>
      </c>
      <c r="F69" s="10">
        <v>4.3</v>
      </c>
      <c r="G69" s="10">
        <v>457.0</v>
      </c>
    </row>
    <row r="70">
      <c r="A70" s="7" t="s">
        <v>92</v>
      </c>
      <c r="B70" s="7" t="s">
        <v>93</v>
      </c>
      <c r="C70" s="8">
        <v>1599.0</v>
      </c>
      <c r="D70" s="8">
        <v>2999.0</v>
      </c>
      <c r="E70" s="19">
        <v>0.47</v>
      </c>
      <c r="F70" s="10">
        <v>4.2</v>
      </c>
      <c r="G70" s="11">
        <v>2727.0</v>
      </c>
    </row>
    <row r="71">
      <c r="A71" s="7" t="s">
        <v>94</v>
      </c>
      <c r="B71" s="7" t="s">
        <v>15</v>
      </c>
      <c r="C71" s="8">
        <v>219.0</v>
      </c>
      <c r="D71" s="8">
        <v>700.0</v>
      </c>
      <c r="E71" s="19">
        <v>0.69</v>
      </c>
      <c r="F71" s="10">
        <v>4.3</v>
      </c>
      <c r="G71" s="11">
        <v>20053.0</v>
      </c>
    </row>
    <row r="72">
      <c r="A72" s="7" t="s">
        <v>95</v>
      </c>
      <c r="B72" s="7" t="s">
        <v>15</v>
      </c>
      <c r="C72" s="8">
        <v>349.0</v>
      </c>
      <c r="D72" s="8">
        <v>899.0</v>
      </c>
      <c r="E72" s="19">
        <v>0.61</v>
      </c>
      <c r="F72" s="10">
        <v>4.5</v>
      </c>
      <c r="G72" s="10">
        <v>149.0</v>
      </c>
    </row>
    <row r="73">
      <c r="A73" s="7" t="s">
        <v>96</v>
      </c>
      <c r="B73" s="7" t="s">
        <v>15</v>
      </c>
      <c r="C73" s="8">
        <v>349.0</v>
      </c>
      <c r="D73" s="8">
        <v>599.0</v>
      </c>
      <c r="E73" s="19">
        <v>0.42</v>
      </c>
      <c r="F73" s="10">
        <v>4.1</v>
      </c>
      <c r="G73" s="10">
        <v>210.0</v>
      </c>
    </row>
    <row r="74">
      <c r="A74" s="7" t="s">
        <v>97</v>
      </c>
      <c r="B74" s="7" t="s">
        <v>37</v>
      </c>
      <c r="C74" s="8">
        <v>26999.0</v>
      </c>
      <c r="D74" s="8">
        <v>42999.0</v>
      </c>
      <c r="E74" s="19">
        <v>0.37</v>
      </c>
      <c r="F74" s="10">
        <v>4.2</v>
      </c>
      <c r="G74" s="11">
        <v>45238.0</v>
      </c>
    </row>
    <row r="75">
      <c r="A75" s="7" t="s">
        <v>98</v>
      </c>
      <c r="B75" s="7" t="s">
        <v>15</v>
      </c>
      <c r="C75" s="8">
        <v>115.0</v>
      </c>
      <c r="D75" s="8">
        <v>499.0</v>
      </c>
      <c r="E75" s="19">
        <v>0.77</v>
      </c>
      <c r="F75" s="10">
        <v>4.0</v>
      </c>
      <c r="G75" s="11">
        <v>7732.0</v>
      </c>
    </row>
    <row r="76">
      <c r="A76" s="7" t="s">
        <v>99</v>
      </c>
      <c r="B76" s="7" t="s">
        <v>15</v>
      </c>
      <c r="C76" s="8">
        <v>399.0</v>
      </c>
      <c r="D76" s="8">
        <v>999.0</v>
      </c>
      <c r="E76" s="19">
        <v>0.6</v>
      </c>
      <c r="F76" s="10">
        <v>4.1</v>
      </c>
      <c r="G76" s="11">
        <v>1780.0</v>
      </c>
    </row>
    <row r="77">
      <c r="A77" s="7" t="s">
        <v>100</v>
      </c>
      <c r="B77" s="7" t="s">
        <v>15</v>
      </c>
      <c r="C77" s="8">
        <v>199.0</v>
      </c>
      <c r="D77" s="8">
        <v>499.0</v>
      </c>
      <c r="E77" s="19">
        <v>0.6</v>
      </c>
      <c r="F77" s="10">
        <v>4.1</v>
      </c>
      <c r="G77" s="10">
        <v>602.0</v>
      </c>
    </row>
    <row r="78">
      <c r="A78" s="7" t="s">
        <v>101</v>
      </c>
      <c r="B78" s="7" t="s">
        <v>15</v>
      </c>
      <c r="C78" s="8">
        <v>179.0</v>
      </c>
      <c r="D78" s="8">
        <v>399.0</v>
      </c>
      <c r="E78" s="19">
        <v>0.55</v>
      </c>
      <c r="F78" s="10">
        <v>4.0</v>
      </c>
      <c r="G78" s="11">
        <v>1423.0</v>
      </c>
    </row>
    <row r="79">
      <c r="A79" s="7" t="s">
        <v>102</v>
      </c>
      <c r="B79" s="7" t="s">
        <v>37</v>
      </c>
      <c r="C79" s="8">
        <v>10901.0</v>
      </c>
      <c r="D79" s="8">
        <v>30990.0</v>
      </c>
      <c r="E79" s="19">
        <v>0.65</v>
      </c>
      <c r="F79" s="10">
        <v>4.1</v>
      </c>
      <c r="G79" s="10">
        <v>398.0</v>
      </c>
    </row>
    <row r="80">
      <c r="A80" s="7" t="s">
        <v>103</v>
      </c>
      <c r="B80" s="7" t="s">
        <v>15</v>
      </c>
      <c r="C80" s="8">
        <v>209.0</v>
      </c>
      <c r="D80" s="8">
        <v>499.0</v>
      </c>
      <c r="E80" s="19">
        <v>0.58</v>
      </c>
      <c r="F80" s="10">
        <v>3.9</v>
      </c>
      <c r="G80" s="10">
        <v>536.0</v>
      </c>
    </row>
    <row r="81">
      <c r="A81" s="7" t="s">
        <v>104</v>
      </c>
      <c r="B81" s="7" t="s">
        <v>71</v>
      </c>
      <c r="C81" s="8">
        <v>1434.0</v>
      </c>
      <c r="D81" s="8">
        <v>3999.0</v>
      </c>
      <c r="E81" s="19">
        <v>0.64</v>
      </c>
      <c r="F81" s="10">
        <v>4.0</v>
      </c>
      <c r="G81" s="10">
        <v>32.0</v>
      </c>
    </row>
    <row r="82">
      <c r="A82" s="7" t="s">
        <v>105</v>
      </c>
      <c r="B82" s="7" t="s">
        <v>15</v>
      </c>
      <c r="C82" s="8">
        <v>399.0</v>
      </c>
      <c r="D82" s="8">
        <v>1099.0</v>
      </c>
      <c r="E82" s="19">
        <v>0.64</v>
      </c>
      <c r="F82" s="10">
        <v>4.2</v>
      </c>
      <c r="G82" s="11">
        <v>24269.0</v>
      </c>
    </row>
    <row r="83">
      <c r="A83" s="7" t="s">
        <v>106</v>
      </c>
      <c r="B83" s="7" t="s">
        <v>15</v>
      </c>
      <c r="C83" s="8">
        <v>139.0</v>
      </c>
      <c r="D83" s="8">
        <v>249.0</v>
      </c>
      <c r="E83" s="19">
        <v>0.44</v>
      </c>
      <c r="F83" s="10">
        <v>4.0</v>
      </c>
      <c r="G83" s="11">
        <v>9378.0</v>
      </c>
    </row>
    <row r="84">
      <c r="A84" s="7" t="s">
        <v>107</v>
      </c>
      <c r="B84" s="7" t="s">
        <v>37</v>
      </c>
      <c r="C84" s="8">
        <v>7299.0</v>
      </c>
      <c r="D84" s="8">
        <v>19125.0</v>
      </c>
      <c r="E84" s="19">
        <v>0.62</v>
      </c>
      <c r="F84" s="10">
        <v>3.4</v>
      </c>
      <c r="G84" s="10">
        <v>902.0</v>
      </c>
    </row>
    <row r="85">
      <c r="A85" s="7" t="s">
        <v>108</v>
      </c>
      <c r="B85" s="7" t="s">
        <v>15</v>
      </c>
      <c r="C85" s="8">
        <v>299.0</v>
      </c>
      <c r="D85" s="8">
        <v>799.0</v>
      </c>
      <c r="E85" s="19">
        <v>0.63</v>
      </c>
      <c r="F85" s="10">
        <v>4.4</v>
      </c>
      <c r="G85" s="11">
        <v>28791.0</v>
      </c>
    </row>
    <row r="86">
      <c r="A86" s="7" t="s">
        <v>109</v>
      </c>
      <c r="B86" s="7" t="s">
        <v>15</v>
      </c>
      <c r="C86" s="8">
        <v>325.0</v>
      </c>
      <c r="D86" s="8">
        <v>1299.0</v>
      </c>
      <c r="E86" s="19">
        <v>0.75</v>
      </c>
      <c r="F86" s="10">
        <v>4.2</v>
      </c>
      <c r="G86" s="11">
        <v>10576.0</v>
      </c>
    </row>
    <row r="87">
      <c r="A87" s="7" t="s">
        <v>110</v>
      </c>
      <c r="B87" s="7" t="s">
        <v>37</v>
      </c>
      <c r="C87" s="8">
        <v>29999.0</v>
      </c>
      <c r="D87" s="8">
        <v>39999.0</v>
      </c>
      <c r="E87" s="19">
        <v>0.25</v>
      </c>
      <c r="F87" s="10">
        <v>4.2</v>
      </c>
      <c r="G87" s="11">
        <v>7298.0</v>
      </c>
    </row>
    <row r="88">
      <c r="A88" s="7" t="s">
        <v>111</v>
      </c>
      <c r="B88" s="7" t="s">
        <v>37</v>
      </c>
      <c r="C88" s="8">
        <v>27999.0</v>
      </c>
      <c r="D88" s="8">
        <v>40990.0</v>
      </c>
      <c r="E88" s="19">
        <v>0.32</v>
      </c>
      <c r="F88" s="10">
        <v>4.3</v>
      </c>
      <c r="G88" s="11">
        <v>4703.0</v>
      </c>
    </row>
    <row r="89">
      <c r="A89" s="7" t="s">
        <v>112</v>
      </c>
      <c r="B89" s="7" t="s">
        <v>37</v>
      </c>
      <c r="C89" s="8">
        <v>30990.0</v>
      </c>
      <c r="D89" s="8">
        <v>52900.0</v>
      </c>
      <c r="E89" s="19">
        <v>0.41</v>
      </c>
      <c r="F89" s="10">
        <v>4.3</v>
      </c>
      <c r="G89" s="11">
        <v>7109.0</v>
      </c>
    </row>
    <row r="90">
      <c r="A90" s="7" t="s">
        <v>113</v>
      </c>
      <c r="B90" s="7" t="s">
        <v>15</v>
      </c>
      <c r="C90" s="8">
        <v>199.0</v>
      </c>
      <c r="D90" s="8">
        <v>999.0</v>
      </c>
      <c r="E90" s="19">
        <v>0.8</v>
      </c>
      <c r="F90" s="10">
        <v>4.5</v>
      </c>
      <c r="G90" s="10">
        <v>127.0</v>
      </c>
    </row>
    <row r="91">
      <c r="A91" s="7" t="s">
        <v>114</v>
      </c>
      <c r="B91" s="7" t="s">
        <v>15</v>
      </c>
      <c r="C91" s="8">
        <v>649.0</v>
      </c>
      <c r="D91" s="8">
        <v>1999.0</v>
      </c>
      <c r="E91" s="19">
        <v>0.68</v>
      </c>
      <c r="F91" s="10">
        <v>4.2</v>
      </c>
      <c r="G91" s="11">
        <v>24269.0</v>
      </c>
    </row>
    <row r="92">
      <c r="A92" s="7" t="s">
        <v>115</v>
      </c>
      <c r="B92" s="7" t="s">
        <v>25</v>
      </c>
      <c r="C92" s="8">
        <v>269.0</v>
      </c>
      <c r="D92" s="8">
        <v>800.0</v>
      </c>
      <c r="E92" s="19">
        <v>0.66</v>
      </c>
      <c r="F92" s="10">
        <v>3.6</v>
      </c>
      <c r="G92" s="11">
        <v>10134.0</v>
      </c>
    </row>
    <row r="93">
      <c r="A93" s="7" t="s">
        <v>116</v>
      </c>
      <c r="B93" s="7" t="s">
        <v>37</v>
      </c>
      <c r="C93" s="8">
        <v>24999.0</v>
      </c>
      <c r="D93" s="8">
        <v>31999.0</v>
      </c>
      <c r="E93" s="19">
        <v>0.22</v>
      </c>
      <c r="F93" s="10">
        <v>4.2</v>
      </c>
      <c r="G93" s="11">
        <v>34899.0</v>
      </c>
    </row>
    <row r="94">
      <c r="A94" s="7" t="s">
        <v>117</v>
      </c>
      <c r="B94" s="7" t="s">
        <v>15</v>
      </c>
      <c r="C94" s="8">
        <v>299.0</v>
      </c>
      <c r="D94" s="8">
        <v>699.0</v>
      </c>
      <c r="E94" s="19">
        <v>0.57</v>
      </c>
      <c r="F94" s="10">
        <v>4.2</v>
      </c>
      <c r="G94" s="11">
        <v>94363.0</v>
      </c>
    </row>
    <row r="95">
      <c r="A95" s="7" t="s">
        <v>118</v>
      </c>
      <c r="B95" s="7" t="s">
        <v>15</v>
      </c>
      <c r="C95" s="8">
        <v>199.0</v>
      </c>
      <c r="D95" s="8">
        <v>999.0</v>
      </c>
      <c r="E95" s="19">
        <v>0.8</v>
      </c>
      <c r="F95" s="10">
        <v>4.1</v>
      </c>
      <c r="G95" s="10">
        <v>425.0</v>
      </c>
    </row>
    <row r="96">
      <c r="A96" s="7" t="s">
        <v>119</v>
      </c>
      <c r="B96" s="7" t="s">
        <v>37</v>
      </c>
      <c r="C96" s="8">
        <v>18990.0</v>
      </c>
      <c r="D96" s="8">
        <v>40990.0</v>
      </c>
      <c r="E96" s="19">
        <v>0.54</v>
      </c>
      <c r="F96" s="10">
        <v>4.2</v>
      </c>
      <c r="G96" s="11">
        <v>6659.0</v>
      </c>
    </row>
    <row r="97">
      <c r="A97" s="7" t="s">
        <v>120</v>
      </c>
      <c r="B97" s="7" t="s">
        <v>25</v>
      </c>
      <c r="C97" s="8">
        <v>290.0</v>
      </c>
      <c r="D97" s="8">
        <v>349.0</v>
      </c>
      <c r="E97" s="19">
        <v>0.17</v>
      </c>
      <c r="F97" s="10">
        <v>3.7</v>
      </c>
      <c r="G97" s="11">
        <v>1977.0</v>
      </c>
    </row>
    <row r="98">
      <c r="A98" s="7" t="s">
        <v>121</v>
      </c>
      <c r="B98" s="7" t="s">
        <v>71</v>
      </c>
      <c r="C98" s="8">
        <v>249.0</v>
      </c>
      <c r="D98" s="8">
        <v>799.0</v>
      </c>
      <c r="E98" s="19">
        <v>0.69</v>
      </c>
      <c r="F98" s="10">
        <v>3.8</v>
      </c>
      <c r="G98" s="11">
        <v>1079.0</v>
      </c>
    </row>
    <row r="99">
      <c r="A99" s="7" t="s">
        <v>122</v>
      </c>
      <c r="B99" s="7" t="s">
        <v>15</v>
      </c>
      <c r="C99" s="8">
        <v>345.0</v>
      </c>
      <c r="D99" s="8">
        <v>999.0</v>
      </c>
      <c r="E99" s="19">
        <v>0.65</v>
      </c>
      <c r="F99" s="10">
        <v>3.7</v>
      </c>
      <c r="G99" s="11">
        <v>1097.0</v>
      </c>
    </row>
    <row r="100">
      <c r="A100" s="7" t="s">
        <v>123</v>
      </c>
      <c r="B100" s="7" t="s">
        <v>25</v>
      </c>
      <c r="C100" s="8">
        <v>1099.0</v>
      </c>
      <c r="D100" s="8">
        <v>1899.0</v>
      </c>
      <c r="E100" s="19">
        <v>0.42</v>
      </c>
      <c r="F100" s="10">
        <v>4.5</v>
      </c>
      <c r="G100" s="11">
        <v>22420.0</v>
      </c>
    </row>
    <row r="101">
      <c r="A101" s="7" t="s">
        <v>124</v>
      </c>
      <c r="B101" s="7" t="s">
        <v>15</v>
      </c>
      <c r="C101" s="8">
        <v>719.0</v>
      </c>
      <c r="D101" s="8">
        <v>1499.0</v>
      </c>
      <c r="E101" s="19">
        <v>0.52</v>
      </c>
      <c r="F101" s="10">
        <v>4.1</v>
      </c>
      <c r="G101" s="11">
        <v>1045.0</v>
      </c>
    </row>
    <row r="102">
      <c r="A102" s="7" t="s">
        <v>125</v>
      </c>
      <c r="B102" s="7" t="s">
        <v>71</v>
      </c>
      <c r="C102" s="8">
        <v>349.0</v>
      </c>
      <c r="D102" s="8">
        <v>1499.0</v>
      </c>
      <c r="E102" s="19">
        <v>0.77</v>
      </c>
      <c r="F102" s="10">
        <v>4.3</v>
      </c>
      <c r="G102" s="11">
        <v>4145.0</v>
      </c>
    </row>
    <row r="103">
      <c r="A103" s="7" t="s">
        <v>126</v>
      </c>
      <c r="B103" s="7" t="s">
        <v>15</v>
      </c>
      <c r="C103" s="8">
        <v>849.0</v>
      </c>
      <c r="D103" s="8">
        <v>1809.0</v>
      </c>
      <c r="E103" s="19">
        <v>0.53</v>
      </c>
      <c r="F103" s="10">
        <v>4.3</v>
      </c>
      <c r="G103" s="11">
        <v>6547.0</v>
      </c>
    </row>
    <row r="104">
      <c r="A104" s="7" t="s">
        <v>127</v>
      </c>
      <c r="B104" s="7" t="s">
        <v>71</v>
      </c>
      <c r="C104" s="8">
        <v>299.0</v>
      </c>
      <c r="D104" s="8">
        <v>899.0</v>
      </c>
      <c r="E104" s="19">
        <v>0.67</v>
      </c>
      <c r="F104" s="10">
        <v>4.0</v>
      </c>
      <c r="G104" s="11">
        <v>1588.0</v>
      </c>
    </row>
    <row r="105">
      <c r="A105" s="7" t="s">
        <v>128</v>
      </c>
      <c r="B105" s="7" t="s">
        <v>37</v>
      </c>
      <c r="C105" s="8">
        <v>21999.0</v>
      </c>
      <c r="D105" s="8">
        <v>29999.0</v>
      </c>
      <c r="E105" s="19">
        <v>0.27</v>
      </c>
      <c r="F105" s="10">
        <v>4.2</v>
      </c>
      <c r="G105" s="11">
        <v>32840.0</v>
      </c>
    </row>
    <row r="106">
      <c r="A106" s="7" t="s">
        <v>129</v>
      </c>
      <c r="B106" s="7" t="s">
        <v>15</v>
      </c>
      <c r="C106" s="8">
        <v>349.0</v>
      </c>
      <c r="D106" s="8">
        <v>999.0</v>
      </c>
      <c r="E106" s="19">
        <v>0.65</v>
      </c>
      <c r="F106" s="10">
        <v>4.2</v>
      </c>
      <c r="G106" s="11">
        <v>13120.0</v>
      </c>
    </row>
    <row r="107">
      <c r="A107" s="7" t="s">
        <v>130</v>
      </c>
      <c r="B107" s="7" t="s">
        <v>15</v>
      </c>
      <c r="C107" s="8">
        <v>399.0</v>
      </c>
      <c r="D107" s="8">
        <v>999.0</v>
      </c>
      <c r="E107" s="19">
        <v>0.6</v>
      </c>
      <c r="F107" s="10">
        <v>4.3</v>
      </c>
      <c r="G107" s="11">
        <v>2806.0</v>
      </c>
    </row>
    <row r="108">
      <c r="A108" s="7" t="s">
        <v>131</v>
      </c>
      <c r="B108" s="7" t="s">
        <v>15</v>
      </c>
      <c r="C108" s="8">
        <v>449.0</v>
      </c>
      <c r="D108" s="8">
        <v>1299.0</v>
      </c>
      <c r="E108" s="19">
        <v>0.65</v>
      </c>
      <c r="F108" s="10">
        <v>4.2</v>
      </c>
      <c r="G108" s="11">
        <v>24269.0</v>
      </c>
    </row>
    <row r="109">
      <c r="A109" s="7" t="s">
        <v>132</v>
      </c>
      <c r="B109" s="7" t="s">
        <v>15</v>
      </c>
      <c r="C109" s="8">
        <v>299.0</v>
      </c>
      <c r="D109" s="8">
        <v>999.0</v>
      </c>
      <c r="E109" s="19">
        <v>0.7</v>
      </c>
      <c r="F109" s="10">
        <v>4.3</v>
      </c>
      <c r="G109" s="10">
        <v>766.0</v>
      </c>
    </row>
    <row r="110">
      <c r="A110" s="7" t="s">
        <v>133</v>
      </c>
      <c r="B110" s="7" t="s">
        <v>37</v>
      </c>
      <c r="C110" s="8">
        <v>37999.0</v>
      </c>
      <c r="D110" s="8">
        <v>65000.0</v>
      </c>
      <c r="E110" s="19">
        <v>0.42</v>
      </c>
      <c r="F110" s="10">
        <v>4.3</v>
      </c>
      <c r="G110" s="11">
        <v>3587.0</v>
      </c>
    </row>
    <row r="111">
      <c r="A111" s="7" t="s">
        <v>134</v>
      </c>
      <c r="B111" s="7" t="s">
        <v>15</v>
      </c>
      <c r="C111" s="8">
        <v>99.0</v>
      </c>
      <c r="D111" s="8">
        <v>800.0</v>
      </c>
      <c r="E111" s="19">
        <v>0.88</v>
      </c>
      <c r="F111" s="10">
        <v>3.9</v>
      </c>
      <c r="G111" s="11">
        <v>24871.0</v>
      </c>
    </row>
    <row r="112">
      <c r="A112" s="7" t="s">
        <v>135</v>
      </c>
      <c r="B112" s="7" t="s">
        <v>77</v>
      </c>
      <c r="C112" s="8">
        <v>7390.0</v>
      </c>
      <c r="D112" s="8">
        <v>20000.0</v>
      </c>
      <c r="E112" s="19">
        <v>0.63</v>
      </c>
      <c r="F112" s="10">
        <v>4.1</v>
      </c>
      <c r="G112" s="11">
        <v>2581.0</v>
      </c>
    </row>
    <row r="113">
      <c r="A113" s="7" t="s">
        <v>136</v>
      </c>
      <c r="B113" s="7" t="s">
        <v>15</v>
      </c>
      <c r="C113" s="8">
        <v>273.1</v>
      </c>
      <c r="D113" s="8">
        <v>999.0</v>
      </c>
      <c r="E113" s="19">
        <v>0.73</v>
      </c>
      <c r="F113" s="10">
        <v>4.3</v>
      </c>
      <c r="G113" s="11">
        <v>20850.0</v>
      </c>
    </row>
    <row r="114">
      <c r="A114" s="7" t="s">
        <v>137</v>
      </c>
      <c r="B114" s="7" t="s">
        <v>37</v>
      </c>
      <c r="C114" s="8">
        <v>15990.0</v>
      </c>
      <c r="D114" s="8">
        <v>23990.0</v>
      </c>
      <c r="E114" s="19">
        <v>0.33</v>
      </c>
      <c r="F114" s="10">
        <v>4.3</v>
      </c>
      <c r="G114" s="11">
        <v>1035.0</v>
      </c>
    </row>
    <row r="115">
      <c r="A115" s="7" t="s">
        <v>138</v>
      </c>
      <c r="B115" s="7" t="s">
        <v>15</v>
      </c>
      <c r="C115" s="8">
        <v>399.0</v>
      </c>
      <c r="D115" s="8">
        <v>999.0</v>
      </c>
      <c r="E115" s="19">
        <v>0.6</v>
      </c>
      <c r="F115" s="10">
        <v>4.1</v>
      </c>
      <c r="G115" s="11">
        <v>1780.0</v>
      </c>
    </row>
    <row r="116">
      <c r="A116" s="7" t="s">
        <v>139</v>
      </c>
      <c r="B116" s="7" t="s">
        <v>71</v>
      </c>
      <c r="C116" s="8">
        <v>399.0</v>
      </c>
      <c r="D116" s="8">
        <v>1999.0</v>
      </c>
      <c r="E116" s="19">
        <v>0.8</v>
      </c>
      <c r="F116" s="10">
        <v>4.5</v>
      </c>
      <c r="G116" s="10">
        <v>505.0</v>
      </c>
    </row>
    <row r="117">
      <c r="A117" s="7" t="s">
        <v>140</v>
      </c>
      <c r="B117" s="7" t="s">
        <v>15</v>
      </c>
      <c r="C117" s="8">
        <v>210.0</v>
      </c>
      <c r="D117" s="8">
        <v>399.0</v>
      </c>
      <c r="E117" s="19">
        <v>0.47</v>
      </c>
      <c r="F117" s="10">
        <v>4.1</v>
      </c>
      <c r="G117" s="11">
        <v>1717.0</v>
      </c>
    </row>
    <row r="118">
      <c r="A118" s="7" t="s">
        <v>141</v>
      </c>
      <c r="B118" s="7" t="s">
        <v>71</v>
      </c>
      <c r="C118" s="8">
        <v>1299.0</v>
      </c>
      <c r="D118" s="8">
        <v>1999.0</v>
      </c>
      <c r="E118" s="19">
        <v>0.35</v>
      </c>
      <c r="F118" s="10">
        <v>3.6</v>
      </c>
      <c r="G118" s="10">
        <v>590.0</v>
      </c>
    </row>
    <row r="119">
      <c r="A119" s="7" t="s">
        <v>142</v>
      </c>
      <c r="B119" s="7" t="s">
        <v>15</v>
      </c>
      <c r="C119" s="8">
        <v>347.0</v>
      </c>
      <c r="D119" s="8">
        <v>999.0</v>
      </c>
      <c r="E119" s="19">
        <v>0.65</v>
      </c>
      <c r="F119" s="10">
        <v>3.5</v>
      </c>
      <c r="G119" s="11">
        <v>1121.0</v>
      </c>
    </row>
    <row r="120">
      <c r="A120" s="7" t="s">
        <v>143</v>
      </c>
      <c r="B120" s="7" t="s">
        <v>15</v>
      </c>
      <c r="C120" s="8">
        <v>149.0</v>
      </c>
      <c r="D120" s="8">
        <v>999.0</v>
      </c>
      <c r="E120" s="19">
        <v>0.85</v>
      </c>
      <c r="F120" s="10">
        <v>4.0</v>
      </c>
      <c r="G120" s="11">
        <v>1313.0</v>
      </c>
    </row>
    <row r="121">
      <c r="A121" s="7" t="s">
        <v>144</v>
      </c>
      <c r="B121" s="7" t="s">
        <v>15</v>
      </c>
      <c r="C121" s="8">
        <v>228.0</v>
      </c>
      <c r="D121" s="8">
        <v>899.0</v>
      </c>
      <c r="E121" s="19">
        <v>0.75</v>
      </c>
      <c r="F121" s="10">
        <v>3.8</v>
      </c>
      <c r="G121" s="10">
        <v>132.0</v>
      </c>
    </row>
    <row r="122">
      <c r="A122" s="7" t="s">
        <v>145</v>
      </c>
      <c r="B122" s="7" t="s">
        <v>15</v>
      </c>
      <c r="C122" s="8">
        <v>1599.0</v>
      </c>
      <c r="D122" s="8">
        <v>1999.0</v>
      </c>
      <c r="E122" s="19">
        <v>0.2</v>
      </c>
      <c r="F122" s="10">
        <v>4.4</v>
      </c>
      <c r="G122" s="11">
        <v>1951.0</v>
      </c>
    </row>
    <row r="123">
      <c r="A123" s="7" t="s">
        <v>146</v>
      </c>
      <c r="B123" s="7" t="s">
        <v>71</v>
      </c>
      <c r="C123" s="8">
        <v>1499.0</v>
      </c>
      <c r="D123" s="8">
        <v>3999.0</v>
      </c>
      <c r="E123" s="19">
        <v>0.63</v>
      </c>
      <c r="F123" s="10">
        <v>3.7</v>
      </c>
      <c r="G123" s="10">
        <v>37.0</v>
      </c>
    </row>
    <row r="124">
      <c r="A124" s="7" t="s">
        <v>147</v>
      </c>
      <c r="B124" s="7" t="s">
        <v>37</v>
      </c>
      <c r="C124" s="8">
        <v>8499.0</v>
      </c>
      <c r="D124" s="8">
        <v>15999.0</v>
      </c>
      <c r="E124" s="19">
        <v>0.47</v>
      </c>
      <c r="F124" s="10">
        <v>4.3</v>
      </c>
      <c r="G124" s="10">
        <v>592.0</v>
      </c>
    </row>
    <row r="125">
      <c r="A125" s="7" t="s">
        <v>148</v>
      </c>
      <c r="B125" s="7" t="s">
        <v>37</v>
      </c>
      <c r="C125" s="8">
        <v>20990.0</v>
      </c>
      <c r="D125" s="8">
        <v>44990.0</v>
      </c>
      <c r="E125" s="19">
        <v>0.53</v>
      </c>
      <c r="F125" s="10">
        <v>4.1</v>
      </c>
      <c r="G125" s="11">
        <v>1259.0</v>
      </c>
    </row>
    <row r="126">
      <c r="A126" s="7" t="s">
        <v>149</v>
      </c>
      <c r="B126" s="7" t="s">
        <v>37</v>
      </c>
      <c r="C126" s="8">
        <v>32999.0</v>
      </c>
      <c r="D126" s="8">
        <v>44999.0</v>
      </c>
      <c r="E126" s="19">
        <v>0.27</v>
      </c>
      <c r="F126" s="10">
        <v>4.2</v>
      </c>
      <c r="G126" s="11">
        <v>45238.0</v>
      </c>
    </row>
    <row r="127">
      <c r="A127" s="7" t="s">
        <v>150</v>
      </c>
      <c r="B127" s="7" t="s">
        <v>31</v>
      </c>
      <c r="C127" s="8">
        <v>799.0</v>
      </c>
      <c r="D127" s="8">
        <v>1700.0</v>
      </c>
      <c r="E127" s="19">
        <v>0.53</v>
      </c>
      <c r="F127" s="10">
        <v>4.1</v>
      </c>
      <c r="G127" s="11">
        <v>28638.0</v>
      </c>
    </row>
    <row r="128">
      <c r="A128" s="7" t="s">
        <v>151</v>
      </c>
      <c r="B128" s="7" t="s">
        <v>31</v>
      </c>
      <c r="C128" s="8">
        <v>229.0</v>
      </c>
      <c r="D128" s="8">
        <v>595.0</v>
      </c>
      <c r="E128" s="19">
        <v>0.62</v>
      </c>
      <c r="F128" s="10">
        <v>4.3</v>
      </c>
      <c r="G128" s="11">
        <v>12835.0</v>
      </c>
    </row>
    <row r="129">
      <c r="A129" s="7" t="s">
        <v>152</v>
      </c>
      <c r="B129" s="7" t="s">
        <v>37</v>
      </c>
      <c r="C129" s="8">
        <v>9999.0</v>
      </c>
      <c r="D129" s="8">
        <v>27990.0</v>
      </c>
      <c r="E129" s="19">
        <v>0.64</v>
      </c>
      <c r="F129" s="10">
        <v>4.2</v>
      </c>
      <c r="G129" s="11">
        <v>1269.0</v>
      </c>
    </row>
    <row r="130">
      <c r="A130" s="7" t="s">
        <v>153</v>
      </c>
      <c r="B130" s="7" t="s">
        <v>71</v>
      </c>
      <c r="C130" s="8">
        <v>349.0</v>
      </c>
      <c r="D130" s="8">
        <v>599.0</v>
      </c>
      <c r="E130" s="19">
        <v>0.42</v>
      </c>
      <c r="F130" s="10">
        <v>4.2</v>
      </c>
      <c r="G130" s="10">
        <v>284.0</v>
      </c>
    </row>
    <row r="131">
      <c r="A131" s="7" t="s">
        <v>154</v>
      </c>
      <c r="B131" s="7" t="s">
        <v>155</v>
      </c>
      <c r="C131" s="8">
        <v>489.0</v>
      </c>
      <c r="D131" s="8">
        <v>1200.0</v>
      </c>
      <c r="E131" s="19">
        <v>0.59</v>
      </c>
      <c r="F131" s="10">
        <v>4.4</v>
      </c>
      <c r="G131" s="11">
        <v>69538.0</v>
      </c>
    </row>
    <row r="132">
      <c r="A132" s="7" t="s">
        <v>156</v>
      </c>
      <c r="B132" s="7" t="s">
        <v>37</v>
      </c>
      <c r="C132" s="8">
        <v>23999.0</v>
      </c>
      <c r="D132" s="8">
        <v>34990.0</v>
      </c>
      <c r="E132" s="19">
        <v>0.31</v>
      </c>
      <c r="F132" s="10">
        <v>4.3</v>
      </c>
      <c r="G132" s="11">
        <v>4703.0</v>
      </c>
    </row>
    <row r="133">
      <c r="A133" s="7" t="s">
        <v>157</v>
      </c>
      <c r="B133" s="7" t="s">
        <v>15</v>
      </c>
      <c r="C133" s="8">
        <v>399.0</v>
      </c>
      <c r="D133" s="8">
        <v>999.0</v>
      </c>
      <c r="E133" s="19">
        <v>0.6</v>
      </c>
      <c r="F133" s="10">
        <v>4.3</v>
      </c>
      <c r="G133" s="11">
        <v>2806.0</v>
      </c>
    </row>
    <row r="134">
      <c r="A134" s="7" t="s">
        <v>158</v>
      </c>
      <c r="B134" s="7" t="s">
        <v>159</v>
      </c>
      <c r="C134" s="8">
        <v>349.0</v>
      </c>
      <c r="D134" s="8">
        <v>1299.0</v>
      </c>
      <c r="E134" s="19">
        <v>0.73</v>
      </c>
      <c r="F134" s="10">
        <v>4.0</v>
      </c>
      <c r="G134" s="11">
        <v>3295.0</v>
      </c>
    </row>
    <row r="135">
      <c r="A135" s="7" t="s">
        <v>160</v>
      </c>
      <c r="B135" s="7" t="s">
        <v>15</v>
      </c>
      <c r="C135" s="8">
        <v>179.0</v>
      </c>
      <c r="D135" s="8">
        <v>299.0</v>
      </c>
      <c r="E135" s="19">
        <v>0.4</v>
      </c>
      <c r="F135" s="10">
        <v>3.9</v>
      </c>
      <c r="G135" s="10">
        <v>81.0</v>
      </c>
    </row>
    <row r="136">
      <c r="A136" s="7" t="s">
        <v>161</v>
      </c>
      <c r="B136" s="7" t="s">
        <v>15</v>
      </c>
      <c r="C136" s="8">
        <v>689.0</v>
      </c>
      <c r="D136" s="8">
        <v>1500.0</v>
      </c>
      <c r="E136" s="19">
        <v>0.54</v>
      </c>
      <c r="F136" s="10">
        <v>4.2</v>
      </c>
      <c r="G136" s="11">
        <v>42301.0</v>
      </c>
    </row>
    <row r="137">
      <c r="A137" s="7" t="s">
        <v>162</v>
      </c>
      <c r="B137" s="7" t="s">
        <v>37</v>
      </c>
      <c r="C137" s="8">
        <v>30990.0</v>
      </c>
      <c r="D137" s="8">
        <v>49990.0</v>
      </c>
      <c r="E137" s="19">
        <v>0.38</v>
      </c>
      <c r="F137" s="10">
        <v>4.3</v>
      </c>
      <c r="G137" s="11">
        <v>1376.0</v>
      </c>
    </row>
    <row r="138">
      <c r="A138" s="7" t="s">
        <v>163</v>
      </c>
      <c r="B138" s="7" t="s">
        <v>15</v>
      </c>
      <c r="C138" s="8">
        <v>249.0</v>
      </c>
      <c r="D138" s="8">
        <v>931.0</v>
      </c>
      <c r="E138" s="19">
        <v>0.73</v>
      </c>
      <c r="F138" s="10">
        <v>3.9</v>
      </c>
      <c r="G138" s="11">
        <v>1075.0</v>
      </c>
    </row>
    <row r="139">
      <c r="A139" s="7" t="s">
        <v>164</v>
      </c>
      <c r="B139" s="7" t="s">
        <v>31</v>
      </c>
      <c r="C139" s="8">
        <v>999.0</v>
      </c>
      <c r="D139" s="8">
        <v>2399.0</v>
      </c>
      <c r="E139" s="19">
        <v>0.58</v>
      </c>
      <c r="F139" s="10">
        <v>4.6</v>
      </c>
      <c r="G139" s="11">
        <v>3664.0</v>
      </c>
    </row>
    <row r="140">
      <c r="A140" s="7" t="s">
        <v>165</v>
      </c>
      <c r="B140" s="7" t="s">
        <v>71</v>
      </c>
      <c r="C140" s="8">
        <v>399.0</v>
      </c>
      <c r="D140" s="8">
        <v>399.0</v>
      </c>
      <c r="E140" s="19">
        <v>0.0</v>
      </c>
      <c r="F140" s="10">
        <v>3.9</v>
      </c>
      <c r="G140" s="11">
        <v>1951.0</v>
      </c>
    </row>
    <row r="141">
      <c r="A141" s="7" t="s">
        <v>166</v>
      </c>
      <c r="B141" s="7" t="s">
        <v>15</v>
      </c>
      <c r="C141" s="8">
        <v>349.0</v>
      </c>
      <c r="D141" s="8">
        <v>699.0</v>
      </c>
      <c r="E141" s="19">
        <v>0.5</v>
      </c>
      <c r="F141" s="10">
        <v>4.3</v>
      </c>
      <c r="G141" s="11">
        <v>20850.0</v>
      </c>
    </row>
    <row r="142">
      <c r="A142" s="7" t="s">
        <v>167</v>
      </c>
      <c r="B142" s="7" t="s">
        <v>15</v>
      </c>
      <c r="C142" s="8">
        <v>399.0</v>
      </c>
      <c r="D142" s="8">
        <v>1099.0</v>
      </c>
      <c r="E142" s="19">
        <v>0.64</v>
      </c>
      <c r="F142" s="10">
        <v>4.1</v>
      </c>
      <c r="G142" s="11">
        <v>2685.0</v>
      </c>
    </row>
    <row r="143">
      <c r="A143" s="7" t="s">
        <v>168</v>
      </c>
      <c r="B143" s="7" t="s">
        <v>25</v>
      </c>
      <c r="C143" s="8">
        <v>1699.0</v>
      </c>
      <c r="D143" s="8">
        <v>2999.0</v>
      </c>
      <c r="E143" s="19">
        <v>0.43</v>
      </c>
      <c r="F143" s="10">
        <v>4.4</v>
      </c>
      <c r="G143" s="11">
        <v>24780.0</v>
      </c>
    </row>
    <row r="144">
      <c r="A144" s="7" t="s">
        <v>169</v>
      </c>
      <c r="B144" s="7" t="s">
        <v>71</v>
      </c>
      <c r="C144" s="8">
        <v>655.0</v>
      </c>
      <c r="D144" s="8">
        <v>1099.0</v>
      </c>
      <c r="E144" s="19">
        <v>0.4</v>
      </c>
      <c r="F144" s="10">
        <v>3.2</v>
      </c>
      <c r="G144" s="10">
        <v>285.0</v>
      </c>
    </row>
    <row r="145">
      <c r="A145" s="7" t="s">
        <v>170</v>
      </c>
      <c r="B145" s="7" t="s">
        <v>25</v>
      </c>
      <c r="C145" s="8">
        <v>749.0</v>
      </c>
      <c r="D145" s="8">
        <v>1339.0</v>
      </c>
      <c r="E145" s="19">
        <v>0.44</v>
      </c>
      <c r="F145" s="10">
        <v>4.2</v>
      </c>
      <c r="G145" s="7" t="s">
        <v>171</v>
      </c>
    </row>
    <row r="146">
      <c r="A146" s="7" t="s">
        <v>172</v>
      </c>
      <c r="B146" s="7" t="s">
        <v>37</v>
      </c>
      <c r="C146" s="8">
        <v>9999.0</v>
      </c>
      <c r="D146" s="8">
        <v>12999.0</v>
      </c>
      <c r="E146" s="19">
        <v>0.23</v>
      </c>
      <c r="F146" s="10">
        <v>4.2</v>
      </c>
      <c r="G146" s="11">
        <v>6088.0</v>
      </c>
    </row>
    <row r="147">
      <c r="A147" s="7" t="s">
        <v>173</v>
      </c>
      <c r="B147" s="7" t="s">
        <v>71</v>
      </c>
      <c r="C147" s="8">
        <v>195.0</v>
      </c>
      <c r="D147" s="8">
        <v>499.0</v>
      </c>
      <c r="E147" s="19">
        <v>0.61</v>
      </c>
      <c r="F147" s="10">
        <v>3.7</v>
      </c>
      <c r="G147" s="11">
        <v>1383.0</v>
      </c>
    </row>
    <row r="148">
      <c r="A148" s="7" t="s">
        <v>174</v>
      </c>
      <c r="B148" s="7" t="s">
        <v>15</v>
      </c>
      <c r="C148" s="8">
        <v>999.0</v>
      </c>
      <c r="D148" s="8">
        <v>2100.0</v>
      </c>
      <c r="E148" s="19">
        <v>0.52</v>
      </c>
      <c r="F148" s="10">
        <v>4.5</v>
      </c>
      <c r="G148" s="11">
        <v>5492.0</v>
      </c>
    </row>
    <row r="149">
      <c r="A149" s="7" t="s">
        <v>175</v>
      </c>
      <c r="B149" s="7" t="s">
        <v>15</v>
      </c>
      <c r="C149" s="8">
        <v>499.0</v>
      </c>
      <c r="D149" s="8">
        <v>899.0</v>
      </c>
      <c r="E149" s="19">
        <v>0.44</v>
      </c>
      <c r="F149" s="10">
        <v>4.2</v>
      </c>
      <c r="G149" s="10">
        <v>919.0</v>
      </c>
    </row>
    <row r="150">
      <c r="A150" s="7" t="s">
        <v>176</v>
      </c>
      <c r="B150" s="7" t="s">
        <v>177</v>
      </c>
      <c r="C150" s="8">
        <v>416.0</v>
      </c>
      <c r="D150" s="8">
        <v>599.0</v>
      </c>
      <c r="E150" s="19">
        <v>0.31</v>
      </c>
      <c r="F150" s="10">
        <v>4.2</v>
      </c>
      <c r="G150" s="11">
        <v>30023.0</v>
      </c>
    </row>
    <row r="151">
      <c r="A151" s="7" t="s">
        <v>178</v>
      </c>
      <c r="B151" s="7" t="s">
        <v>15</v>
      </c>
      <c r="C151" s="8">
        <v>368.0</v>
      </c>
      <c r="D151" s="8">
        <v>699.0</v>
      </c>
      <c r="E151" s="19">
        <v>0.47</v>
      </c>
      <c r="F151" s="10">
        <v>4.2</v>
      </c>
      <c r="G151" s="10">
        <v>387.0</v>
      </c>
    </row>
    <row r="152">
      <c r="A152" s="7" t="s">
        <v>179</v>
      </c>
      <c r="B152" s="7" t="s">
        <v>37</v>
      </c>
      <c r="C152" s="8">
        <v>29990.0</v>
      </c>
      <c r="D152" s="8">
        <v>65000.0</v>
      </c>
      <c r="E152" s="19">
        <v>0.54</v>
      </c>
      <c r="F152" s="10">
        <v>4.1</v>
      </c>
      <c r="G152" s="10">
        <v>211.0</v>
      </c>
    </row>
    <row r="153">
      <c r="A153" s="7" t="s">
        <v>180</v>
      </c>
      <c r="B153" s="7" t="s">
        <v>15</v>
      </c>
      <c r="C153" s="8">
        <v>339.0</v>
      </c>
      <c r="D153" s="8">
        <v>1099.0</v>
      </c>
      <c r="E153" s="19">
        <v>0.69</v>
      </c>
      <c r="F153" s="10">
        <v>4.3</v>
      </c>
      <c r="G153" s="10">
        <v>974.0</v>
      </c>
    </row>
    <row r="154">
      <c r="A154" s="7" t="s">
        <v>181</v>
      </c>
      <c r="B154" s="7" t="s">
        <v>37</v>
      </c>
      <c r="C154" s="8">
        <v>15490.0</v>
      </c>
      <c r="D154" s="8">
        <v>20900.0</v>
      </c>
      <c r="E154" s="19">
        <v>0.26</v>
      </c>
      <c r="F154" s="10">
        <v>4.3</v>
      </c>
      <c r="G154" s="11">
        <v>16299.0</v>
      </c>
    </row>
    <row r="155">
      <c r="A155" s="7" t="s">
        <v>182</v>
      </c>
      <c r="B155" s="7" t="s">
        <v>15</v>
      </c>
      <c r="C155" s="8">
        <v>499.0</v>
      </c>
      <c r="D155" s="8">
        <v>1299.0</v>
      </c>
      <c r="E155" s="19">
        <v>0.62</v>
      </c>
      <c r="F155" s="10">
        <v>4.3</v>
      </c>
      <c r="G155" s="11">
        <v>30411.0</v>
      </c>
    </row>
    <row r="156">
      <c r="A156" s="7" t="s">
        <v>183</v>
      </c>
      <c r="B156" s="7" t="s">
        <v>25</v>
      </c>
      <c r="C156" s="8">
        <v>249.0</v>
      </c>
      <c r="D156" s="8">
        <v>399.0</v>
      </c>
      <c r="E156" s="19">
        <v>0.38</v>
      </c>
      <c r="F156" s="10">
        <v>3.4</v>
      </c>
      <c r="G156" s="11">
        <v>4642.0</v>
      </c>
    </row>
    <row r="157">
      <c r="A157" s="7" t="s">
        <v>184</v>
      </c>
      <c r="B157" s="7" t="s">
        <v>71</v>
      </c>
      <c r="C157" s="8">
        <v>399.0</v>
      </c>
      <c r="D157" s="8">
        <v>799.0</v>
      </c>
      <c r="E157" s="19">
        <v>0.5</v>
      </c>
      <c r="F157" s="10">
        <v>4.3</v>
      </c>
      <c r="G157" s="10">
        <v>12.0</v>
      </c>
    </row>
    <row r="158">
      <c r="A158" s="7" t="s">
        <v>185</v>
      </c>
      <c r="B158" s="7" t="s">
        <v>15</v>
      </c>
      <c r="C158" s="8">
        <v>1499.0</v>
      </c>
      <c r="D158" s="8">
        <v>1999.0</v>
      </c>
      <c r="E158" s="19">
        <v>0.25</v>
      </c>
      <c r="F158" s="10">
        <v>4.4</v>
      </c>
      <c r="G158" s="11">
        <v>1951.0</v>
      </c>
    </row>
    <row r="159">
      <c r="A159" s="7" t="s">
        <v>186</v>
      </c>
      <c r="B159" s="7" t="s">
        <v>187</v>
      </c>
      <c r="C159" s="8">
        <v>9490.0</v>
      </c>
      <c r="D159" s="8">
        <v>15990.0</v>
      </c>
      <c r="E159" s="19">
        <v>0.41</v>
      </c>
      <c r="F159" s="10">
        <v>3.9</v>
      </c>
      <c r="G159" s="11">
        <v>10480.0</v>
      </c>
    </row>
    <row r="160">
      <c r="A160" s="7" t="s">
        <v>188</v>
      </c>
      <c r="B160" s="7" t="s">
        <v>31</v>
      </c>
      <c r="C160" s="8">
        <v>637.0</v>
      </c>
      <c r="D160" s="8">
        <v>1499.0</v>
      </c>
      <c r="E160" s="19">
        <v>0.58</v>
      </c>
      <c r="F160" s="10">
        <v>4.1</v>
      </c>
      <c r="G160" s="10">
        <v>24.0</v>
      </c>
    </row>
    <row r="161">
      <c r="A161" s="7" t="s">
        <v>189</v>
      </c>
      <c r="B161" s="7" t="s">
        <v>71</v>
      </c>
      <c r="C161" s="8">
        <v>399.0</v>
      </c>
      <c r="D161" s="8">
        <v>899.0</v>
      </c>
      <c r="E161" s="19">
        <v>0.56</v>
      </c>
      <c r="F161" s="10">
        <v>3.9</v>
      </c>
      <c r="G161" s="10">
        <v>254.0</v>
      </c>
    </row>
    <row r="162">
      <c r="A162" s="7" t="s">
        <v>190</v>
      </c>
      <c r="B162" s="7" t="s">
        <v>177</v>
      </c>
      <c r="C162" s="8">
        <v>1089.0</v>
      </c>
      <c r="D162" s="8">
        <v>1600.0</v>
      </c>
      <c r="E162" s="19">
        <v>0.32</v>
      </c>
      <c r="F162" s="10">
        <v>4.0</v>
      </c>
      <c r="G162" s="11">
        <v>3565.0</v>
      </c>
    </row>
    <row r="163">
      <c r="A163" s="7" t="s">
        <v>191</v>
      </c>
      <c r="B163" s="7" t="s">
        <v>15</v>
      </c>
      <c r="C163" s="8">
        <v>339.0</v>
      </c>
      <c r="D163" s="8">
        <v>999.0</v>
      </c>
      <c r="E163" s="19">
        <v>0.66</v>
      </c>
      <c r="F163" s="10">
        <v>4.3</v>
      </c>
      <c r="G163" s="11">
        <v>6255.0</v>
      </c>
    </row>
    <row r="164">
      <c r="A164" s="7" t="s">
        <v>192</v>
      </c>
      <c r="B164" s="7" t="s">
        <v>15</v>
      </c>
      <c r="C164" s="8">
        <v>149.0</v>
      </c>
      <c r="D164" s="8">
        <v>499.0</v>
      </c>
      <c r="E164" s="19">
        <v>0.7</v>
      </c>
      <c r="F164" s="10">
        <v>4.0</v>
      </c>
      <c r="G164" s="11">
        <v>7732.0</v>
      </c>
    </row>
    <row r="165">
      <c r="A165" s="7" t="s">
        <v>193</v>
      </c>
      <c r="B165" s="7" t="s">
        <v>15</v>
      </c>
      <c r="C165" s="8">
        <v>149.0</v>
      </c>
      <c r="D165" s="8">
        <v>399.0</v>
      </c>
      <c r="E165" s="19">
        <v>0.63</v>
      </c>
      <c r="F165" s="10">
        <v>3.9</v>
      </c>
      <c r="G165" s="10">
        <v>57.0</v>
      </c>
    </row>
    <row r="166">
      <c r="A166" s="7" t="s">
        <v>194</v>
      </c>
      <c r="B166" s="7" t="s">
        <v>15</v>
      </c>
      <c r="C166" s="8">
        <v>599.0</v>
      </c>
      <c r="D166" s="8">
        <v>849.0</v>
      </c>
      <c r="E166" s="19">
        <v>0.29</v>
      </c>
      <c r="F166" s="10">
        <v>4.5</v>
      </c>
      <c r="G166" s="10">
        <v>577.0</v>
      </c>
    </row>
    <row r="167">
      <c r="A167" s="7" t="s">
        <v>195</v>
      </c>
      <c r="B167" s="7" t="s">
        <v>71</v>
      </c>
      <c r="C167" s="8">
        <v>299.0</v>
      </c>
      <c r="D167" s="8">
        <v>1199.0</v>
      </c>
      <c r="E167" s="19">
        <v>0.75</v>
      </c>
      <c r="F167" s="10">
        <v>3.9</v>
      </c>
      <c r="G167" s="11">
        <v>1193.0</v>
      </c>
    </row>
    <row r="168">
      <c r="A168" s="7" t="s">
        <v>196</v>
      </c>
      <c r="B168" s="7" t="s">
        <v>15</v>
      </c>
      <c r="C168" s="8">
        <v>399.0</v>
      </c>
      <c r="D168" s="8">
        <v>1299.0</v>
      </c>
      <c r="E168" s="19">
        <v>0.69</v>
      </c>
      <c r="F168" s="10">
        <v>4.2</v>
      </c>
      <c r="G168" s="11">
        <v>13120.0</v>
      </c>
    </row>
    <row r="169">
      <c r="A169" s="7" t="s">
        <v>197</v>
      </c>
      <c r="B169" s="7" t="s">
        <v>71</v>
      </c>
      <c r="C169" s="8">
        <v>339.0</v>
      </c>
      <c r="D169" s="8">
        <v>1999.0</v>
      </c>
      <c r="E169" s="19">
        <v>0.83</v>
      </c>
      <c r="F169" s="10">
        <v>4.0</v>
      </c>
      <c r="G169" s="10">
        <v>343.0</v>
      </c>
    </row>
    <row r="170">
      <c r="A170" s="7" t="s">
        <v>198</v>
      </c>
      <c r="B170" s="7" t="s">
        <v>37</v>
      </c>
      <c r="C170" s="8">
        <v>12499.0</v>
      </c>
      <c r="D170" s="8">
        <v>22990.0</v>
      </c>
      <c r="E170" s="19">
        <v>0.46</v>
      </c>
      <c r="F170" s="10">
        <v>4.3</v>
      </c>
      <c r="G170" s="11">
        <v>1611.0</v>
      </c>
    </row>
    <row r="171">
      <c r="A171" s="7" t="s">
        <v>199</v>
      </c>
      <c r="B171" s="7" t="s">
        <v>15</v>
      </c>
      <c r="C171" s="8">
        <v>249.0</v>
      </c>
      <c r="D171" s="8">
        <v>399.0</v>
      </c>
      <c r="E171" s="19">
        <v>0.38</v>
      </c>
      <c r="F171" s="10">
        <v>4.0</v>
      </c>
      <c r="G171" s="11">
        <v>6558.0</v>
      </c>
    </row>
    <row r="172">
      <c r="A172" s="7" t="s">
        <v>200</v>
      </c>
      <c r="B172" s="7" t="s">
        <v>25</v>
      </c>
      <c r="C172" s="8">
        <v>1399.0</v>
      </c>
      <c r="D172" s="8">
        <v>2499.0</v>
      </c>
      <c r="E172" s="19">
        <v>0.44</v>
      </c>
      <c r="F172" s="10">
        <v>4.4</v>
      </c>
      <c r="G172" s="11">
        <v>23169.0</v>
      </c>
    </row>
    <row r="173">
      <c r="A173" s="7" t="s">
        <v>201</v>
      </c>
      <c r="B173" s="7" t="s">
        <v>37</v>
      </c>
      <c r="C173" s="8">
        <v>32999.0</v>
      </c>
      <c r="D173" s="8">
        <v>47990.0</v>
      </c>
      <c r="E173" s="19">
        <v>0.31</v>
      </c>
      <c r="F173" s="10">
        <v>4.3</v>
      </c>
      <c r="G173" s="11">
        <v>4703.0</v>
      </c>
    </row>
    <row r="174">
      <c r="A174" s="7" t="s">
        <v>202</v>
      </c>
      <c r="B174" s="7" t="s">
        <v>15</v>
      </c>
      <c r="C174" s="8">
        <v>149.0</v>
      </c>
      <c r="D174" s="8">
        <v>399.0</v>
      </c>
      <c r="E174" s="19">
        <v>0.63</v>
      </c>
      <c r="F174" s="10">
        <v>4.0</v>
      </c>
      <c r="G174" s="11">
        <v>1423.0</v>
      </c>
    </row>
    <row r="175">
      <c r="A175" s="7" t="s">
        <v>203</v>
      </c>
      <c r="B175" s="7" t="s">
        <v>15</v>
      </c>
      <c r="C175" s="8">
        <v>325.0</v>
      </c>
      <c r="D175" s="8">
        <v>999.0</v>
      </c>
      <c r="E175" s="19">
        <v>0.67</v>
      </c>
      <c r="F175" s="10">
        <v>4.3</v>
      </c>
      <c r="G175" s="11">
        <v>2651.0</v>
      </c>
    </row>
    <row r="176">
      <c r="A176" s="7" t="s">
        <v>204</v>
      </c>
      <c r="B176" s="7" t="s">
        <v>15</v>
      </c>
      <c r="C176" s="8">
        <v>399.0</v>
      </c>
      <c r="D176" s="8">
        <v>1999.0</v>
      </c>
      <c r="E176" s="19">
        <v>0.8</v>
      </c>
      <c r="F176" s="10">
        <v>5.0</v>
      </c>
      <c r="G176" s="10">
        <v>5.0</v>
      </c>
    </row>
    <row r="177">
      <c r="A177" s="7" t="s">
        <v>205</v>
      </c>
      <c r="B177" s="7" t="s">
        <v>25</v>
      </c>
      <c r="C177" s="8">
        <v>199.0</v>
      </c>
      <c r="D177" s="8">
        <v>499.0</v>
      </c>
      <c r="E177" s="19">
        <v>0.6</v>
      </c>
      <c r="F177" s="10">
        <v>3.7</v>
      </c>
      <c r="G177" s="10">
        <v>612.0</v>
      </c>
    </row>
    <row r="178">
      <c r="A178" s="7" t="s">
        <v>206</v>
      </c>
      <c r="B178" s="7" t="s">
        <v>15</v>
      </c>
      <c r="C178" s="8">
        <v>88.0</v>
      </c>
      <c r="D178" s="8">
        <v>299.0</v>
      </c>
      <c r="E178" s="19">
        <v>0.71</v>
      </c>
      <c r="F178" s="10">
        <v>4.0</v>
      </c>
      <c r="G178" s="11">
        <v>9378.0</v>
      </c>
    </row>
    <row r="179">
      <c r="A179" s="7" t="s">
        <v>207</v>
      </c>
      <c r="B179" s="7" t="s">
        <v>15</v>
      </c>
      <c r="C179" s="8">
        <v>399.0</v>
      </c>
      <c r="D179" s="8">
        <v>1099.0</v>
      </c>
      <c r="E179" s="19">
        <v>0.64</v>
      </c>
      <c r="F179" s="10">
        <v>4.1</v>
      </c>
      <c r="G179" s="11">
        <v>2685.0</v>
      </c>
    </row>
    <row r="180">
      <c r="A180" s="7" t="s">
        <v>208</v>
      </c>
      <c r="B180" s="7" t="s">
        <v>15</v>
      </c>
      <c r="C180" s="8">
        <v>57.89</v>
      </c>
      <c r="D180" s="8">
        <v>199.0</v>
      </c>
      <c r="E180" s="19">
        <v>0.71</v>
      </c>
      <c r="F180" s="10">
        <v>4.0</v>
      </c>
      <c r="G180" s="11">
        <v>9378.0</v>
      </c>
    </row>
    <row r="181">
      <c r="A181" s="7" t="s">
        <v>209</v>
      </c>
      <c r="B181" s="7" t="s">
        <v>71</v>
      </c>
      <c r="C181" s="8">
        <v>799.0</v>
      </c>
      <c r="D181" s="8">
        <v>1999.0</v>
      </c>
      <c r="E181" s="19">
        <v>0.6</v>
      </c>
      <c r="F181" s="10">
        <v>3.3</v>
      </c>
      <c r="G181" s="10">
        <v>576.0</v>
      </c>
    </row>
    <row r="182">
      <c r="A182" s="7" t="s">
        <v>210</v>
      </c>
      <c r="B182" s="7" t="s">
        <v>71</v>
      </c>
      <c r="C182" s="8">
        <v>205.0</v>
      </c>
      <c r="D182" s="8">
        <v>499.0</v>
      </c>
      <c r="E182" s="19">
        <v>0.59</v>
      </c>
      <c r="F182" s="10">
        <v>3.8</v>
      </c>
      <c r="G182" s="10">
        <v>313.0</v>
      </c>
    </row>
    <row r="183">
      <c r="A183" s="7" t="s">
        <v>211</v>
      </c>
      <c r="B183" s="7" t="s">
        <v>15</v>
      </c>
      <c r="C183" s="8">
        <v>299.0</v>
      </c>
      <c r="D183" s="8">
        <v>699.0</v>
      </c>
      <c r="E183" s="19">
        <v>0.57</v>
      </c>
      <c r="F183" s="10">
        <v>4.1</v>
      </c>
      <c r="G183" s="11">
        <v>2957.0</v>
      </c>
    </row>
    <row r="184">
      <c r="A184" s="7" t="s">
        <v>212</v>
      </c>
      <c r="B184" s="7" t="s">
        <v>15</v>
      </c>
      <c r="C184" s="8">
        <v>849.0</v>
      </c>
      <c r="D184" s="8">
        <v>999.0</v>
      </c>
      <c r="E184" s="19">
        <v>0.15</v>
      </c>
      <c r="F184" s="10">
        <v>4.1</v>
      </c>
      <c r="G184" s="11">
        <v>6736.0</v>
      </c>
    </row>
    <row r="185">
      <c r="A185" s="7" t="s">
        <v>213</v>
      </c>
      <c r="B185" s="7" t="s">
        <v>15</v>
      </c>
      <c r="C185" s="8">
        <v>949.0</v>
      </c>
      <c r="D185" s="8">
        <v>1999.0</v>
      </c>
      <c r="E185" s="19">
        <v>0.53</v>
      </c>
      <c r="F185" s="10">
        <v>4.4</v>
      </c>
      <c r="G185" s="11">
        <v>13552.0</v>
      </c>
    </row>
    <row r="186">
      <c r="A186" s="7" t="s">
        <v>214</v>
      </c>
      <c r="B186" s="7" t="s">
        <v>15</v>
      </c>
      <c r="C186" s="8">
        <v>499.0</v>
      </c>
      <c r="D186" s="8">
        <v>1200.0</v>
      </c>
      <c r="E186" s="19">
        <v>0.58</v>
      </c>
      <c r="F186" s="10">
        <v>4.3</v>
      </c>
      <c r="G186" s="11">
        <v>5451.0</v>
      </c>
    </row>
    <row r="187">
      <c r="A187" s="7" t="s">
        <v>215</v>
      </c>
      <c r="B187" s="7" t="s">
        <v>15</v>
      </c>
      <c r="C187" s="8">
        <v>299.0</v>
      </c>
      <c r="D187" s="8">
        <v>485.0</v>
      </c>
      <c r="E187" s="19">
        <v>0.38</v>
      </c>
      <c r="F187" s="10">
        <v>4.3</v>
      </c>
      <c r="G187" s="11">
        <v>10911.0</v>
      </c>
    </row>
    <row r="188">
      <c r="A188" s="7" t="s">
        <v>216</v>
      </c>
      <c r="B188" s="7" t="s">
        <v>15</v>
      </c>
      <c r="C188" s="8">
        <v>949.0</v>
      </c>
      <c r="D188" s="8">
        <v>1999.0</v>
      </c>
      <c r="E188" s="19">
        <v>0.53</v>
      </c>
      <c r="F188" s="10">
        <v>4.4</v>
      </c>
      <c r="G188" s="11">
        <v>13552.0</v>
      </c>
    </row>
    <row r="189">
      <c r="A189" s="7" t="s">
        <v>217</v>
      </c>
      <c r="B189" s="7" t="s">
        <v>15</v>
      </c>
      <c r="C189" s="8">
        <v>379.0</v>
      </c>
      <c r="D189" s="8">
        <v>1099.0</v>
      </c>
      <c r="E189" s="19">
        <v>0.66</v>
      </c>
      <c r="F189" s="10">
        <v>4.3</v>
      </c>
      <c r="G189" s="11">
        <v>2806.0</v>
      </c>
    </row>
    <row r="190">
      <c r="A190" s="7" t="s">
        <v>218</v>
      </c>
      <c r="B190" s="7" t="s">
        <v>37</v>
      </c>
      <c r="C190" s="8">
        <v>8990.0</v>
      </c>
      <c r="D190" s="8">
        <v>18990.0</v>
      </c>
      <c r="E190" s="19">
        <v>0.53</v>
      </c>
      <c r="F190" s="10">
        <v>3.9</v>
      </c>
      <c r="G190" s="10">
        <v>350.0</v>
      </c>
    </row>
    <row r="191">
      <c r="A191" s="7" t="s">
        <v>219</v>
      </c>
      <c r="B191" s="7" t="s">
        <v>177</v>
      </c>
      <c r="C191" s="8">
        <v>486.0</v>
      </c>
      <c r="D191" s="8">
        <v>1999.0</v>
      </c>
      <c r="E191" s="19">
        <v>0.76</v>
      </c>
      <c r="F191" s="10">
        <v>4.2</v>
      </c>
      <c r="G191" s="11">
        <v>30023.0</v>
      </c>
    </row>
    <row r="192">
      <c r="A192" s="7" t="s">
        <v>220</v>
      </c>
      <c r="B192" s="7" t="s">
        <v>77</v>
      </c>
      <c r="C192" s="8">
        <v>5699.0</v>
      </c>
      <c r="D192" s="8">
        <v>11000.0</v>
      </c>
      <c r="E192" s="19">
        <v>0.48</v>
      </c>
      <c r="F192" s="10">
        <v>4.2</v>
      </c>
      <c r="G192" s="11">
        <v>4003.0</v>
      </c>
    </row>
    <row r="193">
      <c r="A193" s="7" t="s">
        <v>221</v>
      </c>
      <c r="B193" s="7" t="s">
        <v>15</v>
      </c>
      <c r="C193" s="8">
        <v>709.0</v>
      </c>
      <c r="D193" s="8">
        <v>1999.0</v>
      </c>
      <c r="E193" s="19">
        <v>0.65</v>
      </c>
      <c r="F193" s="10">
        <v>4.1</v>
      </c>
      <c r="G193" s="7" t="s">
        <v>222</v>
      </c>
    </row>
    <row r="194">
      <c r="A194" s="7" t="s">
        <v>223</v>
      </c>
      <c r="B194" s="7" t="s">
        <v>37</v>
      </c>
      <c r="C194" s="8">
        <v>47990.0</v>
      </c>
      <c r="D194" s="8">
        <v>70900.0</v>
      </c>
      <c r="E194" s="19">
        <v>0.32</v>
      </c>
      <c r="F194" s="10">
        <v>4.3</v>
      </c>
      <c r="G194" s="11">
        <v>7109.0</v>
      </c>
    </row>
    <row r="195">
      <c r="A195" s="7" t="s">
        <v>224</v>
      </c>
      <c r="B195" s="7" t="s">
        <v>71</v>
      </c>
      <c r="C195" s="8">
        <v>299.0</v>
      </c>
      <c r="D195" s="8">
        <v>1199.0</v>
      </c>
      <c r="E195" s="19">
        <v>0.75</v>
      </c>
      <c r="F195" s="10">
        <v>3.7</v>
      </c>
      <c r="G195" s="10">
        <v>490.0</v>
      </c>
    </row>
    <row r="196">
      <c r="A196" s="7" t="s">
        <v>225</v>
      </c>
      <c r="B196" s="7" t="s">
        <v>15</v>
      </c>
      <c r="C196" s="8">
        <v>320.0</v>
      </c>
      <c r="D196" s="8">
        <v>599.0</v>
      </c>
      <c r="E196" s="19">
        <v>0.47</v>
      </c>
      <c r="F196" s="10">
        <v>4.1</v>
      </c>
      <c r="G196" s="10">
        <v>491.0</v>
      </c>
    </row>
    <row r="197">
      <c r="A197" s="7" t="s">
        <v>226</v>
      </c>
      <c r="B197" s="7" t="s">
        <v>15</v>
      </c>
      <c r="C197" s="8">
        <v>139.0</v>
      </c>
      <c r="D197" s="8">
        <v>549.0</v>
      </c>
      <c r="E197" s="19">
        <v>0.75</v>
      </c>
      <c r="F197" s="10">
        <v>3.9</v>
      </c>
      <c r="G197" s="10">
        <v>61.0</v>
      </c>
    </row>
    <row r="198">
      <c r="A198" s="7" t="s">
        <v>227</v>
      </c>
      <c r="B198" s="7" t="s">
        <v>15</v>
      </c>
      <c r="C198" s="8">
        <v>129.0</v>
      </c>
      <c r="D198" s="8">
        <v>249.0</v>
      </c>
      <c r="E198" s="19">
        <v>0.48</v>
      </c>
      <c r="F198" s="10">
        <v>4.0</v>
      </c>
      <c r="G198" s="11">
        <v>9378.0</v>
      </c>
    </row>
    <row r="199">
      <c r="A199" s="7" t="s">
        <v>228</v>
      </c>
      <c r="B199" s="7" t="s">
        <v>37</v>
      </c>
      <c r="C199" s="8">
        <v>24999.0</v>
      </c>
      <c r="D199" s="8">
        <v>35999.0</v>
      </c>
      <c r="E199" s="19">
        <v>0.31</v>
      </c>
      <c r="F199" s="10">
        <v>4.2</v>
      </c>
      <c r="G199" s="11">
        <v>32840.0</v>
      </c>
    </row>
    <row r="200">
      <c r="A200" s="7" t="s">
        <v>229</v>
      </c>
      <c r="B200" s="7" t="s">
        <v>15</v>
      </c>
      <c r="C200" s="8">
        <v>999.0</v>
      </c>
      <c r="D200" s="8">
        <v>1699.0</v>
      </c>
      <c r="E200" s="19">
        <v>0.41</v>
      </c>
      <c r="F200" s="10">
        <v>4.4</v>
      </c>
      <c r="G200" s="11">
        <v>7318.0</v>
      </c>
    </row>
    <row r="201">
      <c r="A201" s="7" t="s">
        <v>230</v>
      </c>
      <c r="B201" s="7" t="s">
        <v>15</v>
      </c>
      <c r="C201" s="8">
        <v>225.0</v>
      </c>
      <c r="D201" s="8">
        <v>499.0</v>
      </c>
      <c r="E201" s="19">
        <v>0.55</v>
      </c>
      <c r="F201" s="10">
        <v>4.1</v>
      </c>
      <c r="G201" s="10">
        <v>789.0</v>
      </c>
    </row>
    <row r="202">
      <c r="A202" s="7" t="s">
        <v>231</v>
      </c>
      <c r="B202" s="7" t="s">
        <v>71</v>
      </c>
      <c r="C202" s="8">
        <v>547.0</v>
      </c>
      <c r="D202" s="8">
        <v>2999.0</v>
      </c>
      <c r="E202" s="19">
        <v>0.82</v>
      </c>
      <c r="F202" s="10">
        <v>4.3</v>
      </c>
      <c r="G202" s="10">
        <v>407.0</v>
      </c>
    </row>
    <row r="203">
      <c r="A203" s="7" t="s">
        <v>232</v>
      </c>
      <c r="B203" s="7" t="s">
        <v>15</v>
      </c>
      <c r="C203" s="8">
        <v>259.0</v>
      </c>
      <c r="D203" s="8">
        <v>699.0</v>
      </c>
      <c r="E203" s="19">
        <v>0.63</v>
      </c>
      <c r="F203" s="10">
        <v>3.8</v>
      </c>
      <c r="G203" s="11">
        <v>2399.0</v>
      </c>
    </row>
    <row r="204">
      <c r="A204" s="7" t="s">
        <v>233</v>
      </c>
      <c r="B204" s="7" t="s">
        <v>71</v>
      </c>
      <c r="C204" s="8">
        <v>239.0</v>
      </c>
      <c r="D204" s="8">
        <v>699.0</v>
      </c>
      <c r="E204" s="19">
        <v>0.66</v>
      </c>
      <c r="F204" s="10">
        <v>4.4</v>
      </c>
      <c r="G204" s="11">
        <v>2640.0</v>
      </c>
    </row>
    <row r="205">
      <c r="A205" s="7" t="s">
        <v>234</v>
      </c>
      <c r="B205" s="7" t="s">
        <v>71</v>
      </c>
      <c r="C205" s="8">
        <v>349.0</v>
      </c>
      <c r="D205" s="8">
        <v>999.0</v>
      </c>
      <c r="E205" s="19">
        <v>0.65</v>
      </c>
      <c r="F205" s="10">
        <v>4.0</v>
      </c>
      <c r="G205" s="10">
        <v>839.0</v>
      </c>
    </row>
    <row r="206">
      <c r="A206" s="7" t="s">
        <v>235</v>
      </c>
      <c r="B206" s="7" t="s">
        <v>31</v>
      </c>
      <c r="C206" s="8">
        <v>467.0</v>
      </c>
      <c r="D206" s="8">
        <v>599.0</v>
      </c>
      <c r="E206" s="19">
        <v>0.22</v>
      </c>
      <c r="F206" s="10">
        <v>4.4</v>
      </c>
      <c r="G206" s="11">
        <v>44054.0</v>
      </c>
    </row>
    <row r="207">
      <c r="A207" s="7" t="s">
        <v>236</v>
      </c>
      <c r="B207" s="7" t="s">
        <v>15</v>
      </c>
      <c r="C207" s="8">
        <v>449.0</v>
      </c>
      <c r="D207" s="8">
        <v>599.0</v>
      </c>
      <c r="E207" s="19">
        <v>0.25</v>
      </c>
      <c r="F207" s="10">
        <v>4.0</v>
      </c>
      <c r="G207" s="11">
        <v>3231.0</v>
      </c>
    </row>
    <row r="208">
      <c r="A208" s="7" t="s">
        <v>237</v>
      </c>
      <c r="B208" s="7" t="s">
        <v>37</v>
      </c>
      <c r="C208" s="8">
        <v>11990.0</v>
      </c>
      <c r="D208" s="8">
        <v>31990.0</v>
      </c>
      <c r="E208" s="19">
        <v>0.63</v>
      </c>
      <c r="F208" s="10">
        <v>4.2</v>
      </c>
      <c r="G208" s="10">
        <v>64.0</v>
      </c>
    </row>
    <row r="209">
      <c r="A209" s="7" t="s">
        <v>238</v>
      </c>
      <c r="B209" s="7" t="s">
        <v>15</v>
      </c>
      <c r="C209" s="8">
        <v>350.0</v>
      </c>
      <c r="D209" s="8">
        <v>599.0</v>
      </c>
      <c r="E209" s="19">
        <v>0.42</v>
      </c>
      <c r="F209" s="10">
        <v>3.9</v>
      </c>
      <c r="G209" s="11">
        <v>8314.0</v>
      </c>
    </row>
    <row r="210">
      <c r="A210" s="7" t="s">
        <v>239</v>
      </c>
      <c r="B210" s="7" t="s">
        <v>15</v>
      </c>
      <c r="C210" s="8">
        <v>252.0</v>
      </c>
      <c r="D210" s="8">
        <v>999.0</v>
      </c>
      <c r="E210" s="19">
        <v>0.75</v>
      </c>
      <c r="F210" s="10">
        <v>3.7</v>
      </c>
      <c r="G210" s="11">
        <v>2249.0</v>
      </c>
    </row>
    <row r="211">
      <c r="A211" s="7" t="s">
        <v>240</v>
      </c>
      <c r="B211" s="7" t="s">
        <v>71</v>
      </c>
      <c r="C211" s="8">
        <v>204.0</v>
      </c>
      <c r="D211" s="8">
        <v>599.0</v>
      </c>
      <c r="E211" s="19">
        <v>0.66</v>
      </c>
      <c r="F211" s="10">
        <v>3.6</v>
      </c>
      <c r="G211" s="10">
        <v>339.0</v>
      </c>
    </row>
    <row r="212">
      <c r="A212" s="7" t="s">
        <v>241</v>
      </c>
      <c r="B212" s="7" t="s">
        <v>187</v>
      </c>
      <c r="C212" s="8">
        <v>6490.0</v>
      </c>
      <c r="D212" s="8">
        <v>9990.0</v>
      </c>
      <c r="E212" s="19">
        <v>0.35</v>
      </c>
      <c r="F212" s="10">
        <v>4.0</v>
      </c>
      <c r="G212" s="10">
        <v>27.0</v>
      </c>
    </row>
    <row r="213">
      <c r="A213" s="7" t="s">
        <v>242</v>
      </c>
      <c r="B213" s="7" t="s">
        <v>71</v>
      </c>
      <c r="C213" s="8">
        <v>235.0</v>
      </c>
      <c r="D213" s="8">
        <v>599.0</v>
      </c>
      <c r="E213" s="19">
        <v>0.61</v>
      </c>
      <c r="F213" s="10">
        <v>3.5</v>
      </c>
      <c r="G213" s="10">
        <v>197.0</v>
      </c>
    </row>
    <row r="214">
      <c r="A214" s="7" t="s">
        <v>243</v>
      </c>
      <c r="B214" s="7" t="s">
        <v>15</v>
      </c>
      <c r="C214" s="8">
        <v>299.0</v>
      </c>
      <c r="D214" s="8">
        <v>800.0</v>
      </c>
      <c r="E214" s="19">
        <v>0.63</v>
      </c>
      <c r="F214" s="10">
        <v>4.5</v>
      </c>
      <c r="G214" s="11">
        <v>74977.0</v>
      </c>
    </row>
    <row r="215">
      <c r="A215" s="7" t="s">
        <v>244</v>
      </c>
      <c r="B215" s="7" t="s">
        <v>15</v>
      </c>
      <c r="C215" s="8">
        <v>799.0</v>
      </c>
      <c r="D215" s="8">
        <v>1999.0</v>
      </c>
      <c r="E215" s="19">
        <v>0.6</v>
      </c>
      <c r="F215" s="10">
        <v>4.2</v>
      </c>
      <c r="G215" s="11">
        <v>8583.0</v>
      </c>
    </row>
    <row r="216">
      <c r="A216" s="7" t="s">
        <v>245</v>
      </c>
      <c r="B216" s="7" t="s">
        <v>71</v>
      </c>
      <c r="C216" s="8">
        <v>299.0</v>
      </c>
      <c r="D216" s="8">
        <v>999.0</v>
      </c>
      <c r="E216" s="19">
        <v>0.7</v>
      </c>
      <c r="F216" s="10">
        <v>3.8</v>
      </c>
      <c r="G216" s="10">
        <v>928.0</v>
      </c>
    </row>
    <row r="217">
      <c r="A217" s="7" t="s">
        <v>246</v>
      </c>
      <c r="B217" s="7" t="s">
        <v>77</v>
      </c>
      <c r="C217" s="8">
        <v>6999.0</v>
      </c>
      <c r="D217" s="8">
        <v>16990.0</v>
      </c>
      <c r="E217" s="19">
        <v>0.59</v>
      </c>
      <c r="F217" s="10">
        <v>3.8</v>
      </c>
      <c r="G217" s="10">
        <v>110.0</v>
      </c>
    </row>
    <row r="218">
      <c r="A218" s="7" t="s">
        <v>247</v>
      </c>
      <c r="B218" s="7" t="s">
        <v>37</v>
      </c>
      <c r="C218" s="8">
        <v>42999.0</v>
      </c>
      <c r="D218" s="8">
        <v>59999.0</v>
      </c>
      <c r="E218" s="19">
        <v>0.28</v>
      </c>
      <c r="F218" s="10">
        <v>4.1</v>
      </c>
      <c r="G218" s="11">
        <v>6753.0</v>
      </c>
    </row>
    <row r="219">
      <c r="A219" s="7" t="s">
        <v>248</v>
      </c>
      <c r="B219" s="7" t="s">
        <v>31</v>
      </c>
      <c r="C219" s="8">
        <v>173.0</v>
      </c>
      <c r="D219" s="8">
        <v>999.0</v>
      </c>
      <c r="E219" s="19">
        <v>0.83</v>
      </c>
      <c r="F219" s="10">
        <v>4.3</v>
      </c>
      <c r="G219" s="11">
        <v>1237.0</v>
      </c>
    </row>
    <row r="220">
      <c r="A220" s="7" t="s">
        <v>249</v>
      </c>
      <c r="B220" s="7" t="s">
        <v>250</v>
      </c>
      <c r="C220" s="8">
        <v>209.0</v>
      </c>
      <c r="D220" s="8">
        <v>600.0</v>
      </c>
      <c r="E220" s="19">
        <v>0.65</v>
      </c>
      <c r="F220" s="10">
        <v>4.4</v>
      </c>
      <c r="G220" s="11">
        <v>18872.0</v>
      </c>
    </row>
    <row r="221">
      <c r="A221" s="7" t="s">
        <v>251</v>
      </c>
      <c r="B221" s="7" t="s">
        <v>15</v>
      </c>
      <c r="C221" s="8">
        <v>848.99</v>
      </c>
      <c r="D221" s="8">
        <v>1490.0</v>
      </c>
      <c r="E221" s="19">
        <v>0.43</v>
      </c>
      <c r="F221" s="10">
        <v>3.9</v>
      </c>
      <c r="G221" s="10">
        <v>356.0</v>
      </c>
    </row>
    <row r="222">
      <c r="A222" s="7" t="s">
        <v>252</v>
      </c>
      <c r="B222" s="7" t="s">
        <v>15</v>
      </c>
      <c r="C222" s="8">
        <v>649.0</v>
      </c>
      <c r="D222" s="8">
        <v>1999.0</v>
      </c>
      <c r="E222" s="19">
        <v>0.68</v>
      </c>
      <c r="F222" s="10">
        <v>4.2</v>
      </c>
      <c r="G222" s="11">
        <v>24269.0</v>
      </c>
    </row>
    <row r="223">
      <c r="A223" s="7" t="s">
        <v>253</v>
      </c>
      <c r="B223" s="7" t="s">
        <v>71</v>
      </c>
      <c r="C223" s="8">
        <v>299.0</v>
      </c>
      <c r="D223" s="8">
        <v>899.0</v>
      </c>
      <c r="E223" s="19">
        <v>0.67</v>
      </c>
      <c r="F223" s="10">
        <v>3.8</v>
      </c>
      <c r="G223" s="10">
        <v>425.0</v>
      </c>
    </row>
    <row r="224">
      <c r="A224" s="7" t="s">
        <v>254</v>
      </c>
      <c r="B224" s="7" t="s">
        <v>93</v>
      </c>
      <c r="C224" s="8">
        <v>399.0</v>
      </c>
      <c r="D224" s="8">
        <v>799.0</v>
      </c>
      <c r="E224" s="19">
        <v>0.5</v>
      </c>
      <c r="F224" s="10">
        <v>4.1</v>
      </c>
      <c r="G224" s="11">
        <v>1161.0</v>
      </c>
    </row>
    <row r="225">
      <c r="A225" s="7" t="s">
        <v>255</v>
      </c>
      <c r="B225" s="7" t="s">
        <v>15</v>
      </c>
      <c r="C225" s="8">
        <v>249.0</v>
      </c>
      <c r="D225" s="8">
        <v>499.0</v>
      </c>
      <c r="E225" s="19">
        <v>0.5</v>
      </c>
      <c r="F225" s="10">
        <v>4.1</v>
      </c>
      <c r="G225" s="11">
        <v>1508.0</v>
      </c>
    </row>
    <row r="226">
      <c r="A226" s="7" t="s">
        <v>256</v>
      </c>
      <c r="B226" s="7" t="s">
        <v>257</v>
      </c>
      <c r="C226" s="8">
        <v>1249.0</v>
      </c>
      <c r="D226" s="8">
        <v>2299.0</v>
      </c>
      <c r="E226" s="19">
        <v>0.46</v>
      </c>
      <c r="F226" s="10">
        <v>4.3</v>
      </c>
      <c r="G226" s="11">
        <v>7636.0</v>
      </c>
    </row>
    <row r="227">
      <c r="A227" s="7" t="s">
        <v>258</v>
      </c>
      <c r="B227" s="7" t="s">
        <v>71</v>
      </c>
      <c r="C227" s="8">
        <v>213.0</v>
      </c>
      <c r="D227" s="8">
        <v>499.0</v>
      </c>
      <c r="E227" s="19">
        <v>0.57</v>
      </c>
      <c r="F227" s="10">
        <v>3.7</v>
      </c>
      <c r="G227" s="10">
        <v>246.0</v>
      </c>
    </row>
    <row r="228">
      <c r="A228" s="7" t="s">
        <v>259</v>
      </c>
      <c r="B228" s="7" t="s">
        <v>71</v>
      </c>
      <c r="C228" s="8">
        <v>209.0</v>
      </c>
      <c r="D228" s="8">
        <v>499.0</v>
      </c>
      <c r="E228" s="19">
        <v>0.58</v>
      </c>
      <c r="F228" s="10">
        <v>4.0</v>
      </c>
      <c r="G228" s="10">
        <v>479.0</v>
      </c>
    </row>
    <row r="229">
      <c r="A229" s="7" t="s">
        <v>260</v>
      </c>
      <c r="B229" s="7" t="s">
        <v>31</v>
      </c>
      <c r="C229" s="8">
        <v>598.0</v>
      </c>
      <c r="D229" s="8">
        <v>4999.0</v>
      </c>
      <c r="E229" s="19">
        <v>0.88</v>
      </c>
      <c r="F229" s="10">
        <v>4.2</v>
      </c>
      <c r="G229" s="10">
        <v>910.0</v>
      </c>
    </row>
    <row r="230">
      <c r="A230" s="7" t="s">
        <v>261</v>
      </c>
      <c r="B230" s="7" t="s">
        <v>15</v>
      </c>
      <c r="C230" s="8">
        <v>799.0</v>
      </c>
      <c r="D230" s="8">
        <v>1749.0</v>
      </c>
      <c r="E230" s="19">
        <v>0.54</v>
      </c>
      <c r="F230" s="10">
        <v>4.1</v>
      </c>
      <c r="G230" s="11">
        <v>5626.0</v>
      </c>
    </row>
    <row r="231">
      <c r="A231" s="7" t="s">
        <v>262</v>
      </c>
      <c r="B231" s="7" t="s">
        <v>15</v>
      </c>
      <c r="C231" s="8">
        <v>159.0</v>
      </c>
      <c r="D231" s="8">
        <v>595.0</v>
      </c>
      <c r="E231" s="19">
        <v>0.73</v>
      </c>
      <c r="F231" s="10">
        <v>4.3</v>
      </c>
      <c r="G231" s="11">
        <v>14184.0</v>
      </c>
    </row>
    <row r="232">
      <c r="A232" s="7" t="s">
        <v>263</v>
      </c>
      <c r="B232" s="7" t="s">
        <v>264</v>
      </c>
      <c r="C232" s="8">
        <v>499.0</v>
      </c>
      <c r="D232" s="8">
        <v>1100.0</v>
      </c>
      <c r="E232" s="19">
        <v>0.55</v>
      </c>
      <c r="F232" s="10">
        <v>4.4</v>
      </c>
      <c r="G232" s="11">
        <v>25177.0</v>
      </c>
    </row>
    <row r="233">
      <c r="A233" s="7" t="s">
        <v>265</v>
      </c>
      <c r="B233" s="7" t="s">
        <v>37</v>
      </c>
      <c r="C233" s="8">
        <v>31999.0</v>
      </c>
      <c r="D233" s="8">
        <v>49999.0</v>
      </c>
      <c r="E233" s="19">
        <v>0.36</v>
      </c>
      <c r="F233" s="10">
        <v>4.3</v>
      </c>
      <c r="G233" s="11">
        <v>21252.0</v>
      </c>
    </row>
    <row r="234">
      <c r="A234" s="7" t="s">
        <v>266</v>
      </c>
      <c r="B234" s="7" t="s">
        <v>37</v>
      </c>
      <c r="C234" s="8">
        <v>32990.0</v>
      </c>
      <c r="D234" s="8">
        <v>56790.0</v>
      </c>
      <c r="E234" s="19">
        <v>0.42</v>
      </c>
      <c r="F234" s="10">
        <v>4.3</v>
      </c>
      <c r="G234" s="10">
        <v>567.0</v>
      </c>
    </row>
    <row r="235">
      <c r="A235" s="7" t="s">
        <v>267</v>
      </c>
      <c r="B235" s="7" t="s">
        <v>71</v>
      </c>
      <c r="C235" s="8">
        <v>299.0</v>
      </c>
      <c r="D235" s="8">
        <v>1199.0</v>
      </c>
      <c r="E235" s="19">
        <v>0.75</v>
      </c>
      <c r="F235" s="10">
        <v>3.5</v>
      </c>
      <c r="G235" s="10">
        <v>466.0</v>
      </c>
    </row>
    <row r="236">
      <c r="A236" s="7" t="s">
        <v>268</v>
      </c>
      <c r="B236" s="7" t="s">
        <v>15</v>
      </c>
      <c r="C236" s="8">
        <v>128.31</v>
      </c>
      <c r="D236" s="8">
        <v>549.0</v>
      </c>
      <c r="E236" s="19">
        <v>0.77</v>
      </c>
      <c r="F236" s="10">
        <v>3.9</v>
      </c>
      <c r="G236" s="10">
        <v>61.0</v>
      </c>
    </row>
    <row r="237">
      <c r="A237" s="7" t="s">
        <v>269</v>
      </c>
      <c r="B237" s="7" t="s">
        <v>15</v>
      </c>
      <c r="C237" s="8">
        <v>599.0</v>
      </c>
      <c r="D237" s="8">
        <v>849.0</v>
      </c>
      <c r="E237" s="19">
        <v>0.29</v>
      </c>
      <c r="F237" s="10">
        <v>4.5</v>
      </c>
      <c r="G237" s="10">
        <v>474.0</v>
      </c>
    </row>
    <row r="238">
      <c r="A238" s="7" t="s">
        <v>270</v>
      </c>
      <c r="B238" s="7" t="s">
        <v>71</v>
      </c>
      <c r="C238" s="8">
        <v>399.0</v>
      </c>
      <c r="D238" s="8">
        <v>899.0</v>
      </c>
      <c r="E238" s="19">
        <v>0.56</v>
      </c>
      <c r="F238" s="10">
        <v>3.4</v>
      </c>
      <c r="G238" s="10">
        <v>431.0</v>
      </c>
    </row>
    <row r="239">
      <c r="A239" s="7" t="s">
        <v>271</v>
      </c>
      <c r="B239" s="7" t="s">
        <v>15</v>
      </c>
      <c r="C239" s="8">
        <v>449.0</v>
      </c>
      <c r="D239" s="8">
        <v>1099.0</v>
      </c>
      <c r="E239" s="19">
        <v>0.59</v>
      </c>
      <c r="F239" s="10">
        <v>4.0</v>
      </c>
      <c r="G239" s="10">
        <v>242.0</v>
      </c>
    </row>
    <row r="240">
      <c r="A240" s="7" t="s">
        <v>272</v>
      </c>
      <c r="B240" s="7" t="s">
        <v>15</v>
      </c>
      <c r="C240" s="8">
        <v>254.0</v>
      </c>
      <c r="D240" s="8">
        <v>799.0</v>
      </c>
      <c r="E240" s="19">
        <v>0.68</v>
      </c>
      <c r="F240" s="10">
        <v>4.0</v>
      </c>
      <c r="G240" s="11">
        <v>2905.0</v>
      </c>
    </row>
    <row r="241">
      <c r="A241" s="7" t="s">
        <v>273</v>
      </c>
      <c r="B241" s="7" t="s">
        <v>274</v>
      </c>
      <c r="C241" s="8">
        <v>399.0</v>
      </c>
      <c r="D241" s="8">
        <v>795.0</v>
      </c>
      <c r="E241" s="19">
        <v>0.5</v>
      </c>
      <c r="F241" s="10">
        <v>4.4</v>
      </c>
      <c r="G241" s="11">
        <v>12091.0</v>
      </c>
    </row>
    <row r="242">
      <c r="A242" s="7" t="s">
        <v>275</v>
      </c>
      <c r="B242" s="7" t="s">
        <v>15</v>
      </c>
      <c r="C242" s="8">
        <v>179.0</v>
      </c>
      <c r="D242" s="8">
        <v>399.0</v>
      </c>
      <c r="E242" s="19">
        <v>0.55</v>
      </c>
      <c r="F242" s="10">
        <v>4.0</v>
      </c>
      <c r="G242" s="11">
        <v>1423.0</v>
      </c>
    </row>
    <row r="243">
      <c r="A243" s="7" t="s">
        <v>276</v>
      </c>
      <c r="B243" s="7" t="s">
        <v>15</v>
      </c>
      <c r="C243" s="8">
        <v>339.0</v>
      </c>
      <c r="D243" s="8">
        <v>999.0</v>
      </c>
      <c r="E243" s="19">
        <v>0.66</v>
      </c>
      <c r="F243" s="10">
        <v>4.3</v>
      </c>
      <c r="G243" s="11">
        <v>6255.0</v>
      </c>
    </row>
    <row r="244">
      <c r="A244" s="7" t="s">
        <v>277</v>
      </c>
      <c r="B244" s="7" t="s">
        <v>93</v>
      </c>
      <c r="C244" s="8">
        <v>399.0</v>
      </c>
      <c r="D244" s="8">
        <v>999.0</v>
      </c>
      <c r="E244" s="19">
        <v>0.6</v>
      </c>
      <c r="F244" s="10">
        <v>4.0</v>
      </c>
      <c r="G244" s="11">
        <v>1236.0</v>
      </c>
    </row>
    <row r="245">
      <c r="A245" s="7" t="s">
        <v>278</v>
      </c>
      <c r="B245" s="7" t="s">
        <v>71</v>
      </c>
      <c r="C245" s="8">
        <v>199.0</v>
      </c>
      <c r="D245" s="8">
        <v>399.0</v>
      </c>
      <c r="E245" s="19">
        <v>0.5</v>
      </c>
      <c r="F245" s="10">
        <v>4.2</v>
      </c>
      <c r="G245" s="11">
        <v>1335.0</v>
      </c>
    </row>
    <row r="246">
      <c r="A246" s="7" t="s">
        <v>279</v>
      </c>
      <c r="B246" s="7" t="s">
        <v>71</v>
      </c>
      <c r="C246" s="8">
        <v>349.0</v>
      </c>
      <c r="D246" s="8">
        <v>1999.0</v>
      </c>
      <c r="E246" s="19">
        <v>0.83</v>
      </c>
      <c r="F246" s="10">
        <v>3.8</v>
      </c>
      <c r="G246" s="10">
        <v>197.0</v>
      </c>
    </row>
    <row r="247">
      <c r="A247" s="7" t="s">
        <v>280</v>
      </c>
      <c r="B247" s="7" t="s">
        <v>15</v>
      </c>
      <c r="C247" s="8">
        <v>299.0</v>
      </c>
      <c r="D247" s="8">
        <v>798.0</v>
      </c>
      <c r="E247" s="19">
        <v>0.63</v>
      </c>
      <c r="F247" s="10">
        <v>4.4</v>
      </c>
      <c r="G247" s="11">
        <v>28791.0</v>
      </c>
    </row>
    <row r="248">
      <c r="A248" s="7" t="s">
        <v>281</v>
      </c>
      <c r="B248" s="7" t="s">
        <v>15</v>
      </c>
      <c r="C248" s="8">
        <v>89.0</v>
      </c>
      <c r="D248" s="8">
        <v>800.0</v>
      </c>
      <c r="E248" s="19">
        <v>0.89</v>
      </c>
      <c r="F248" s="10">
        <v>3.9</v>
      </c>
      <c r="G248" s="11">
        <v>1075.0</v>
      </c>
    </row>
    <row r="249">
      <c r="A249" s="7" t="s">
        <v>282</v>
      </c>
      <c r="B249" s="7" t="s">
        <v>15</v>
      </c>
      <c r="C249" s="8">
        <v>549.0</v>
      </c>
      <c r="D249" s="8">
        <v>995.0</v>
      </c>
      <c r="E249" s="19">
        <v>0.45</v>
      </c>
      <c r="F249" s="10">
        <v>4.2</v>
      </c>
      <c r="G249" s="11">
        <v>29746.0</v>
      </c>
    </row>
    <row r="250">
      <c r="A250" s="7" t="s">
        <v>283</v>
      </c>
      <c r="B250" s="7" t="s">
        <v>15</v>
      </c>
      <c r="C250" s="8">
        <v>129.0</v>
      </c>
      <c r="D250" s="8">
        <v>1000.0</v>
      </c>
      <c r="E250" s="19">
        <v>0.87</v>
      </c>
      <c r="F250" s="10">
        <v>3.9</v>
      </c>
      <c r="G250" s="10">
        <v>295.0</v>
      </c>
    </row>
    <row r="251">
      <c r="A251" s="7" t="s">
        <v>284</v>
      </c>
      <c r="B251" s="7" t="s">
        <v>37</v>
      </c>
      <c r="C251" s="8">
        <v>77990.0</v>
      </c>
      <c r="D251" s="8" t="s">
        <v>285</v>
      </c>
      <c r="E251" s="19">
        <v>0.44</v>
      </c>
      <c r="F251" s="10">
        <v>4.7</v>
      </c>
      <c r="G251" s="11">
        <v>5935.0</v>
      </c>
    </row>
    <row r="252">
      <c r="A252" s="7" t="s">
        <v>286</v>
      </c>
      <c r="B252" s="7" t="s">
        <v>71</v>
      </c>
      <c r="C252" s="8">
        <v>349.0</v>
      </c>
      <c r="D252" s="8">
        <v>799.0</v>
      </c>
      <c r="E252" s="19">
        <v>0.56</v>
      </c>
      <c r="F252" s="10">
        <v>3.6</v>
      </c>
      <c r="G252" s="10">
        <v>323.0</v>
      </c>
    </row>
    <row r="253">
      <c r="A253" s="7" t="s">
        <v>287</v>
      </c>
      <c r="B253" s="7" t="s">
        <v>71</v>
      </c>
      <c r="C253" s="8">
        <v>499.0</v>
      </c>
      <c r="D253" s="8">
        <v>899.0</v>
      </c>
      <c r="E253" s="19">
        <v>0.44</v>
      </c>
      <c r="F253" s="10">
        <v>3.7</v>
      </c>
      <c r="G253" s="10">
        <v>185.0</v>
      </c>
    </row>
    <row r="254">
      <c r="A254" s="7" t="s">
        <v>288</v>
      </c>
      <c r="B254" s="7" t="s">
        <v>15</v>
      </c>
      <c r="C254" s="8">
        <v>299.0</v>
      </c>
      <c r="D254" s="8">
        <v>799.0</v>
      </c>
      <c r="E254" s="19">
        <v>0.63</v>
      </c>
      <c r="F254" s="10">
        <v>4.2</v>
      </c>
      <c r="G254" s="11">
        <v>2117.0</v>
      </c>
    </row>
    <row r="255">
      <c r="A255" s="7" t="s">
        <v>289</v>
      </c>
      <c r="B255" s="7" t="s">
        <v>15</v>
      </c>
      <c r="C255" s="8">
        <v>182.0</v>
      </c>
      <c r="D255" s="8">
        <v>599.0</v>
      </c>
      <c r="E255" s="19">
        <v>0.7</v>
      </c>
      <c r="F255" s="10">
        <v>4.0</v>
      </c>
      <c r="G255" s="11">
        <v>9378.0</v>
      </c>
    </row>
    <row r="256">
      <c r="A256" s="7" t="s">
        <v>290</v>
      </c>
      <c r="B256" s="7" t="s">
        <v>93</v>
      </c>
      <c r="C256" s="8">
        <v>96.0</v>
      </c>
      <c r="D256" s="8">
        <v>399.0</v>
      </c>
      <c r="E256" s="19">
        <v>0.76</v>
      </c>
      <c r="F256" s="10">
        <v>3.6</v>
      </c>
      <c r="G256" s="11">
        <v>1796.0</v>
      </c>
    </row>
    <row r="257">
      <c r="A257" s="7" t="s">
        <v>291</v>
      </c>
      <c r="B257" s="7" t="s">
        <v>37</v>
      </c>
      <c r="C257" s="8">
        <v>54990.0</v>
      </c>
      <c r="D257" s="8">
        <v>85000.0</v>
      </c>
      <c r="E257" s="19">
        <v>0.35</v>
      </c>
      <c r="F257" s="10">
        <v>4.3</v>
      </c>
      <c r="G257" s="11">
        <v>3587.0</v>
      </c>
    </row>
    <row r="258">
      <c r="A258" s="7" t="s">
        <v>292</v>
      </c>
      <c r="B258" s="7" t="s">
        <v>155</v>
      </c>
      <c r="C258" s="8">
        <v>439.0</v>
      </c>
      <c r="D258" s="8">
        <v>758.0</v>
      </c>
      <c r="E258" s="19">
        <v>0.42</v>
      </c>
      <c r="F258" s="10">
        <v>4.2</v>
      </c>
      <c r="G258" s="11">
        <v>4296.0</v>
      </c>
    </row>
    <row r="259">
      <c r="A259" s="7" t="s">
        <v>293</v>
      </c>
      <c r="B259" s="7" t="s">
        <v>15</v>
      </c>
      <c r="C259" s="8">
        <v>299.0</v>
      </c>
      <c r="D259" s="8">
        <v>999.0</v>
      </c>
      <c r="E259" s="19">
        <v>0.7</v>
      </c>
      <c r="F259" s="10">
        <v>4.3</v>
      </c>
      <c r="G259" s="11">
        <v>2651.0</v>
      </c>
    </row>
    <row r="260">
      <c r="A260" s="7" t="s">
        <v>294</v>
      </c>
      <c r="B260" s="7" t="s">
        <v>15</v>
      </c>
      <c r="C260" s="8">
        <v>299.0</v>
      </c>
      <c r="D260" s="8">
        <v>799.0</v>
      </c>
      <c r="E260" s="19">
        <v>0.63</v>
      </c>
      <c r="F260" s="10">
        <v>4.2</v>
      </c>
      <c r="G260" s="11">
        <v>94363.0</v>
      </c>
    </row>
    <row r="261">
      <c r="A261" s="7" t="s">
        <v>295</v>
      </c>
      <c r="B261" s="7" t="s">
        <v>15</v>
      </c>
      <c r="C261" s="8">
        <v>789.0</v>
      </c>
      <c r="D261" s="8">
        <v>1999.0</v>
      </c>
      <c r="E261" s="19">
        <v>0.61</v>
      </c>
      <c r="F261" s="10">
        <v>4.2</v>
      </c>
      <c r="G261" s="11">
        <v>34540.0</v>
      </c>
    </row>
    <row r="262">
      <c r="A262" s="7" t="s">
        <v>296</v>
      </c>
      <c r="B262" s="7" t="s">
        <v>31</v>
      </c>
      <c r="C262" s="8">
        <v>299.0</v>
      </c>
      <c r="D262" s="8">
        <v>700.0</v>
      </c>
      <c r="E262" s="19">
        <v>0.57</v>
      </c>
      <c r="F262" s="10">
        <v>4.4</v>
      </c>
      <c r="G262" s="11">
        <v>8714.0</v>
      </c>
    </row>
    <row r="263">
      <c r="A263" s="7" t="s">
        <v>297</v>
      </c>
      <c r="B263" s="7" t="s">
        <v>15</v>
      </c>
      <c r="C263" s="8">
        <v>325.0</v>
      </c>
      <c r="D263" s="8">
        <v>1099.0</v>
      </c>
      <c r="E263" s="19">
        <v>0.7</v>
      </c>
      <c r="F263" s="10">
        <v>4.2</v>
      </c>
      <c r="G263" s="11">
        <v>10576.0</v>
      </c>
    </row>
    <row r="264">
      <c r="A264" s="7" t="s">
        <v>298</v>
      </c>
      <c r="B264" s="7" t="s">
        <v>15</v>
      </c>
      <c r="C264" s="8">
        <v>1299.0</v>
      </c>
      <c r="D264" s="8">
        <v>1999.0</v>
      </c>
      <c r="E264" s="19">
        <v>0.35</v>
      </c>
      <c r="F264" s="10">
        <v>4.4</v>
      </c>
      <c r="G264" s="11">
        <v>7318.0</v>
      </c>
    </row>
    <row r="265">
      <c r="A265" s="7" t="s">
        <v>299</v>
      </c>
      <c r="B265" s="7" t="s">
        <v>71</v>
      </c>
      <c r="C265" s="8">
        <v>790.0</v>
      </c>
      <c r="D265" s="8">
        <v>1999.0</v>
      </c>
      <c r="E265" s="19">
        <v>0.6</v>
      </c>
      <c r="F265" s="10">
        <v>3.0</v>
      </c>
      <c r="G265" s="10">
        <v>103.0</v>
      </c>
    </row>
    <row r="266">
      <c r="A266" s="7" t="s">
        <v>300</v>
      </c>
      <c r="B266" s="7" t="s">
        <v>301</v>
      </c>
      <c r="C266" s="8">
        <v>4699.0</v>
      </c>
      <c r="D266" s="8">
        <v>4699.0</v>
      </c>
      <c r="E266" s="19">
        <v>0.0</v>
      </c>
      <c r="F266" s="10">
        <v>4.5</v>
      </c>
      <c r="G266" s="10">
        <v>224.0</v>
      </c>
    </row>
    <row r="267">
      <c r="A267" s="7" t="s">
        <v>302</v>
      </c>
      <c r="B267" s="7" t="s">
        <v>37</v>
      </c>
      <c r="C267" s="8">
        <v>18999.0</v>
      </c>
      <c r="D267" s="8">
        <v>24990.0</v>
      </c>
      <c r="E267" s="19">
        <v>0.24</v>
      </c>
      <c r="F267" s="10">
        <v>4.3</v>
      </c>
      <c r="G267" s="11">
        <v>4702.0</v>
      </c>
    </row>
    <row r="268">
      <c r="A268" s="7" t="s">
        <v>303</v>
      </c>
      <c r="B268" s="7" t="s">
        <v>15</v>
      </c>
      <c r="C268" s="8">
        <v>199.0</v>
      </c>
      <c r="D268" s="8">
        <v>999.0</v>
      </c>
      <c r="E268" s="19">
        <v>0.8</v>
      </c>
      <c r="F268" s="10">
        <v>4.2</v>
      </c>
      <c r="G268" s="10">
        <v>85.0</v>
      </c>
    </row>
    <row r="269">
      <c r="A269" s="7" t="s">
        <v>304</v>
      </c>
      <c r="B269" s="7" t="s">
        <v>31</v>
      </c>
      <c r="C269" s="8">
        <v>269.0</v>
      </c>
      <c r="D269" s="8">
        <v>650.0</v>
      </c>
      <c r="E269" s="19">
        <v>0.59</v>
      </c>
      <c r="F269" s="10">
        <v>4.4</v>
      </c>
      <c r="G269" s="11">
        <v>35877.0</v>
      </c>
    </row>
    <row r="270">
      <c r="A270" s="7" t="s">
        <v>305</v>
      </c>
      <c r="B270" s="7" t="s">
        <v>306</v>
      </c>
      <c r="C270" s="8">
        <v>1990.0</v>
      </c>
      <c r="D270" s="8">
        <v>3100.0</v>
      </c>
      <c r="E270" s="19">
        <v>0.36</v>
      </c>
      <c r="F270" s="10">
        <v>4.0</v>
      </c>
      <c r="G270" s="10">
        <v>897.0</v>
      </c>
    </row>
    <row r="271">
      <c r="A271" s="7" t="s">
        <v>307</v>
      </c>
      <c r="B271" s="7" t="s">
        <v>308</v>
      </c>
      <c r="C271" s="8">
        <v>2299.0</v>
      </c>
      <c r="D271" s="8">
        <v>3999.0</v>
      </c>
      <c r="E271" s="19">
        <v>0.43</v>
      </c>
      <c r="F271" s="10">
        <v>3.8</v>
      </c>
      <c r="G271" s="10">
        <v>282.0</v>
      </c>
    </row>
    <row r="272">
      <c r="A272" s="7" t="s">
        <v>309</v>
      </c>
      <c r="B272" s="7" t="s">
        <v>37</v>
      </c>
      <c r="C272" s="8">
        <v>35999.0</v>
      </c>
      <c r="D272" s="8">
        <v>49990.0</v>
      </c>
      <c r="E272" s="19">
        <v>0.28</v>
      </c>
      <c r="F272" s="10">
        <v>4.3</v>
      </c>
      <c r="G272" s="11">
        <v>1611.0</v>
      </c>
    </row>
    <row r="273">
      <c r="A273" s="7" t="s">
        <v>310</v>
      </c>
      <c r="B273" s="7" t="s">
        <v>71</v>
      </c>
      <c r="C273" s="8">
        <v>349.0</v>
      </c>
      <c r="D273" s="8">
        <v>999.0</v>
      </c>
      <c r="E273" s="19">
        <v>0.65</v>
      </c>
      <c r="F273" s="10">
        <v>4.2</v>
      </c>
      <c r="G273" s="10">
        <v>513.0</v>
      </c>
    </row>
    <row r="274">
      <c r="A274" s="7" t="s">
        <v>311</v>
      </c>
      <c r="B274" s="7" t="s">
        <v>15</v>
      </c>
      <c r="C274" s="8">
        <v>719.0</v>
      </c>
      <c r="D274" s="8">
        <v>1499.0</v>
      </c>
      <c r="E274" s="19">
        <v>0.52</v>
      </c>
      <c r="F274" s="10">
        <v>4.1</v>
      </c>
      <c r="G274" s="11">
        <v>1045.0</v>
      </c>
    </row>
    <row r="275">
      <c r="A275" s="7" t="s">
        <v>312</v>
      </c>
      <c r="B275" s="7" t="s">
        <v>37</v>
      </c>
      <c r="C275" s="8">
        <v>8999.0</v>
      </c>
      <c r="D275" s="8">
        <v>18999.0</v>
      </c>
      <c r="E275" s="19">
        <v>0.53</v>
      </c>
      <c r="F275" s="10">
        <v>4.0</v>
      </c>
      <c r="G275" s="11">
        <v>6347.0</v>
      </c>
    </row>
    <row r="276">
      <c r="A276" s="7" t="s">
        <v>313</v>
      </c>
      <c r="B276" s="7" t="s">
        <v>257</v>
      </c>
      <c r="C276" s="8">
        <v>917.0</v>
      </c>
      <c r="D276" s="8">
        <v>2299.0</v>
      </c>
      <c r="E276" s="19">
        <v>0.6</v>
      </c>
      <c r="F276" s="10">
        <v>4.2</v>
      </c>
      <c r="G276" s="11">
        <v>3300.0</v>
      </c>
    </row>
    <row r="277">
      <c r="A277" s="7" t="s">
        <v>314</v>
      </c>
      <c r="B277" s="7" t="s">
        <v>71</v>
      </c>
      <c r="C277" s="8">
        <v>399.0</v>
      </c>
      <c r="D277" s="8">
        <v>999.0</v>
      </c>
      <c r="E277" s="19">
        <v>0.6</v>
      </c>
      <c r="F277" s="10">
        <v>3.3</v>
      </c>
      <c r="G277" s="10">
        <v>23.0</v>
      </c>
    </row>
    <row r="278">
      <c r="A278" s="7" t="s">
        <v>315</v>
      </c>
      <c r="B278" s="7" t="s">
        <v>37</v>
      </c>
      <c r="C278" s="8">
        <v>45999.0</v>
      </c>
      <c r="D278" s="8">
        <v>69900.0</v>
      </c>
      <c r="E278" s="19">
        <v>0.34</v>
      </c>
      <c r="F278" s="10">
        <v>4.3</v>
      </c>
      <c r="G278" s="11">
        <v>7109.0</v>
      </c>
    </row>
    <row r="279">
      <c r="A279" s="7" t="s">
        <v>316</v>
      </c>
      <c r="B279" s="7" t="s">
        <v>15</v>
      </c>
      <c r="C279" s="8">
        <v>119.0</v>
      </c>
      <c r="D279" s="8">
        <v>299.0</v>
      </c>
      <c r="E279" s="19">
        <v>0.6</v>
      </c>
      <c r="F279" s="10">
        <v>3.8</v>
      </c>
      <c r="G279" s="10">
        <v>51.0</v>
      </c>
    </row>
    <row r="280">
      <c r="A280" s="7" t="s">
        <v>317</v>
      </c>
      <c r="B280" s="7" t="s">
        <v>37</v>
      </c>
      <c r="C280" s="8">
        <v>21999.0</v>
      </c>
      <c r="D280" s="8">
        <v>29999.0</v>
      </c>
      <c r="E280" s="19">
        <v>0.27</v>
      </c>
      <c r="F280" s="10">
        <v>4.2</v>
      </c>
      <c r="G280" s="11">
        <v>32840.0</v>
      </c>
    </row>
    <row r="281">
      <c r="A281" s="7" t="s">
        <v>318</v>
      </c>
      <c r="B281" s="7" t="s">
        <v>71</v>
      </c>
      <c r="C281" s="8">
        <v>299.0</v>
      </c>
      <c r="D281" s="8">
        <v>599.0</v>
      </c>
      <c r="E281" s="19">
        <v>0.5</v>
      </c>
      <c r="F281" s="10">
        <v>3.7</v>
      </c>
      <c r="G281" s="10">
        <v>708.0</v>
      </c>
    </row>
    <row r="282">
      <c r="A282" s="7" t="s">
        <v>319</v>
      </c>
      <c r="B282" s="7" t="s">
        <v>37</v>
      </c>
      <c r="C282" s="8">
        <v>21990.0</v>
      </c>
      <c r="D282" s="8">
        <v>34990.0</v>
      </c>
      <c r="E282" s="19">
        <v>0.37</v>
      </c>
      <c r="F282" s="10">
        <v>4.3</v>
      </c>
      <c r="G282" s="11">
        <v>1657.0</v>
      </c>
    </row>
    <row r="283">
      <c r="A283" s="7" t="s">
        <v>320</v>
      </c>
      <c r="B283" s="7" t="s">
        <v>15</v>
      </c>
      <c r="C283" s="8">
        <v>417.44</v>
      </c>
      <c r="D283" s="8">
        <v>670.0</v>
      </c>
      <c r="E283" s="19">
        <v>0.38</v>
      </c>
      <c r="F283" s="10">
        <v>3.9</v>
      </c>
      <c r="G283" s="10">
        <v>523.0</v>
      </c>
    </row>
    <row r="284">
      <c r="A284" s="7" t="s">
        <v>321</v>
      </c>
      <c r="B284" s="7" t="s">
        <v>15</v>
      </c>
      <c r="C284" s="8">
        <v>199.0</v>
      </c>
      <c r="D284" s="8">
        <v>999.0</v>
      </c>
      <c r="E284" s="19">
        <v>0.8</v>
      </c>
      <c r="F284" s="10">
        <v>3.0</v>
      </c>
      <c r="G284" s="7"/>
    </row>
    <row r="285">
      <c r="A285" s="7" t="s">
        <v>322</v>
      </c>
      <c r="B285" s="7" t="s">
        <v>37</v>
      </c>
      <c r="C285" s="8">
        <v>47990.0</v>
      </c>
      <c r="D285" s="8">
        <v>79990.0</v>
      </c>
      <c r="E285" s="19">
        <v>0.4</v>
      </c>
      <c r="F285" s="10">
        <v>4.3</v>
      </c>
      <c r="G285" s="11">
        <v>1376.0</v>
      </c>
    </row>
    <row r="286">
      <c r="A286" s="7" t="s">
        <v>323</v>
      </c>
      <c r="B286" s="7" t="s">
        <v>71</v>
      </c>
      <c r="C286" s="8">
        <v>215.0</v>
      </c>
      <c r="D286" s="8">
        <v>499.0</v>
      </c>
      <c r="E286" s="19">
        <v>0.57</v>
      </c>
      <c r="F286" s="10">
        <v>3.5</v>
      </c>
      <c r="G286" s="10">
        <v>121.0</v>
      </c>
    </row>
    <row r="287">
      <c r="A287" s="7" t="s">
        <v>324</v>
      </c>
      <c r="B287" s="7" t="s">
        <v>15</v>
      </c>
      <c r="C287" s="8">
        <v>99.0</v>
      </c>
      <c r="D287" s="8">
        <v>800.0</v>
      </c>
      <c r="E287" s="19">
        <v>0.88</v>
      </c>
      <c r="F287" s="10">
        <v>3.9</v>
      </c>
      <c r="G287" s="11">
        <v>1075.0</v>
      </c>
    </row>
    <row r="288">
      <c r="A288" s="7" t="s">
        <v>325</v>
      </c>
      <c r="B288" s="7" t="s">
        <v>37</v>
      </c>
      <c r="C288" s="8">
        <v>18999.0</v>
      </c>
      <c r="D288" s="8">
        <v>35000.0</v>
      </c>
      <c r="E288" s="19">
        <v>0.46</v>
      </c>
      <c r="F288" s="10">
        <v>4.0</v>
      </c>
      <c r="G288" s="11">
        <v>1001.0</v>
      </c>
    </row>
    <row r="289">
      <c r="A289" s="7" t="s">
        <v>326</v>
      </c>
      <c r="B289" s="7" t="s">
        <v>15</v>
      </c>
      <c r="C289" s="8">
        <v>249.0</v>
      </c>
      <c r="D289" s="8">
        <v>999.0</v>
      </c>
      <c r="E289" s="19">
        <v>0.75</v>
      </c>
      <c r="F289" s="10">
        <v>4.3</v>
      </c>
      <c r="G289" s="10">
        <v>112.0</v>
      </c>
    </row>
    <row r="290">
      <c r="A290" s="7" t="s">
        <v>327</v>
      </c>
      <c r="B290" s="7" t="s">
        <v>77</v>
      </c>
      <c r="C290" s="8">
        <v>7999.0</v>
      </c>
      <c r="D290" s="8">
        <v>15999.0</v>
      </c>
      <c r="E290" s="19">
        <v>0.5</v>
      </c>
      <c r="F290" s="10">
        <v>3.8</v>
      </c>
      <c r="G290" s="11">
        <v>3022.0</v>
      </c>
    </row>
    <row r="291">
      <c r="A291" s="7" t="s">
        <v>328</v>
      </c>
      <c r="B291" s="7" t="s">
        <v>15</v>
      </c>
      <c r="C291" s="8">
        <v>649.0</v>
      </c>
      <c r="D291" s="8">
        <v>1600.0</v>
      </c>
      <c r="E291" s="19">
        <v>0.59</v>
      </c>
      <c r="F291" s="10">
        <v>4.3</v>
      </c>
      <c r="G291" s="11">
        <v>5451.0</v>
      </c>
    </row>
    <row r="292">
      <c r="A292" s="7" t="s">
        <v>104</v>
      </c>
      <c r="B292" s="7" t="s">
        <v>71</v>
      </c>
      <c r="C292" s="8">
        <v>1289.0</v>
      </c>
      <c r="D292" s="8">
        <v>2499.0</v>
      </c>
      <c r="E292" s="19">
        <v>0.48</v>
      </c>
      <c r="F292" s="10">
        <v>3.3</v>
      </c>
      <c r="G292" s="10">
        <v>73.0</v>
      </c>
    </row>
    <row r="293">
      <c r="A293" s="7" t="s">
        <v>329</v>
      </c>
      <c r="B293" s="7" t="s">
        <v>31</v>
      </c>
      <c r="C293" s="8">
        <v>609.0</v>
      </c>
      <c r="D293" s="8">
        <v>1500.0</v>
      </c>
      <c r="E293" s="19">
        <v>0.59</v>
      </c>
      <c r="F293" s="10">
        <v>4.5</v>
      </c>
      <c r="G293" s="11">
        <v>1029.0</v>
      </c>
    </row>
    <row r="294">
      <c r="A294" s="7" t="s">
        <v>330</v>
      </c>
      <c r="B294" s="7" t="s">
        <v>37</v>
      </c>
      <c r="C294" s="8">
        <v>32990.0</v>
      </c>
      <c r="D294" s="8">
        <v>54990.0</v>
      </c>
      <c r="E294" s="19">
        <v>0.4</v>
      </c>
      <c r="F294" s="10">
        <v>4.1</v>
      </c>
      <c r="G294" s="11">
        <v>1555.0</v>
      </c>
    </row>
    <row r="295">
      <c r="A295" s="7" t="s">
        <v>331</v>
      </c>
      <c r="B295" s="7" t="s">
        <v>31</v>
      </c>
      <c r="C295" s="8">
        <v>599.0</v>
      </c>
      <c r="D295" s="8">
        <v>1999.0</v>
      </c>
      <c r="E295" s="19">
        <v>0.7</v>
      </c>
      <c r="F295" s="10">
        <v>4.2</v>
      </c>
      <c r="G295" s="10">
        <v>47.0</v>
      </c>
    </row>
    <row r="296">
      <c r="A296" s="7" t="s">
        <v>332</v>
      </c>
      <c r="B296" s="7" t="s">
        <v>15</v>
      </c>
      <c r="C296" s="8">
        <v>349.0</v>
      </c>
      <c r="D296" s="8">
        <v>899.0</v>
      </c>
      <c r="E296" s="19">
        <v>0.61</v>
      </c>
      <c r="F296" s="10">
        <v>4.1</v>
      </c>
      <c r="G296" s="11">
        <v>14896.0</v>
      </c>
    </row>
    <row r="297">
      <c r="A297" s="7" t="s">
        <v>333</v>
      </c>
      <c r="B297" s="7" t="s">
        <v>37</v>
      </c>
      <c r="C297" s="8">
        <v>29999.0</v>
      </c>
      <c r="D297" s="8">
        <v>50999.0</v>
      </c>
      <c r="E297" s="19">
        <v>0.41</v>
      </c>
      <c r="F297" s="10">
        <v>4.4</v>
      </c>
      <c r="G297" s="11">
        <v>1712.0</v>
      </c>
    </row>
    <row r="298">
      <c r="A298" s="7" t="s">
        <v>278</v>
      </c>
      <c r="B298" s="7" t="s">
        <v>71</v>
      </c>
      <c r="C298" s="8">
        <v>199.0</v>
      </c>
      <c r="D298" s="8">
        <v>399.0</v>
      </c>
      <c r="E298" s="19">
        <v>0.5</v>
      </c>
      <c r="F298" s="10">
        <v>4.2</v>
      </c>
      <c r="G298" s="11">
        <v>1335.0</v>
      </c>
    </row>
    <row r="299">
      <c r="A299" s="7" t="s">
        <v>334</v>
      </c>
      <c r="B299" s="7" t="s">
        <v>71</v>
      </c>
      <c r="C299" s="8">
        <v>349.0</v>
      </c>
      <c r="D299" s="8">
        <v>699.0</v>
      </c>
      <c r="E299" s="19">
        <v>0.5</v>
      </c>
      <c r="F299" s="10">
        <v>3.9</v>
      </c>
      <c r="G299" s="10">
        <v>214.0</v>
      </c>
    </row>
    <row r="300">
      <c r="A300" s="7" t="s">
        <v>335</v>
      </c>
      <c r="B300" s="7" t="s">
        <v>93</v>
      </c>
      <c r="C300" s="8">
        <v>1850.0</v>
      </c>
      <c r="D300" s="8">
        <v>4500.0</v>
      </c>
      <c r="E300" s="19">
        <v>0.59</v>
      </c>
      <c r="F300" s="10">
        <v>4.0</v>
      </c>
      <c r="G300" s="10">
        <v>184.0</v>
      </c>
    </row>
    <row r="301">
      <c r="A301" s="7" t="s">
        <v>336</v>
      </c>
      <c r="B301" s="7" t="s">
        <v>187</v>
      </c>
      <c r="C301" s="8">
        <v>13990.0</v>
      </c>
      <c r="D301" s="8">
        <v>28900.0</v>
      </c>
      <c r="E301" s="19">
        <v>0.52</v>
      </c>
      <c r="F301" s="10">
        <v>4.5</v>
      </c>
      <c r="G301" s="10">
        <v>7.0</v>
      </c>
    </row>
    <row r="302">
      <c r="A302" s="7" t="s">
        <v>337</v>
      </c>
      <c r="B302" s="7" t="s">
        <v>15</v>
      </c>
      <c r="C302" s="8">
        <v>129.0</v>
      </c>
      <c r="D302" s="8">
        <v>449.0</v>
      </c>
      <c r="E302" s="19">
        <v>0.71</v>
      </c>
      <c r="F302" s="10">
        <v>3.7</v>
      </c>
      <c r="G302" s="10">
        <v>41.0</v>
      </c>
    </row>
    <row r="303">
      <c r="A303" s="7" t="s">
        <v>338</v>
      </c>
      <c r="B303" s="7" t="s">
        <v>31</v>
      </c>
      <c r="C303" s="8">
        <v>379.0</v>
      </c>
      <c r="D303" s="8">
        <v>999.0</v>
      </c>
      <c r="E303" s="19">
        <v>0.62</v>
      </c>
      <c r="F303" s="10">
        <v>4.2</v>
      </c>
      <c r="G303" s="11">
        <v>12153.0</v>
      </c>
    </row>
    <row r="304">
      <c r="A304" s="7" t="s">
        <v>339</v>
      </c>
      <c r="B304" s="7" t="s">
        <v>31</v>
      </c>
      <c r="C304" s="8">
        <v>185.0</v>
      </c>
      <c r="D304" s="8">
        <v>499.0</v>
      </c>
      <c r="E304" s="19">
        <v>0.63</v>
      </c>
      <c r="F304" s="10">
        <v>4.2</v>
      </c>
      <c r="G304" s="10">
        <v>25.0</v>
      </c>
    </row>
    <row r="305">
      <c r="A305" s="7" t="s">
        <v>340</v>
      </c>
      <c r="B305" s="7" t="s">
        <v>25</v>
      </c>
      <c r="C305" s="8">
        <v>218.0</v>
      </c>
      <c r="D305" s="8">
        <v>999.0</v>
      </c>
      <c r="E305" s="19">
        <v>0.78</v>
      </c>
      <c r="F305" s="10">
        <v>4.2</v>
      </c>
      <c r="G305" s="10">
        <v>163.0</v>
      </c>
    </row>
    <row r="306">
      <c r="A306" s="7" t="s">
        <v>341</v>
      </c>
      <c r="B306" s="7" t="s">
        <v>15</v>
      </c>
      <c r="C306" s="8">
        <v>199.0</v>
      </c>
      <c r="D306" s="8">
        <v>999.0</v>
      </c>
      <c r="E306" s="19">
        <v>0.8</v>
      </c>
      <c r="F306" s="10">
        <v>4.3</v>
      </c>
      <c r="G306" s="10">
        <v>87.0</v>
      </c>
    </row>
    <row r="307">
      <c r="A307" s="7" t="s">
        <v>342</v>
      </c>
      <c r="B307" s="7" t="s">
        <v>31</v>
      </c>
      <c r="C307" s="8">
        <v>499.0</v>
      </c>
      <c r="D307" s="8">
        <v>900.0</v>
      </c>
      <c r="E307" s="19">
        <v>0.45</v>
      </c>
      <c r="F307" s="10">
        <v>4.4</v>
      </c>
      <c r="G307" s="11">
        <v>2165.0</v>
      </c>
    </row>
    <row r="308">
      <c r="A308" s="7" t="s">
        <v>343</v>
      </c>
      <c r="B308" s="7" t="s">
        <v>37</v>
      </c>
      <c r="C308" s="8">
        <v>26999.0</v>
      </c>
      <c r="D308" s="8">
        <v>42999.0</v>
      </c>
      <c r="E308" s="19">
        <v>0.37</v>
      </c>
      <c r="F308" s="10">
        <v>4.2</v>
      </c>
      <c r="G308" s="11">
        <v>1510.0</v>
      </c>
    </row>
    <row r="309">
      <c r="A309" s="7" t="s">
        <v>344</v>
      </c>
      <c r="B309" s="7" t="s">
        <v>93</v>
      </c>
      <c r="C309" s="8">
        <v>893.0</v>
      </c>
      <c r="D309" s="8">
        <v>1052.0</v>
      </c>
      <c r="E309" s="19">
        <v>0.15</v>
      </c>
      <c r="F309" s="10">
        <v>4.3</v>
      </c>
      <c r="G309" s="10">
        <v>106.0</v>
      </c>
    </row>
    <row r="310">
      <c r="A310" s="7" t="s">
        <v>345</v>
      </c>
      <c r="B310" s="7" t="s">
        <v>37</v>
      </c>
      <c r="C310" s="8">
        <v>10990.0</v>
      </c>
      <c r="D310" s="8">
        <v>19990.0</v>
      </c>
      <c r="E310" s="19">
        <v>0.45</v>
      </c>
      <c r="F310" s="10">
        <v>3.7</v>
      </c>
      <c r="G310" s="10">
        <v>129.0</v>
      </c>
    </row>
    <row r="311">
      <c r="A311" s="7" t="s">
        <v>346</v>
      </c>
      <c r="B311" s="7" t="s">
        <v>15</v>
      </c>
      <c r="C311" s="8">
        <v>379.0</v>
      </c>
      <c r="D311" s="8">
        <v>1099.0</v>
      </c>
      <c r="E311" s="19">
        <v>0.66</v>
      </c>
      <c r="F311" s="10">
        <v>4.3</v>
      </c>
      <c r="G311" s="11">
        <v>3049.0</v>
      </c>
    </row>
    <row r="312">
      <c r="A312" s="7" t="s">
        <v>347</v>
      </c>
      <c r="B312" s="7" t="s">
        <v>37</v>
      </c>
      <c r="C312" s="8">
        <v>16999.0</v>
      </c>
      <c r="D312" s="8">
        <v>25999.0</v>
      </c>
      <c r="E312" s="19">
        <v>0.35</v>
      </c>
      <c r="F312" s="10">
        <v>4.2</v>
      </c>
      <c r="G312" s="11">
        <v>32840.0</v>
      </c>
    </row>
    <row r="313">
      <c r="A313" s="7" t="s">
        <v>348</v>
      </c>
      <c r="B313" s="7" t="s">
        <v>31</v>
      </c>
      <c r="C313" s="8">
        <v>699.0</v>
      </c>
      <c r="D313" s="8">
        <v>1899.0</v>
      </c>
      <c r="E313" s="19">
        <v>0.63</v>
      </c>
      <c r="F313" s="10">
        <v>4.4</v>
      </c>
      <c r="G313" s="10">
        <v>390.0</v>
      </c>
    </row>
    <row r="314">
      <c r="A314" s="7" t="s">
        <v>349</v>
      </c>
      <c r="B314" s="7" t="s">
        <v>350</v>
      </c>
      <c r="C314" s="8">
        <v>2699.0</v>
      </c>
      <c r="D314" s="8">
        <v>3500.0</v>
      </c>
      <c r="E314" s="19">
        <v>0.23</v>
      </c>
      <c r="F314" s="10">
        <v>3.5</v>
      </c>
      <c r="G314" s="10">
        <v>621.0</v>
      </c>
    </row>
    <row r="315">
      <c r="A315" s="7" t="s">
        <v>351</v>
      </c>
      <c r="B315" s="7" t="s">
        <v>15</v>
      </c>
      <c r="C315" s="8">
        <v>129.0</v>
      </c>
      <c r="D315" s="8">
        <v>599.0</v>
      </c>
      <c r="E315" s="19">
        <v>0.78</v>
      </c>
      <c r="F315" s="10">
        <v>4.1</v>
      </c>
      <c r="G315" s="10">
        <v>265.0</v>
      </c>
    </row>
    <row r="316">
      <c r="A316" s="7" t="s">
        <v>352</v>
      </c>
      <c r="B316" s="7" t="s">
        <v>15</v>
      </c>
      <c r="C316" s="8">
        <v>389.0</v>
      </c>
      <c r="D316" s="8">
        <v>999.0</v>
      </c>
      <c r="E316" s="19">
        <v>0.61</v>
      </c>
      <c r="F316" s="10">
        <v>4.3</v>
      </c>
      <c r="G316" s="10">
        <v>838.0</v>
      </c>
    </row>
    <row r="317">
      <c r="A317" s="7" t="s">
        <v>353</v>
      </c>
      <c r="B317" s="7" t="s">
        <v>71</v>
      </c>
      <c r="C317" s="8">
        <v>246.0</v>
      </c>
      <c r="D317" s="8">
        <v>600.0</v>
      </c>
      <c r="E317" s="19">
        <v>0.59</v>
      </c>
      <c r="F317" s="10">
        <v>4.2</v>
      </c>
      <c r="G317" s="10">
        <v>143.0</v>
      </c>
    </row>
    <row r="318">
      <c r="A318" s="7" t="s">
        <v>354</v>
      </c>
      <c r="B318" s="7" t="s">
        <v>15</v>
      </c>
      <c r="C318" s="8">
        <v>299.0</v>
      </c>
      <c r="D318" s="8">
        <v>799.0</v>
      </c>
      <c r="E318" s="19">
        <v>0.63</v>
      </c>
      <c r="F318" s="10">
        <v>4.0</v>
      </c>
      <c r="G318" s="10">
        <v>151.0</v>
      </c>
    </row>
    <row r="319">
      <c r="A319" s="7" t="s">
        <v>355</v>
      </c>
      <c r="B319" s="7" t="s">
        <v>71</v>
      </c>
      <c r="C319" s="8">
        <v>247.0</v>
      </c>
      <c r="D319" s="8">
        <v>399.0</v>
      </c>
      <c r="E319" s="19">
        <v>0.38</v>
      </c>
      <c r="F319" s="10">
        <v>3.9</v>
      </c>
      <c r="G319" s="10">
        <v>200.0</v>
      </c>
    </row>
    <row r="320">
      <c r="A320" s="7" t="s">
        <v>356</v>
      </c>
      <c r="B320" s="7" t="s">
        <v>71</v>
      </c>
      <c r="C320" s="8">
        <v>1369.0</v>
      </c>
      <c r="D320" s="8">
        <v>2999.0</v>
      </c>
      <c r="E320" s="19">
        <v>0.54</v>
      </c>
      <c r="F320" s="10">
        <v>3.3</v>
      </c>
      <c r="G320" s="10">
        <v>227.0</v>
      </c>
    </row>
    <row r="321">
      <c r="A321" s="7" t="s">
        <v>357</v>
      </c>
      <c r="B321" s="7" t="s">
        <v>71</v>
      </c>
      <c r="C321" s="8">
        <v>199.0</v>
      </c>
      <c r="D321" s="8">
        <v>499.0</v>
      </c>
      <c r="E321" s="19">
        <v>0.6</v>
      </c>
      <c r="F321" s="10">
        <v>3.8</v>
      </c>
      <c r="G321" s="10">
        <v>538.0</v>
      </c>
    </row>
    <row r="322">
      <c r="A322" s="7" t="s">
        <v>358</v>
      </c>
      <c r="B322" s="7" t="s">
        <v>31</v>
      </c>
      <c r="C322" s="8">
        <v>299.0</v>
      </c>
      <c r="D322" s="8">
        <v>599.0</v>
      </c>
      <c r="E322" s="19">
        <v>0.5</v>
      </c>
      <c r="F322" s="10">
        <v>4.0</v>
      </c>
      <c r="G322" s="10">
        <v>171.0</v>
      </c>
    </row>
    <row r="323">
      <c r="A323" s="7" t="s">
        <v>359</v>
      </c>
      <c r="B323" s="7" t="s">
        <v>37</v>
      </c>
      <c r="C323" s="8">
        <v>14999.0</v>
      </c>
      <c r="D323" s="8">
        <v>14999.0</v>
      </c>
      <c r="E323" s="19">
        <v>0.0</v>
      </c>
      <c r="F323" s="10">
        <v>4.3</v>
      </c>
      <c r="G323" s="11">
        <v>27508.0</v>
      </c>
    </row>
    <row r="324">
      <c r="A324" s="7" t="s">
        <v>360</v>
      </c>
      <c r="B324" s="7" t="s">
        <v>15</v>
      </c>
      <c r="C324" s="8">
        <v>299.0</v>
      </c>
      <c r="D324" s="8">
        <v>699.0</v>
      </c>
      <c r="E324" s="19">
        <v>0.57</v>
      </c>
      <c r="F324" s="10">
        <v>3.9</v>
      </c>
      <c r="G324" s="11">
        <v>1454.0</v>
      </c>
    </row>
    <row r="325">
      <c r="A325" s="7" t="s">
        <v>361</v>
      </c>
      <c r="B325" s="7" t="s">
        <v>37</v>
      </c>
      <c r="C325" s="8">
        <v>24990.0</v>
      </c>
      <c r="D325" s="8">
        <v>51990.0</v>
      </c>
      <c r="E325" s="19">
        <v>0.52</v>
      </c>
      <c r="F325" s="10">
        <v>4.2</v>
      </c>
      <c r="G325" s="11">
        <v>2951.0</v>
      </c>
    </row>
    <row r="326">
      <c r="A326" s="7" t="s">
        <v>362</v>
      </c>
      <c r="B326" s="7" t="s">
        <v>15</v>
      </c>
      <c r="C326" s="8">
        <v>249.0</v>
      </c>
      <c r="D326" s="8">
        <v>999.0</v>
      </c>
      <c r="E326" s="19">
        <v>0.75</v>
      </c>
      <c r="F326" s="10">
        <v>5.0</v>
      </c>
      <c r="G326" s="7"/>
    </row>
    <row r="327">
      <c r="A327" s="7" t="s">
        <v>363</v>
      </c>
      <c r="B327" s="7" t="s">
        <v>37</v>
      </c>
      <c r="C327" s="8">
        <v>61999.0</v>
      </c>
      <c r="D327" s="8">
        <v>69999.0</v>
      </c>
      <c r="E327" s="19">
        <v>0.11</v>
      </c>
      <c r="F327" s="10">
        <v>4.1</v>
      </c>
      <c r="G327" s="11">
        <v>6753.0</v>
      </c>
    </row>
    <row r="328">
      <c r="A328" s="7" t="s">
        <v>364</v>
      </c>
      <c r="B328" s="7" t="s">
        <v>37</v>
      </c>
      <c r="C328" s="8">
        <v>24499.0</v>
      </c>
      <c r="D328" s="8">
        <v>50000.0</v>
      </c>
      <c r="E328" s="19">
        <v>0.51</v>
      </c>
      <c r="F328" s="10">
        <v>3.9</v>
      </c>
      <c r="G328" s="11">
        <v>3518.0</v>
      </c>
    </row>
    <row r="329">
      <c r="A329" s="7" t="s">
        <v>365</v>
      </c>
      <c r="B329" s="7" t="s">
        <v>37</v>
      </c>
      <c r="C329" s="8">
        <v>10499.0</v>
      </c>
      <c r="D329" s="8">
        <v>19499.0</v>
      </c>
      <c r="E329" s="19">
        <v>0.46</v>
      </c>
      <c r="F329" s="10">
        <v>4.2</v>
      </c>
      <c r="G329" s="11">
        <v>1510.0</v>
      </c>
    </row>
    <row r="330">
      <c r="A330" s="7" t="s">
        <v>366</v>
      </c>
      <c r="B330" s="7" t="s">
        <v>15</v>
      </c>
      <c r="C330" s="8">
        <v>349.0</v>
      </c>
      <c r="D330" s="8">
        <v>999.0</v>
      </c>
      <c r="E330" s="19">
        <v>0.65</v>
      </c>
      <c r="F330" s="10">
        <v>4.3</v>
      </c>
      <c r="G330" s="10">
        <v>838.0</v>
      </c>
    </row>
    <row r="331">
      <c r="A331" s="7" t="s">
        <v>367</v>
      </c>
      <c r="B331" s="7" t="s">
        <v>71</v>
      </c>
      <c r="C331" s="8">
        <v>197.0</v>
      </c>
      <c r="D331" s="8">
        <v>499.0</v>
      </c>
      <c r="E331" s="19">
        <v>0.61</v>
      </c>
      <c r="F331" s="10">
        <v>3.8</v>
      </c>
      <c r="G331" s="10">
        <v>136.0</v>
      </c>
    </row>
    <row r="332">
      <c r="A332" s="7" t="s">
        <v>368</v>
      </c>
      <c r="B332" s="7" t="s">
        <v>257</v>
      </c>
      <c r="C332" s="8">
        <v>1299.0</v>
      </c>
      <c r="D332" s="8">
        <v>2499.0</v>
      </c>
      <c r="E332" s="19">
        <v>0.48</v>
      </c>
      <c r="F332" s="10">
        <v>4.3</v>
      </c>
      <c r="G332" s="10">
        <v>301.0</v>
      </c>
    </row>
    <row r="333">
      <c r="A333" s="7" t="s">
        <v>369</v>
      </c>
      <c r="B333" s="7" t="s">
        <v>15</v>
      </c>
      <c r="C333" s="8">
        <v>1519.0</v>
      </c>
      <c r="D333" s="8">
        <v>1899.0</v>
      </c>
      <c r="E333" s="19">
        <v>0.2</v>
      </c>
      <c r="F333" s="10">
        <v>4.4</v>
      </c>
      <c r="G333" s="11">
        <v>19763.0</v>
      </c>
    </row>
    <row r="334">
      <c r="A334" s="7" t="s">
        <v>370</v>
      </c>
      <c r="B334" s="7" t="s">
        <v>37</v>
      </c>
      <c r="C334" s="8">
        <v>46999.0</v>
      </c>
      <c r="D334" s="8">
        <v>69999.0</v>
      </c>
      <c r="E334" s="19">
        <v>0.33</v>
      </c>
      <c r="F334" s="10">
        <v>4.3</v>
      </c>
      <c r="G334" s="11">
        <v>21252.0</v>
      </c>
    </row>
    <row r="335">
      <c r="A335" s="7" t="s">
        <v>371</v>
      </c>
      <c r="B335" s="7" t="s">
        <v>15</v>
      </c>
      <c r="C335" s="8">
        <v>299.0</v>
      </c>
      <c r="D335" s="8">
        <v>799.0</v>
      </c>
      <c r="E335" s="19">
        <v>0.63</v>
      </c>
      <c r="F335" s="10">
        <v>4.3</v>
      </c>
      <c r="G335" s="11">
        <v>1902.0</v>
      </c>
    </row>
    <row r="336">
      <c r="A336" s="7" t="s">
        <v>372</v>
      </c>
      <c r="B336" s="7" t="s">
        <v>373</v>
      </c>
      <c r="C336" s="8">
        <v>1799.0</v>
      </c>
      <c r="D336" s="8">
        <v>19999.0</v>
      </c>
      <c r="E336" s="19">
        <v>0.91</v>
      </c>
      <c r="F336" s="10">
        <v>4.2</v>
      </c>
      <c r="G336" s="11">
        <v>13937.0</v>
      </c>
    </row>
    <row r="337">
      <c r="A337" s="7" t="s">
        <v>374</v>
      </c>
      <c r="B337" s="7" t="s">
        <v>373</v>
      </c>
      <c r="C337" s="8">
        <v>1998.0</v>
      </c>
      <c r="D337" s="8">
        <v>9999.0</v>
      </c>
      <c r="E337" s="19">
        <v>0.8</v>
      </c>
      <c r="F337" s="10">
        <v>4.3</v>
      </c>
      <c r="G337" s="11">
        <v>27696.0</v>
      </c>
    </row>
    <row r="338">
      <c r="A338" s="7" t="s">
        <v>375</v>
      </c>
      <c r="B338" s="7" t="s">
        <v>373</v>
      </c>
      <c r="C338" s="8">
        <v>1999.0</v>
      </c>
      <c r="D338" s="8">
        <v>7990.0</v>
      </c>
      <c r="E338" s="19">
        <v>0.75</v>
      </c>
      <c r="F338" s="10">
        <v>3.8</v>
      </c>
      <c r="G338" s="11">
        <v>17831.0</v>
      </c>
    </row>
    <row r="339">
      <c r="A339" s="7" t="s">
        <v>376</v>
      </c>
      <c r="B339" s="7" t="s">
        <v>377</v>
      </c>
      <c r="C339" s="8">
        <v>2049.0</v>
      </c>
      <c r="D339" s="8">
        <v>2199.0</v>
      </c>
      <c r="E339" s="19">
        <v>0.07</v>
      </c>
      <c r="F339" s="10">
        <v>4.3</v>
      </c>
      <c r="G339" s="7" t="s">
        <v>378</v>
      </c>
    </row>
    <row r="340">
      <c r="A340" s="7" t="s">
        <v>379</v>
      </c>
      <c r="B340" s="7" t="s">
        <v>380</v>
      </c>
      <c r="C340" s="8">
        <v>6499.0</v>
      </c>
      <c r="D340" s="8">
        <v>8999.0</v>
      </c>
      <c r="E340" s="19">
        <v>0.28</v>
      </c>
      <c r="F340" s="10">
        <v>4.0</v>
      </c>
      <c r="G340" s="11">
        <v>7807.0</v>
      </c>
    </row>
    <row r="341">
      <c r="A341" s="7" t="s">
        <v>381</v>
      </c>
      <c r="B341" s="7" t="s">
        <v>380</v>
      </c>
      <c r="C341" s="8">
        <v>28999.0</v>
      </c>
      <c r="D341" s="8">
        <v>28999.0</v>
      </c>
      <c r="E341" s="19">
        <v>0.0</v>
      </c>
      <c r="F341" s="10">
        <v>4.3</v>
      </c>
      <c r="G341" s="11">
        <v>17415.0</v>
      </c>
    </row>
    <row r="342">
      <c r="A342" s="7" t="s">
        <v>382</v>
      </c>
      <c r="B342" s="7" t="s">
        <v>380</v>
      </c>
      <c r="C342" s="8">
        <v>28999.0</v>
      </c>
      <c r="D342" s="8">
        <v>28999.0</v>
      </c>
      <c r="E342" s="19">
        <v>0.0</v>
      </c>
      <c r="F342" s="10">
        <v>4.3</v>
      </c>
      <c r="G342" s="11">
        <v>17415.0</v>
      </c>
    </row>
    <row r="343">
      <c r="A343" s="7" t="s">
        <v>383</v>
      </c>
      <c r="B343" s="7" t="s">
        <v>380</v>
      </c>
      <c r="C343" s="8">
        <v>6499.0</v>
      </c>
      <c r="D343" s="8">
        <v>8999.0</v>
      </c>
      <c r="E343" s="19">
        <v>0.28</v>
      </c>
      <c r="F343" s="10">
        <v>4.0</v>
      </c>
      <c r="G343" s="11">
        <v>7807.0</v>
      </c>
    </row>
    <row r="344">
      <c r="A344" s="7" t="s">
        <v>384</v>
      </c>
      <c r="B344" s="7" t="s">
        <v>380</v>
      </c>
      <c r="C344" s="8">
        <v>6499.0</v>
      </c>
      <c r="D344" s="8">
        <v>8999.0</v>
      </c>
      <c r="E344" s="19">
        <v>0.28</v>
      </c>
      <c r="F344" s="10">
        <v>4.0</v>
      </c>
      <c r="G344" s="11">
        <v>7807.0</v>
      </c>
    </row>
    <row r="345">
      <c r="A345" s="7" t="s">
        <v>385</v>
      </c>
      <c r="B345" s="7" t="s">
        <v>386</v>
      </c>
      <c r="C345" s="8">
        <v>569.0</v>
      </c>
      <c r="D345" s="8">
        <v>1000.0</v>
      </c>
      <c r="E345" s="19">
        <v>0.43</v>
      </c>
      <c r="F345" s="10">
        <v>4.4</v>
      </c>
      <c r="G345" s="11">
        <v>67259.0</v>
      </c>
    </row>
    <row r="346">
      <c r="A346" s="7" t="s">
        <v>387</v>
      </c>
      <c r="B346" s="7" t="s">
        <v>373</v>
      </c>
      <c r="C346" s="8">
        <v>1898.0</v>
      </c>
      <c r="D346" s="8">
        <v>4999.0</v>
      </c>
      <c r="E346" s="19">
        <v>0.62</v>
      </c>
      <c r="F346" s="10">
        <v>4.1</v>
      </c>
      <c r="G346" s="11">
        <v>10689.0</v>
      </c>
    </row>
    <row r="347">
      <c r="A347" s="7" t="s">
        <v>388</v>
      </c>
      <c r="B347" s="7" t="s">
        <v>389</v>
      </c>
      <c r="C347" s="8">
        <v>1299.0</v>
      </c>
      <c r="D347" s="8">
        <v>1599.0</v>
      </c>
      <c r="E347" s="19">
        <v>0.19</v>
      </c>
      <c r="F347" s="10">
        <v>4.0</v>
      </c>
      <c r="G347" s="7" t="s">
        <v>390</v>
      </c>
    </row>
    <row r="348">
      <c r="A348" s="7" t="s">
        <v>391</v>
      </c>
      <c r="B348" s="7" t="s">
        <v>373</v>
      </c>
      <c r="C348" s="8">
        <v>1499.0</v>
      </c>
      <c r="D348" s="8">
        <v>6990.0</v>
      </c>
      <c r="E348" s="19">
        <v>0.79</v>
      </c>
      <c r="F348" s="10">
        <v>3.9</v>
      </c>
      <c r="G348" s="11">
        <v>21796.0</v>
      </c>
    </row>
    <row r="349">
      <c r="A349" s="7" t="s">
        <v>392</v>
      </c>
      <c r="B349" s="7" t="s">
        <v>393</v>
      </c>
      <c r="C349" s="8">
        <v>599.0</v>
      </c>
      <c r="D349" s="8">
        <v>999.0</v>
      </c>
      <c r="E349" s="19">
        <v>0.4</v>
      </c>
      <c r="F349" s="10">
        <v>4.1</v>
      </c>
      <c r="G349" s="7" t="s">
        <v>394</v>
      </c>
    </row>
    <row r="350">
      <c r="A350" s="7" t="s">
        <v>395</v>
      </c>
      <c r="B350" s="7" t="s">
        <v>380</v>
      </c>
      <c r="C350" s="8">
        <v>9499.0</v>
      </c>
      <c r="D350" s="8">
        <v>11999.0</v>
      </c>
      <c r="E350" s="19">
        <v>0.21</v>
      </c>
      <c r="F350" s="10">
        <v>4.2</v>
      </c>
      <c r="G350" s="10">
        <v>284.0</v>
      </c>
    </row>
    <row r="351">
      <c r="A351" s="7" t="s">
        <v>396</v>
      </c>
      <c r="B351" s="7" t="s">
        <v>393</v>
      </c>
      <c r="C351" s="8">
        <v>599.0</v>
      </c>
      <c r="D351" s="8">
        <v>2499.0</v>
      </c>
      <c r="E351" s="19">
        <v>0.76</v>
      </c>
      <c r="F351" s="10">
        <v>3.9</v>
      </c>
      <c r="G351" s="11">
        <v>58162.0</v>
      </c>
    </row>
    <row r="352">
      <c r="A352" s="7" t="s">
        <v>397</v>
      </c>
      <c r="B352" s="7" t="s">
        <v>380</v>
      </c>
      <c r="C352" s="8">
        <v>8999.0</v>
      </c>
      <c r="D352" s="8">
        <v>11999.0</v>
      </c>
      <c r="E352" s="19">
        <v>0.25</v>
      </c>
      <c r="F352" s="10">
        <v>4.0</v>
      </c>
      <c r="G352" s="11">
        <v>12796.0</v>
      </c>
    </row>
    <row r="353">
      <c r="A353" s="7" t="s">
        <v>398</v>
      </c>
      <c r="B353" s="7" t="s">
        <v>399</v>
      </c>
      <c r="C353" s="8">
        <v>349.0</v>
      </c>
      <c r="D353" s="8">
        <v>1299.0</v>
      </c>
      <c r="E353" s="19">
        <v>0.73</v>
      </c>
      <c r="F353" s="10">
        <v>4.0</v>
      </c>
      <c r="G353" s="11">
        <v>14282.0</v>
      </c>
    </row>
    <row r="354">
      <c r="A354" s="7" t="s">
        <v>400</v>
      </c>
      <c r="B354" s="7" t="s">
        <v>393</v>
      </c>
      <c r="C354" s="8">
        <v>349.0</v>
      </c>
      <c r="D354" s="8">
        <v>999.0</v>
      </c>
      <c r="E354" s="19">
        <v>0.65</v>
      </c>
      <c r="F354" s="10">
        <v>4.1</v>
      </c>
      <c r="G354" s="7" t="s">
        <v>401</v>
      </c>
    </row>
    <row r="355">
      <c r="A355" s="7" t="s">
        <v>402</v>
      </c>
      <c r="B355" s="7" t="s">
        <v>386</v>
      </c>
      <c r="C355" s="8">
        <v>959.0</v>
      </c>
      <c r="D355" s="8">
        <v>1800.0</v>
      </c>
      <c r="E355" s="19">
        <v>0.47</v>
      </c>
      <c r="F355" s="10">
        <v>4.4</v>
      </c>
      <c r="G355" s="11">
        <v>67259.0</v>
      </c>
    </row>
    <row r="356">
      <c r="A356" s="7" t="s">
        <v>403</v>
      </c>
      <c r="B356" s="7" t="s">
        <v>380</v>
      </c>
      <c r="C356" s="8">
        <v>9499.0</v>
      </c>
      <c r="D356" s="8">
        <v>11999.0</v>
      </c>
      <c r="E356" s="19">
        <v>0.21</v>
      </c>
      <c r="F356" s="10">
        <v>4.2</v>
      </c>
      <c r="G356" s="10">
        <v>284.0</v>
      </c>
    </row>
    <row r="357">
      <c r="A357" s="7" t="s">
        <v>404</v>
      </c>
      <c r="B357" s="7" t="s">
        <v>377</v>
      </c>
      <c r="C357" s="8">
        <v>1499.0</v>
      </c>
      <c r="D357" s="8">
        <v>2499.0</v>
      </c>
      <c r="E357" s="19">
        <v>0.4</v>
      </c>
      <c r="F357" s="10">
        <v>4.3</v>
      </c>
      <c r="G357" s="11">
        <v>15970.0</v>
      </c>
    </row>
    <row r="358">
      <c r="A358" s="7" t="s">
        <v>405</v>
      </c>
      <c r="B358" s="7" t="s">
        <v>377</v>
      </c>
      <c r="C358" s="8">
        <v>1149.0</v>
      </c>
      <c r="D358" s="8">
        <v>2199.0</v>
      </c>
      <c r="E358" s="19">
        <v>0.48</v>
      </c>
      <c r="F358" s="10">
        <v>4.3</v>
      </c>
      <c r="G358" s="7" t="s">
        <v>378</v>
      </c>
    </row>
    <row r="359">
      <c r="A359" s="7" t="s">
        <v>406</v>
      </c>
      <c r="B359" s="7" t="s">
        <v>407</v>
      </c>
      <c r="C359" s="8">
        <v>349.0</v>
      </c>
      <c r="D359" s="8">
        <v>999.0</v>
      </c>
      <c r="E359" s="19">
        <v>0.65</v>
      </c>
      <c r="F359" s="10">
        <v>3.9</v>
      </c>
      <c r="G359" s="11">
        <v>46399.0</v>
      </c>
    </row>
    <row r="360">
      <c r="A360" s="7" t="s">
        <v>408</v>
      </c>
      <c r="B360" s="7" t="s">
        <v>409</v>
      </c>
      <c r="C360" s="8">
        <v>1219.0</v>
      </c>
      <c r="D360" s="8">
        <v>1699.0</v>
      </c>
      <c r="E360" s="19">
        <v>0.28</v>
      </c>
      <c r="F360" s="10">
        <v>4.4</v>
      </c>
      <c r="G360" s="11">
        <v>8891.0</v>
      </c>
    </row>
    <row r="361">
      <c r="A361" s="7" t="s">
        <v>410</v>
      </c>
      <c r="B361" s="7" t="s">
        <v>373</v>
      </c>
      <c r="C361" s="8">
        <v>1599.0</v>
      </c>
      <c r="D361" s="8">
        <v>3999.0</v>
      </c>
      <c r="E361" s="19">
        <v>0.6</v>
      </c>
      <c r="F361" s="10">
        <v>4.0</v>
      </c>
      <c r="G361" s="11">
        <v>30254.0</v>
      </c>
    </row>
    <row r="362">
      <c r="A362" s="7" t="s">
        <v>411</v>
      </c>
      <c r="B362" s="7" t="s">
        <v>373</v>
      </c>
      <c r="C362" s="8">
        <v>1499.0</v>
      </c>
      <c r="D362" s="8">
        <v>7999.0</v>
      </c>
      <c r="E362" s="19">
        <v>0.81</v>
      </c>
      <c r="F362" s="10">
        <v>4.2</v>
      </c>
      <c r="G362" s="11">
        <v>22636.0</v>
      </c>
    </row>
    <row r="363">
      <c r="A363" s="7" t="s">
        <v>412</v>
      </c>
      <c r="B363" s="7" t="s">
        <v>380</v>
      </c>
      <c r="C363" s="8">
        <v>18499.0</v>
      </c>
      <c r="D363" s="8">
        <v>25999.0</v>
      </c>
      <c r="E363" s="19">
        <v>0.29</v>
      </c>
      <c r="F363" s="10">
        <v>4.1</v>
      </c>
      <c r="G363" s="11">
        <v>22318.0</v>
      </c>
    </row>
    <row r="364">
      <c r="A364" s="7" t="s">
        <v>413</v>
      </c>
      <c r="B364" s="7" t="s">
        <v>386</v>
      </c>
      <c r="C364" s="8">
        <v>369.0</v>
      </c>
      <c r="D364" s="8">
        <v>700.0</v>
      </c>
      <c r="E364" s="19">
        <v>0.47</v>
      </c>
      <c r="F364" s="10">
        <v>4.4</v>
      </c>
      <c r="G364" s="11">
        <v>67259.0</v>
      </c>
    </row>
    <row r="365">
      <c r="A365" s="7" t="s">
        <v>414</v>
      </c>
      <c r="B365" s="7" t="s">
        <v>380</v>
      </c>
      <c r="C365" s="8">
        <v>12999.0</v>
      </c>
      <c r="D365" s="8">
        <v>17999.0</v>
      </c>
      <c r="E365" s="19">
        <v>0.28</v>
      </c>
      <c r="F365" s="10">
        <v>4.1</v>
      </c>
      <c r="G365" s="11">
        <v>18998.0</v>
      </c>
    </row>
    <row r="366">
      <c r="A366" s="7" t="s">
        <v>372</v>
      </c>
      <c r="B366" s="7" t="s">
        <v>373</v>
      </c>
      <c r="C366" s="8">
        <v>1799.0</v>
      </c>
      <c r="D366" s="8">
        <v>19999.0</v>
      </c>
      <c r="E366" s="19">
        <v>0.91</v>
      </c>
      <c r="F366" s="10">
        <v>4.2</v>
      </c>
      <c r="G366" s="11">
        <v>13937.0</v>
      </c>
    </row>
    <row r="367">
      <c r="A367" s="7" t="s">
        <v>415</v>
      </c>
      <c r="B367" s="7" t="s">
        <v>373</v>
      </c>
      <c r="C367" s="8">
        <v>2199.0</v>
      </c>
      <c r="D367" s="8">
        <v>9999.0</v>
      </c>
      <c r="E367" s="19">
        <v>0.78</v>
      </c>
      <c r="F367" s="10">
        <v>4.2</v>
      </c>
      <c r="G367" s="11">
        <v>29471.0</v>
      </c>
    </row>
    <row r="368">
      <c r="A368" s="7" t="s">
        <v>416</v>
      </c>
      <c r="B368" s="7" t="s">
        <v>380</v>
      </c>
      <c r="C368" s="8">
        <v>16999.0</v>
      </c>
      <c r="D368" s="8">
        <v>24999.0</v>
      </c>
      <c r="E368" s="19">
        <v>0.32</v>
      </c>
      <c r="F368" s="10">
        <v>4.1</v>
      </c>
      <c r="G368" s="11">
        <v>22318.0</v>
      </c>
    </row>
    <row r="369">
      <c r="A369" s="7" t="s">
        <v>417</v>
      </c>
      <c r="B369" s="7" t="s">
        <v>380</v>
      </c>
      <c r="C369" s="8">
        <v>16499.0</v>
      </c>
      <c r="D369" s="8">
        <v>20999.0</v>
      </c>
      <c r="E369" s="19">
        <v>0.21</v>
      </c>
      <c r="F369" s="10">
        <v>4.0</v>
      </c>
      <c r="G369" s="11">
        <v>21350.0</v>
      </c>
    </row>
    <row r="370">
      <c r="A370" s="7" t="s">
        <v>372</v>
      </c>
      <c r="B370" s="7" t="s">
        <v>373</v>
      </c>
      <c r="C370" s="8">
        <v>1799.0</v>
      </c>
      <c r="D370" s="8">
        <v>19999.0</v>
      </c>
      <c r="E370" s="19">
        <v>0.91</v>
      </c>
      <c r="F370" s="10">
        <v>4.2</v>
      </c>
      <c r="G370" s="11">
        <v>13937.0</v>
      </c>
    </row>
    <row r="371">
      <c r="A371" s="7" t="s">
        <v>14</v>
      </c>
      <c r="B371" s="7" t="s">
        <v>15</v>
      </c>
      <c r="C371" s="8">
        <v>399.0</v>
      </c>
      <c r="D371" s="8">
        <v>1099.0</v>
      </c>
      <c r="E371" s="19">
        <v>0.64</v>
      </c>
      <c r="F371" s="10">
        <v>4.2</v>
      </c>
      <c r="G371" s="11">
        <v>24270.0</v>
      </c>
    </row>
    <row r="372">
      <c r="A372" s="7" t="s">
        <v>418</v>
      </c>
      <c r="B372" s="7" t="s">
        <v>380</v>
      </c>
      <c r="C372" s="8">
        <v>8499.0</v>
      </c>
      <c r="D372" s="8">
        <v>10999.0</v>
      </c>
      <c r="E372" s="19">
        <v>0.23</v>
      </c>
      <c r="F372" s="10">
        <v>4.1</v>
      </c>
      <c r="G372" s="7" t="s">
        <v>419</v>
      </c>
    </row>
    <row r="373">
      <c r="A373" s="7" t="s">
        <v>420</v>
      </c>
      <c r="B373" s="7" t="s">
        <v>380</v>
      </c>
      <c r="C373" s="8">
        <v>6499.0</v>
      </c>
      <c r="D373" s="8">
        <v>8499.0</v>
      </c>
      <c r="E373" s="19">
        <v>0.24</v>
      </c>
      <c r="F373" s="10">
        <v>4.1</v>
      </c>
      <c r="G373" s="7" t="s">
        <v>419</v>
      </c>
    </row>
    <row r="374">
      <c r="A374" s="7" t="s">
        <v>372</v>
      </c>
      <c r="B374" s="7" t="s">
        <v>373</v>
      </c>
      <c r="C374" s="8">
        <v>1799.0</v>
      </c>
      <c r="D374" s="8">
        <v>19999.0</v>
      </c>
      <c r="E374" s="19">
        <v>0.91</v>
      </c>
      <c r="F374" s="10">
        <v>4.2</v>
      </c>
      <c r="G374" s="11">
        <v>13937.0</v>
      </c>
    </row>
    <row r="375">
      <c r="A375" s="7" t="s">
        <v>421</v>
      </c>
      <c r="B375" s="7" t="s">
        <v>380</v>
      </c>
      <c r="C375" s="8">
        <v>8999.0</v>
      </c>
      <c r="D375" s="8">
        <v>11999.0</v>
      </c>
      <c r="E375" s="19">
        <v>0.25</v>
      </c>
      <c r="F375" s="10">
        <v>4.0</v>
      </c>
      <c r="G375" s="11">
        <v>12796.0</v>
      </c>
    </row>
    <row r="376">
      <c r="A376" s="7" t="s">
        <v>422</v>
      </c>
      <c r="B376" s="7" t="s">
        <v>423</v>
      </c>
      <c r="C376" s="8">
        <v>139.0</v>
      </c>
      <c r="D376" s="8">
        <v>495.0</v>
      </c>
      <c r="E376" s="19">
        <v>0.72</v>
      </c>
      <c r="F376" s="10">
        <v>4.3</v>
      </c>
      <c r="G376" s="11">
        <v>14185.0</v>
      </c>
    </row>
    <row r="377">
      <c r="A377" s="7" t="s">
        <v>424</v>
      </c>
      <c r="B377" s="7" t="s">
        <v>373</v>
      </c>
      <c r="C377" s="8">
        <v>3999.0</v>
      </c>
      <c r="D377" s="8">
        <v>16999.0</v>
      </c>
      <c r="E377" s="19">
        <v>0.76</v>
      </c>
      <c r="F377" s="10">
        <v>4.3</v>
      </c>
      <c r="G377" s="11">
        <v>17159.0</v>
      </c>
    </row>
    <row r="378">
      <c r="A378" s="7" t="s">
        <v>425</v>
      </c>
      <c r="B378" s="7" t="s">
        <v>373</v>
      </c>
      <c r="C378" s="8">
        <v>2998.0</v>
      </c>
      <c r="D378" s="8">
        <v>5999.0</v>
      </c>
      <c r="E378" s="19">
        <v>0.5</v>
      </c>
      <c r="F378" s="10">
        <v>4.1</v>
      </c>
      <c r="G378" s="11">
        <v>5179.0</v>
      </c>
    </row>
    <row r="379">
      <c r="A379" s="7" t="s">
        <v>17</v>
      </c>
      <c r="B379" s="7" t="s">
        <v>15</v>
      </c>
      <c r="C379" s="8">
        <v>199.0</v>
      </c>
      <c r="D379" s="8">
        <v>349.0</v>
      </c>
      <c r="E379" s="19">
        <v>0.43</v>
      </c>
      <c r="F379" s="10">
        <v>4.0</v>
      </c>
      <c r="G379" s="11">
        <v>43993.0</v>
      </c>
    </row>
    <row r="380">
      <c r="A380" s="7" t="s">
        <v>426</v>
      </c>
      <c r="B380" s="7" t="s">
        <v>380</v>
      </c>
      <c r="C380" s="8">
        <v>15499.0</v>
      </c>
      <c r="D380" s="8">
        <v>18999.0</v>
      </c>
      <c r="E380" s="19">
        <v>0.18</v>
      </c>
      <c r="F380" s="10">
        <v>4.1</v>
      </c>
      <c r="G380" s="11">
        <v>19252.0</v>
      </c>
    </row>
    <row r="381">
      <c r="A381" s="7" t="s">
        <v>18</v>
      </c>
      <c r="B381" s="7" t="s">
        <v>15</v>
      </c>
      <c r="C381" s="8">
        <v>199.0</v>
      </c>
      <c r="D381" s="8">
        <v>999.0</v>
      </c>
      <c r="E381" s="19">
        <v>0.8</v>
      </c>
      <c r="F381" s="10">
        <v>3.9</v>
      </c>
      <c r="G381" s="11">
        <v>7928.0</v>
      </c>
    </row>
    <row r="382">
      <c r="A382" s="7" t="s">
        <v>372</v>
      </c>
      <c r="B382" s="7" t="s">
        <v>373</v>
      </c>
      <c r="C382" s="8">
        <v>1799.0</v>
      </c>
      <c r="D382" s="8">
        <v>19999.0</v>
      </c>
      <c r="E382" s="19">
        <v>0.91</v>
      </c>
      <c r="F382" s="10">
        <v>4.2</v>
      </c>
      <c r="G382" s="11">
        <v>13937.0</v>
      </c>
    </row>
    <row r="383">
      <c r="A383" s="7" t="s">
        <v>427</v>
      </c>
      <c r="B383" s="7" t="s">
        <v>380</v>
      </c>
      <c r="C383" s="8">
        <v>8999.0</v>
      </c>
      <c r="D383" s="8">
        <v>11999.0</v>
      </c>
      <c r="E383" s="19">
        <v>0.25</v>
      </c>
      <c r="F383" s="10">
        <v>4.0</v>
      </c>
      <c r="G383" s="11">
        <v>12796.0</v>
      </c>
    </row>
    <row r="384">
      <c r="A384" s="7" t="s">
        <v>428</v>
      </c>
      <c r="B384" s="7" t="s">
        <v>399</v>
      </c>
      <c r="C384" s="8">
        <v>873.0</v>
      </c>
      <c r="D384" s="8">
        <v>1699.0</v>
      </c>
      <c r="E384" s="19">
        <v>0.49</v>
      </c>
      <c r="F384" s="10">
        <v>4.4</v>
      </c>
      <c r="G384" s="11">
        <v>1680.0</v>
      </c>
    </row>
    <row r="385">
      <c r="A385" s="7" t="s">
        <v>429</v>
      </c>
      <c r="B385" s="7" t="s">
        <v>380</v>
      </c>
      <c r="C385" s="8">
        <v>12999.0</v>
      </c>
      <c r="D385" s="8">
        <v>15999.0</v>
      </c>
      <c r="E385" s="19">
        <v>0.19</v>
      </c>
      <c r="F385" s="10">
        <v>4.2</v>
      </c>
      <c r="G385" s="11">
        <v>13246.0</v>
      </c>
    </row>
    <row r="386">
      <c r="A386" s="7" t="s">
        <v>430</v>
      </c>
      <c r="B386" s="7" t="s">
        <v>431</v>
      </c>
      <c r="C386" s="8">
        <v>539.0</v>
      </c>
      <c r="D386" s="8">
        <v>1599.0</v>
      </c>
      <c r="E386" s="19">
        <v>0.66</v>
      </c>
      <c r="F386" s="10">
        <v>3.8</v>
      </c>
      <c r="G386" s="11">
        <v>14648.0</v>
      </c>
    </row>
    <row r="387">
      <c r="A387" s="7" t="s">
        <v>374</v>
      </c>
      <c r="B387" s="7" t="s">
        <v>373</v>
      </c>
      <c r="C387" s="8">
        <v>1999.0</v>
      </c>
      <c r="D387" s="8">
        <v>9999.0</v>
      </c>
      <c r="E387" s="19">
        <v>0.8</v>
      </c>
      <c r="F387" s="10">
        <v>4.3</v>
      </c>
      <c r="G387" s="11">
        <v>27696.0</v>
      </c>
    </row>
    <row r="388">
      <c r="A388" s="7" t="s">
        <v>432</v>
      </c>
      <c r="B388" s="7" t="s">
        <v>380</v>
      </c>
      <c r="C388" s="8">
        <v>15490.0</v>
      </c>
      <c r="D388" s="8">
        <v>20990.0</v>
      </c>
      <c r="E388" s="19">
        <v>0.26</v>
      </c>
      <c r="F388" s="10">
        <v>4.2</v>
      </c>
      <c r="G388" s="11">
        <v>32916.0</v>
      </c>
    </row>
    <row r="389">
      <c r="A389" s="7" t="s">
        <v>433</v>
      </c>
      <c r="B389" s="7" t="s">
        <v>380</v>
      </c>
      <c r="C389" s="8">
        <v>19999.0</v>
      </c>
      <c r="D389" s="8">
        <v>24999.0</v>
      </c>
      <c r="E389" s="19">
        <v>0.2</v>
      </c>
      <c r="F389" s="10">
        <v>3.9</v>
      </c>
      <c r="G389" s="11">
        <v>25824.0</v>
      </c>
    </row>
    <row r="390">
      <c r="A390" s="7" t="s">
        <v>434</v>
      </c>
      <c r="B390" s="7" t="s">
        <v>409</v>
      </c>
      <c r="C390" s="8">
        <v>1075.0</v>
      </c>
      <c r="D390" s="8">
        <v>1699.0</v>
      </c>
      <c r="E390" s="19">
        <v>0.37</v>
      </c>
      <c r="F390" s="10">
        <v>4.4</v>
      </c>
      <c r="G390" s="11">
        <v>7462.0</v>
      </c>
    </row>
    <row r="391">
      <c r="A391" s="7" t="s">
        <v>435</v>
      </c>
      <c r="B391" s="7" t="s">
        <v>393</v>
      </c>
      <c r="C391" s="8">
        <v>399.0</v>
      </c>
      <c r="D391" s="8">
        <v>699.0</v>
      </c>
      <c r="E391" s="19">
        <v>0.43</v>
      </c>
      <c r="F391" s="10">
        <v>4.0</v>
      </c>
      <c r="G391" s="11">
        <v>37817.0</v>
      </c>
    </row>
    <row r="392">
      <c r="A392" s="7" t="s">
        <v>436</v>
      </c>
      <c r="B392" s="7" t="s">
        <v>373</v>
      </c>
      <c r="C392" s="8">
        <v>1999.0</v>
      </c>
      <c r="D392" s="8">
        <v>3990.0</v>
      </c>
      <c r="E392" s="19">
        <v>0.5</v>
      </c>
      <c r="F392" s="10">
        <v>4.0</v>
      </c>
      <c r="G392" s="11">
        <v>30254.0</v>
      </c>
    </row>
    <row r="393">
      <c r="A393" s="7" t="s">
        <v>437</v>
      </c>
      <c r="B393" s="7" t="s">
        <v>373</v>
      </c>
      <c r="C393" s="8">
        <v>1999.0</v>
      </c>
      <c r="D393" s="8">
        <v>7990.0</v>
      </c>
      <c r="E393" s="19">
        <v>0.75</v>
      </c>
      <c r="F393" s="10">
        <v>3.8</v>
      </c>
      <c r="G393" s="11">
        <v>17831.0</v>
      </c>
    </row>
    <row r="394">
      <c r="A394" s="7" t="s">
        <v>19</v>
      </c>
      <c r="B394" s="7" t="s">
        <v>15</v>
      </c>
      <c r="C394" s="8">
        <v>329.0</v>
      </c>
      <c r="D394" s="8">
        <v>699.0</v>
      </c>
      <c r="E394" s="19">
        <v>0.53</v>
      </c>
      <c r="F394" s="10">
        <v>4.2</v>
      </c>
      <c r="G394" s="11">
        <v>94364.0</v>
      </c>
    </row>
    <row r="395">
      <c r="A395" s="7" t="s">
        <v>20</v>
      </c>
      <c r="B395" s="7" t="s">
        <v>15</v>
      </c>
      <c r="C395" s="8">
        <v>154.0</v>
      </c>
      <c r="D395" s="8">
        <v>399.0</v>
      </c>
      <c r="E395" s="19">
        <v>0.61</v>
      </c>
      <c r="F395" s="10">
        <v>4.2</v>
      </c>
      <c r="G395" s="11">
        <v>16905.0</v>
      </c>
    </row>
    <row r="396">
      <c r="A396" s="7" t="s">
        <v>438</v>
      </c>
      <c r="B396" s="7" t="s">
        <v>380</v>
      </c>
      <c r="C396" s="8">
        <v>28999.0</v>
      </c>
      <c r="D396" s="8">
        <v>34999.0</v>
      </c>
      <c r="E396" s="19">
        <v>0.17</v>
      </c>
      <c r="F396" s="10">
        <v>4.4</v>
      </c>
      <c r="G396" s="11">
        <v>20311.0</v>
      </c>
    </row>
    <row r="397">
      <c r="A397" s="7" t="s">
        <v>439</v>
      </c>
      <c r="B397" s="7" t="s">
        <v>373</v>
      </c>
      <c r="C397" s="8">
        <v>2299.0</v>
      </c>
      <c r="D397" s="8">
        <v>7990.0</v>
      </c>
      <c r="E397" s="19">
        <v>0.71</v>
      </c>
      <c r="F397" s="10">
        <v>4.2</v>
      </c>
      <c r="G397" s="11">
        <v>69622.0</v>
      </c>
    </row>
    <row r="398">
      <c r="A398" s="7" t="s">
        <v>440</v>
      </c>
      <c r="B398" s="7" t="s">
        <v>441</v>
      </c>
      <c r="C398" s="8">
        <v>399.0</v>
      </c>
      <c r="D398" s="8">
        <v>1999.0</v>
      </c>
      <c r="E398" s="19">
        <v>0.8</v>
      </c>
      <c r="F398" s="10">
        <v>4.0</v>
      </c>
      <c r="G398" s="11">
        <v>3382.0</v>
      </c>
    </row>
    <row r="399">
      <c r="A399" s="7" t="s">
        <v>442</v>
      </c>
      <c r="B399" s="7" t="s">
        <v>386</v>
      </c>
      <c r="C399" s="8">
        <v>1149.0</v>
      </c>
      <c r="D399" s="8">
        <v>3999.0</v>
      </c>
      <c r="E399" s="19">
        <v>0.71</v>
      </c>
      <c r="F399" s="10">
        <v>4.3</v>
      </c>
      <c r="G399" s="7" t="s">
        <v>443</v>
      </c>
    </row>
    <row r="400">
      <c r="A400" s="7" t="s">
        <v>444</v>
      </c>
      <c r="B400" s="7" t="s">
        <v>409</v>
      </c>
      <c r="C400" s="8">
        <v>529.0</v>
      </c>
      <c r="D400" s="8">
        <v>1499.0</v>
      </c>
      <c r="E400" s="19">
        <v>0.65</v>
      </c>
      <c r="F400" s="10">
        <v>4.1</v>
      </c>
      <c r="G400" s="11">
        <v>8599.0</v>
      </c>
    </row>
    <row r="401">
      <c r="A401" s="7" t="s">
        <v>445</v>
      </c>
      <c r="B401" s="7" t="s">
        <v>380</v>
      </c>
      <c r="C401" s="8">
        <v>13999.0</v>
      </c>
      <c r="D401" s="8">
        <v>19499.0</v>
      </c>
      <c r="E401" s="19">
        <v>0.28</v>
      </c>
      <c r="F401" s="10">
        <v>4.1</v>
      </c>
      <c r="G401" s="11">
        <v>18998.0</v>
      </c>
    </row>
    <row r="402">
      <c r="A402" s="7" t="s">
        <v>446</v>
      </c>
      <c r="B402" s="7" t="s">
        <v>393</v>
      </c>
      <c r="C402" s="8">
        <v>379.0</v>
      </c>
      <c r="D402" s="8">
        <v>999.0</v>
      </c>
      <c r="E402" s="19">
        <v>0.62</v>
      </c>
      <c r="F402" s="10">
        <v>4.1</v>
      </c>
      <c r="G402" s="7" t="s">
        <v>401</v>
      </c>
    </row>
    <row r="403">
      <c r="A403" s="7" t="s">
        <v>447</v>
      </c>
      <c r="B403" s="7" t="s">
        <v>380</v>
      </c>
      <c r="C403" s="8">
        <v>13999.0</v>
      </c>
      <c r="D403" s="8">
        <v>19999.0</v>
      </c>
      <c r="E403" s="19">
        <v>0.3</v>
      </c>
      <c r="F403" s="10">
        <v>4.1</v>
      </c>
      <c r="G403" s="11">
        <v>19252.0</v>
      </c>
    </row>
    <row r="404">
      <c r="A404" s="7" t="s">
        <v>448</v>
      </c>
      <c r="B404" s="7" t="s">
        <v>373</v>
      </c>
      <c r="C404" s="8">
        <v>3999.0</v>
      </c>
      <c r="D404" s="8">
        <v>9999.0</v>
      </c>
      <c r="E404" s="19">
        <v>0.6</v>
      </c>
      <c r="F404" s="10">
        <v>4.4</v>
      </c>
      <c r="G404" s="10">
        <v>73.0</v>
      </c>
    </row>
    <row r="405">
      <c r="A405" s="7" t="s">
        <v>21</v>
      </c>
      <c r="B405" s="7" t="s">
        <v>15</v>
      </c>
      <c r="C405" s="8">
        <v>149.0</v>
      </c>
      <c r="D405" s="8">
        <v>1000.0</v>
      </c>
      <c r="E405" s="19">
        <v>0.85</v>
      </c>
      <c r="F405" s="10">
        <v>3.9</v>
      </c>
      <c r="G405" s="11">
        <v>24870.0</v>
      </c>
    </row>
    <row r="406">
      <c r="A406" s="7" t="s">
        <v>449</v>
      </c>
      <c r="B406" s="7" t="s">
        <v>450</v>
      </c>
      <c r="C406" s="8">
        <v>99.0</v>
      </c>
      <c r="D406" s="8">
        <v>499.0</v>
      </c>
      <c r="E406" s="19">
        <v>0.8</v>
      </c>
      <c r="F406" s="10">
        <v>4.3</v>
      </c>
      <c r="G406" s="11">
        <v>42641.0</v>
      </c>
    </row>
    <row r="407">
      <c r="A407" s="7" t="s">
        <v>451</v>
      </c>
      <c r="B407" s="7" t="s">
        <v>393</v>
      </c>
      <c r="C407" s="8">
        <v>4790.0</v>
      </c>
      <c r="D407" s="8">
        <v>15990.0</v>
      </c>
      <c r="E407" s="19">
        <v>0.7</v>
      </c>
      <c r="F407" s="10">
        <v>4.0</v>
      </c>
      <c r="G407" s="11">
        <v>4390.0</v>
      </c>
    </row>
    <row r="408">
      <c r="A408" s="7" t="s">
        <v>452</v>
      </c>
      <c r="B408" s="7" t="s">
        <v>380</v>
      </c>
      <c r="C408" s="8">
        <v>33999.0</v>
      </c>
      <c r="D408" s="8">
        <v>33999.0</v>
      </c>
      <c r="E408" s="19">
        <v>0.0</v>
      </c>
      <c r="F408" s="10">
        <v>4.3</v>
      </c>
      <c r="G408" s="11">
        <v>17415.0</v>
      </c>
    </row>
    <row r="409">
      <c r="A409" s="7" t="s">
        <v>453</v>
      </c>
      <c r="B409" s="7" t="s">
        <v>454</v>
      </c>
      <c r="C409" s="8">
        <v>99.0</v>
      </c>
      <c r="D409" s="8">
        <v>999.0</v>
      </c>
      <c r="E409" s="19">
        <v>0.9</v>
      </c>
      <c r="F409" s="10">
        <v>4.0</v>
      </c>
      <c r="G409" s="11">
        <v>1396.0</v>
      </c>
    </row>
    <row r="410">
      <c r="A410" s="7" t="s">
        <v>455</v>
      </c>
      <c r="B410" s="7" t="s">
        <v>393</v>
      </c>
      <c r="C410" s="8">
        <v>299.0</v>
      </c>
      <c r="D410" s="8">
        <v>1900.0</v>
      </c>
      <c r="E410" s="19">
        <v>0.84</v>
      </c>
      <c r="F410" s="10">
        <v>3.6</v>
      </c>
      <c r="G410" s="11">
        <v>18202.0</v>
      </c>
    </row>
    <row r="411">
      <c r="A411" s="7" t="s">
        <v>456</v>
      </c>
      <c r="B411" s="7" t="s">
        <v>380</v>
      </c>
      <c r="C411" s="8">
        <v>10999.0</v>
      </c>
      <c r="D411" s="8">
        <v>14999.0</v>
      </c>
      <c r="E411" s="19">
        <v>0.27</v>
      </c>
      <c r="F411" s="10">
        <v>4.1</v>
      </c>
      <c r="G411" s="11">
        <v>18998.0</v>
      </c>
    </row>
    <row r="412">
      <c r="A412" s="7" t="s">
        <v>457</v>
      </c>
      <c r="B412" s="7" t="s">
        <v>380</v>
      </c>
      <c r="C412" s="8">
        <v>34999.0</v>
      </c>
      <c r="D412" s="8">
        <v>38999.0</v>
      </c>
      <c r="E412" s="19">
        <v>0.1</v>
      </c>
      <c r="F412" s="10">
        <v>4.2</v>
      </c>
      <c r="G412" s="11">
        <v>11029.0</v>
      </c>
    </row>
    <row r="413">
      <c r="A413" s="7" t="s">
        <v>416</v>
      </c>
      <c r="B413" s="7" t="s">
        <v>380</v>
      </c>
      <c r="C413" s="8">
        <v>16999.0</v>
      </c>
      <c r="D413" s="8">
        <v>24999.0</v>
      </c>
      <c r="E413" s="19">
        <v>0.32</v>
      </c>
      <c r="F413" s="10">
        <v>4.1</v>
      </c>
      <c r="G413" s="11">
        <v>22318.0</v>
      </c>
    </row>
    <row r="414">
      <c r="A414" s="7" t="s">
        <v>458</v>
      </c>
      <c r="B414" s="7" t="s">
        <v>450</v>
      </c>
      <c r="C414" s="8">
        <v>199.0</v>
      </c>
      <c r="D414" s="8">
        <v>499.0</v>
      </c>
      <c r="E414" s="19">
        <v>0.6</v>
      </c>
      <c r="F414" s="10">
        <v>4.1</v>
      </c>
      <c r="G414" s="11">
        <v>1786.0</v>
      </c>
    </row>
    <row r="415">
      <c r="A415" s="7" t="s">
        <v>459</v>
      </c>
      <c r="B415" s="7" t="s">
        <v>377</v>
      </c>
      <c r="C415" s="8">
        <v>999.0</v>
      </c>
      <c r="D415" s="8">
        <v>1599.0</v>
      </c>
      <c r="E415" s="19">
        <v>0.38</v>
      </c>
      <c r="F415" s="10">
        <v>4.0</v>
      </c>
      <c r="G415" s="11">
        <v>7222.0</v>
      </c>
    </row>
    <row r="416">
      <c r="A416" s="7" t="s">
        <v>460</v>
      </c>
      <c r="B416" s="7" t="s">
        <v>389</v>
      </c>
      <c r="C416" s="8">
        <v>1299.0</v>
      </c>
      <c r="D416" s="8">
        <v>1599.0</v>
      </c>
      <c r="E416" s="19">
        <v>0.19</v>
      </c>
      <c r="F416" s="10">
        <v>4.0</v>
      </c>
      <c r="G416" s="7" t="s">
        <v>390</v>
      </c>
    </row>
    <row r="417">
      <c r="A417" s="7" t="s">
        <v>461</v>
      </c>
      <c r="B417" s="7" t="s">
        <v>393</v>
      </c>
      <c r="C417" s="8">
        <v>599.0</v>
      </c>
      <c r="D417" s="8">
        <v>1800.0</v>
      </c>
      <c r="E417" s="19">
        <v>0.67</v>
      </c>
      <c r="F417" s="10">
        <v>3.5</v>
      </c>
      <c r="G417" s="11">
        <v>83996.0</v>
      </c>
    </row>
    <row r="418">
      <c r="A418" s="7" t="s">
        <v>462</v>
      </c>
      <c r="B418" s="7" t="s">
        <v>386</v>
      </c>
      <c r="C418" s="8">
        <v>599.0</v>
      </c>
      <c r="D418" s="8">
        <v>1899.0</v>
      </c>
      <c r="E418" s="19">
        <v>0.68</v>
      </c>
      <c r="F418" s="10">
        <v>4.3</v>
      </c>
      <c r="G418" s="7" t="s">
        <v>443</v>
      </c>
    </row>
    <row r="419">
      <c r="A419" s="7" t="s">
        <v>463</v>
      </c>
      <c r="B419" s="7" t="s">
        <v>377</v>
      </c>
      <c r="C419" s="8">
        <v>1799.0</v>
      </c>
      <c r="D419" s="8">
        <v>2499.0</v>
      </c>
      <c r="E419" s="19">
        <v>0.28</v>
      </c>
      <c r="F419" s="10">
        <v>4.1</v>
      </c>
      <c r="G419" s="11">
        <v>18678.0</v>
      </c>
    </row>
    <row r="420">
      <c r="A420" s="7" t="s">
        <v>22</v>
      </c>
      <c r="B420" s="7" t="s">
        <v>15</v>
      </c>
      <c r="C420" s="8">
        <v>176.63</v>
      </c>
      <c r="D420" s="8">
        <v>499.0</v>
      </c>
      <c r="E420" s="19">
        <v>0.65</v>
      </c>
      <c r="F420" s="10">
        <v>4.1</v>
      </c>
      <c r="G420" s="11">
        <v>15189.0</v>
      </c>
    </row>
    <row r="421">
      <c r="A421" s="7" t="s">
        <v>464</v>
      </c>
      <c r="B421" s="7" t="s">
        <v>380</v>
      </c>
      <c r="C421" s="8">
        <v>10999.0</v>
      </c>
      <c r="D421" s="8">
        <v>14999.0</v>
      </c>
      <c r="E421" s="19">
        <v>0.27</v>
      </c>
      <c r="F421" s="10">
        <v>4.1</v>
      </c>
      <c r="G421" s="11">
        <v>18998.0</v>
      </c>
    </row>
    <row r="422">
      <c r="A422" s="7" t="s">
        <v>465</v>
      </c>
      <c r="B422" s="7" t="s">
        <v>373</v>
      </c>
      <c r="C422" s="8">
        <v>2999.0</v>
      </c>
      <c r="D422" s="8">
        <v>7990.0</v>
      </c>
      <c r="E422" s="19">
        <v>0.62</v>
      </c>
      <c r="F422" s="10">
        <v>4.1</v>
      </c>
      <c r="G422" s="11">
        <v>48449.0</v>
      </c>
    </row>
    <row r="423">
      <c r="A423" s="7" t="s">
        <v>466</v>
      </c>
      <c r="B423" s="7" t="s">
        <v>373</v>
      </c>
      <c r="C423" s="8">
        <v>1999.0</v>
      </c>
      <c r="D423" s="8">
        <v>7990.0</v>
      </c>
      <c r="E423" s="19">
        <v>0.75</v>
      </c>
      <c r="F423" s="10">
        <v>3.8</v>
      </c>
      <c r="G423" s="11">
        <v>17831.0</v>
      </c>
    </row>
    <row r="424">
      <c r="A424" s="7" t="s">
        <v>23</v>
      </c>
      <c r="B424" s="7" t="s">
        <v>15</v>
      </c>
      <c r="C424" s="8">
        <v>229.0</v>
      </c>
      <c r="D424" s="8">
        <v>299.0</v>
      </c>
      <c r="E424" s="19">
        <v>0.23</v>
      </c>
      <c r="F424" s="10">
        <v>4.3</v>
      </c>
      <c r="G424" s="11">
        <v>30411.0</v>
      </c>
    </row>
    <row r="425">
      <c r="A425" s="7" t="s">
        <v>27</v>
      </c>
      <c r="B425" s="7" t="s">
        <v>15</v>
      </c>
      <c r="C425" s="8">
        <v>199.0</v>
      </c>
      <c r="D425" s="8">
        <v>299.0</v>
      </c>
      <c r="E425" s="19">
        <v>0.33</v>
      </c>
      <c r="F425" s="10">
        <v>4.0</v>
      </c>
      <c r="G425" s="11">
        <v>43994.0</v>
      </c>
    </row>
    <row r="426">
      <c r="A426" s="7" t="s">
        <v>467</v>
      </c>
      <c r="B426" s="7" t="s">
        <v>409</v>
      </c>
      <c r="C426" s="8">
        <v>649.0</v>
      </c>
      <c r="D426" s="8">
        <v>999.0</v>
      </c>
      <c r="E426" s="19">
        <v>0.35</v>
      </c>
      <c r="F426" s="10">
        <v>4.2</v>
      </c>
      <c r="G426" s="11">
        <v>1315.0</v>
      </c>
    </row>
    <row r="427">
      <c r="A427" s="7" t="s">
        <v>445</v>
      </c>
      <c r="B427" s="7" t="s">
        <v>380</v>
      </c>
      <c r="C427" s="8">
        <v>13999.0</v>
      </c>
      <c r="D427" s="8">
        <v>19499.0</v>
      </c>
      <c r="E427" s="19">
        <v>0.28</v>
      </c>
      <c r="F427" s="10">
        <v>4.1</v>
      </c>
      <c r="G427" s="11">
        <v>18998.0</v>
      </c>
    </row>
    <row r="428">
      <c r="A428" s="7" t="s">
        <v>468</v>
      </c>
      <c r="B428" s="7" t="s">
        <v>469</v>
      </c>
      <c r="C428" s="8">
        <v>119.0</v>
      </c>
      <c r="D428" s="8">
        <v>299.0</v>
      </c>
      <c r="E428" s="19">
        <v>0.6</v>
      </c>
      <c r="F428" s="10">
        <v>4.1</v>
      </c>
      <c r="G428" s="11">
        <v>5999.0</v>
      </c>
    </row>
    <row r="429">
      <c r="A429" s="7" t="s">
        <v>470</v>
      </c>
      <c r="B429" s="7" t="s">
        <v>380</v>
      </c>
      <c r="C429" s="8">
        <v>12999.0</v>
      </c>
      <c r="D429" s="8">
        <v>17999.0</v>
      </c>
      <c r="E429" s="19">
        <v>0.28</v>
      </c>
      <c r="F429" s="10">
        <v>4.1</v>
      </c>
      <c r="G429" s="11">
        <v>50772.0</v>
      </c>
    </row>
    <row r="430">
      <c r="A430" s="7" t="s">
        <v>28</v>
      </c>
      <c r="B430" s="7" t="s">
        <v>15</v>
      </c>
      <c r="C430" s="8">
        <v>154.0</v>
      </c>
      <c r="D430" s="8">
        <v>339.0</v>
      </c>
      <c r="E430" s="19">
        <v>0.55</v>
      </c>
      <c r="F430" s="10">
        <v>4.3</v>
      </c>
      <c r="G430" s="11">
        <v>13391.0</v>
      </c>
    </row>
    <row r="431">
      <c r="A431" s="7" t="s">
        <v>471</v>
      </c>
      <c r="B431" s="7" t="s">
        <v>380</v>
      </c>
      <c r="C431" s="8">
        <v>20999.0</v>
      </c>
      <c r="D431" s="8">
        <v>26999.0</v>
      </c>
      <c r="E431" s="19">
        <v>0.22</v>
      </c>
      <c r="F431" s="10">
        <v>3.9</v>
      </c>
      <c r="G431" s="11">
        <v>25824.0</v>
      </c>
    </row>
    <row r="432">
      <c r="A432" s="7" t="s">
        <v>472</v>
      </c>
      <c r="B432" s="7" t="s">
        <v>409</v>
      </c>
      <c r="C432" s="8">
        <v>249.0</v>
      </c>
      <c r="D432" s="8">
        <v>649.0</v>
      </c>
      <c r="E432" s="19">
        <v>0.62</v>
      </c>
      <c r="F432" s="10">
        <v>4.0</v>
      </c>
      <c r="G432" s="11">
        <v>14404.0</v>
      </c>
    </row>
    <row r="433">
      <c r="A433" s="7" t="s">
        <v>473</v>
      </c>
      <c r="B433" s="7" t="s">
        <v>409</v>
      </c>
      <c r="C433" s="8">
        <v>99.0</v>
      </c>
      <c r="D433" s="8">
        <v>171.0</v>
      </c>
      <c r="E433" s="19">
        <v>0.42</v>
      </c>
      <c r="F433" s="10">
        <v>4.5</v>
      </c>
      <c r="G433" s="11">
        <v>11339.0</v>
      </c>
    </row>
    <row r="434">
      <c r="A434" s="7" t="s">
        <v>474</v>
      </c>
      <c r="B434" s="7" t="s">
        <v>407</v>
      </c>
      <c r="C434" s="8">
        <v>489.0</v>
      </c>
      <c r="D434" s="8">
        <v>1999.0</v>
      </c>
      <c r="E434" s="19">
        <v>0.76</v>
      </c>
      <c r="F434" s="10">
        <v>4.0</v>
      </c>
      <c r="G434" s="11">
        <v>3626.0</v>
      </c>
    </row>
    <row r="435">
      <c r="A435" s="7" t="s">
        <v>475</v>
      </c>
      <c r="B435" s="7" t="s">
        <v>386</v>
      </c>
      <c r="C435" s="8">
        <v>369.0</v>
      </c>
      <c r="D435" s="8">
        <v>1600.0</v>
      </c>
      <c r="E435" s="19">
        <v>0.77</v>
      </c>
      <c r="F435" s="10">
        <v>4.0</v>
      </c>
      <c r="G435" s="11">
        <v>32625.0</v>
      </c>
    </row>
    <row r="436">
      <c r="A436" s="7" t="s">
        <v>476</v>
      </c>
      <c r="B436" s="7" t="s">
        <v>380</v>
      </c>
      <c r="C436" s="8">
        <v>15499.0</v>
      </c>
      <c r="D436" s="8">
        <v>20999.0</v>
      </c>
      <c r="E436" s="19">
        <v>0.26</v>
      </c>
      <c r="F436" s="10">
        <v>4.1</v>
      </c>
      <c r="G436" s="11">
        <v>19252.0</v>
      </c>
    </row>
    <row r="437">
      <c r="A437" s="7" t="s">
        <v>477</v>
      </c>
      <c r="B437" s="7" t="s">
        <v>380</v>
      </c>
      <c r="C437" s="8">
        <v>15499.0</v>
      </c>
      <c r="D437" s="8">
        <v>18999.0</v>
      </c>
      <c r="E437" s="19">
        <v>0.18</v>
      </c>
      <c r="F437" s="10">
        <v>4.1</v>
      </c>
      <c r="G437" s="11">
        <v>19252.0</v>
      </c>
    </row>
    <row r="438">
      <c r="A438" s="7" t="s">
        <v>478</v>
      </c>
      <c r="B438" s="7" t="s">
        <v>380</v>
      </c>
      <c r="C438" s="8">
        <v>22999.0</v>
      </c>
      <c r="D438" s="8">
        <v>28999.0</v>
      </c>
      <c r="E438" s="19">
        <v>0.21</v>
      </c>
      <c r="F438" s="10">
        <v>3.9</v>
      </c>
      <c r="G438" s="11">
        <v>25824.0</v>
      </c>
    </row>
    <row r="439">
      <c r="A439" s="7" t="s">
        <v>479</v>
      </c>
      <c r="B439" s="7" t="s">
        <v>393</v>
      </c>
      <c r="C439" s="8">
        <v>599.0</v>
      </c>
      <c r="D439" s="8">
        <v>1490.0</v>
      </c>
      <c r="E439" s="19">
        <v>0.6</v>
      </c>
      <c r="F439" s="10">
        <v>4.1</v>
      </c>
      <c r="G439" s="7" t="s">
        <v>480</v>
      </c>
    </row>
    <row r="440">
      <c r="A440" s="7" t="s">
        <v>481</v>
      </c>
      <c r="B440" s="7" t="s">
        <v>450</v>
      </c>
      <c r="C440" s="8">
        <v>134.0</v>
      </c>
      <c r="D440" s="8">
        <v>699.0</v>
      </c>
      <c r="E440" s="19">
        <v>0.81</v>
      </c>
      <c r="F440" s="10">
        <v>4.1</v>
      </c>
      <c r="G440" s="11">
        <v>16685.0</v>
      </c>
    </row>
    <row r="441">
      <c r="A441" s="7" t="s">
        <v>482</v>
      </c>
      <c r="B441" s="7" t="s">
        <v>380</v>
      </c>
      <c r="C441" s="8">
        <v>7499.0</v>
      </c>
      <c r="D441" s="8">
        <v>7999.0</v>
      </c>
      <c r="E441" s="19">
        <v>0.06</v>
      </c>
      <c r="F441" s="10">
        <v>4.0</v>
      </c>
      <c r="G441" s="11">
        <v>30907.0</v>
      </c>
    </row>
    <row r="442">
      <c r="A442" s="7" t="s">
        <v>483</v>
      </c>
      <c r="B442" s="7" t="s">
        <v>377</v>
      </c>
      <c r="C442" s="8">
        <v>1149.0</v>
      </c>
      <c r="D442" s="8">
        <v>2199.0</v>
      </c>
      <c r="E442" s="19">
        <v>0.48</v>
      </c>
      <c r="F442" s="10">
        <v>4.3</v>
      </c>
      <c r="G442" s="7" t="s">
        <v>378</v>
      </c>
    </row>
    <row r="443">
      <c r="A443" s="7" t="s">
        <v>484</v>
      </c>
      <c r="B443" s="7" t="s">
        <v>389</v>
      </c>
      <c r="C443" s="8">
        <v>1324.0</v>
      </c>
      <c r="D443" s="8">
        <v>1699.0</v>
      </c>
      <c r="E443" s="19">
        <v>0.22</v>
      </c>
      <c r="F443" s="10">
        <v>4.0</v>
      </c>
      <c r="G443" s="7" t="s">
        <v>390</v>
      </c>
    </row>
    <row r="444">
      <c r="A444" s="7" t="s">
        <v>485</v>
      </c>
      <c r="B444" s="7" t="s">
        <v>380</v>
      </c>
      <c r="C444" s="8">
        <v>13999.0</v>
      </c>
      <c r="D444" s="8">
        <v>19999.0</v>
      </c>
      <c r="E444" s="19">
        <v>0.3</v>
      </c>
      <c r="F444" s="10">
        <v>4.1</v>
      </c>
      <c r="G444" s="11">
        <v>19252.0</v>
      </c>
    </row>
    <row r="445">
      <c r="A445" s="7" t="s">
        <v>29</v>
      </c>
      <c r="B445" s="7" t="s">
        <v>15</v>
      </c>
      <c r="C445" s="8">
        <v>299.0</v>
      </c>
      <c r="D445" s="8">
        <v>799.0</v>
      </c>
      <c r="E445" s="19">
        <v>0.63</v>
      </c>
      <c r="F445" s="10">
        <v>4.2</v>
      </c>
      <c r="G445" s="11">
        <v>94364.0</v>
      </c>
    </row>
    <row r="446">
      <c r="A446" s="7" t="s">
        <v>486</v>
      </c>
      <c r="B446" s="7" t="s">
        <v>377</v>
      </c>
      <c r="C446" s="8">
        <v>999.0</v>
      </c>
      <c r="D446" s="8">
        <v>1599.0</v>
      </c>
      <c r="E446" s="19">
        <v>0.38</v>
      </c>
      <c r="F446" s="10">
        <v>4.0</v>
      </c>
      <c r="G446" s="11">
        <v>7222.0</v>
      </c>
    </row>
    <row r="447">
      <c r="A447" s="7" t="s">
        <v>487</v>
      </c>
      <c r="B447" s="7" t="s">
        <v>380</v>
      </c>
      <c r="C447" s="8">
        <v>12999.0</v>
      </c>
      <c r="D447" s="8">
        <v>17999.0</v>
      </c>
      <c r="E447" s="19">
        <v>0.28</v>
      </c>
      <c r="F447" s="10">
        <v>4.1</v>
      </c>
      <c r="G447" s="11">
        <v>18998.0</v>
      </c>
    </row>
    <row r="448">
      <c r="A448" s="7" t="s">
        <v>488</v>
      </c>
      <c r="B448" s="7" t="s">
        <v>380</v>
      </c>
      <c r="C448" s="8">
        <v>15490.0</v>
      </c>
      <c r="D448" s="8">
        <v>20990.0</v>
      </c>
      <c r="E448" s="19">
        <v>0.26</v>
      </c>
      <c r="F448" s="10">
        <v>4.2</v>
      </c>
      <c r="G448" s="11">
        <v>32916.0</v>
      </c>
    </row>
    <row r="449">
      <c r="A449" s="7" t="s">
        <v>489</v>
      </c>
      <c r="B449" s="7" t="s">
        <v>490</v>
      </c>
      <c r="C449" s="8">
        <v>999.0</v>
      </c>
      <c r="D449" s="8">
        <v>2899.0</v>
      </c>
      <c r="E449" s="19">
        <v>0.66</v>
      </c>
      <c r="F449" s="10">
        <v>4.6</v>
      </c>
      <c r="G449" s="11">
        <v>26603.0</v>
      </c>
    </row>
    <row r="450">
      <c r="A450" s="7" t="s">
        <v>491</v>
      </c>
      <c r="B450" s="7" t="s">
        <v>373</v>
      </c>
      <c r="C450" s="8">
        <v>1599.0</v>
      </c>
      <c r="D450" s="8">
        <v>4999.0</v>
      </c>
      <c r="E450" s="19">
        <v>0.68</v>
      </c>
      <c r="F450" s="10">
        <v>4.0</v>
      </c>
      <c r="G450" s="11">
        <v>67950.0</v>
      </c>
    </row>
    <row r="451">
      <c r="A451" s="7" t="s">
        <v>492</v>
      </c>
      <c r="B451" s="7" t="s">
        <v>389</v>
      </c>
      <c r="C451" s="8">
        <v>1324.0</v>
      </c>
      <c r="D451" s="8">
        <v>1699.0</v>
      </c>
      <c r="E451" s="19">
        <v>0.22</v>
      </c>
      <c r="F451" s="10">
        <v>4.0</v>
      </c>
      <c r="G451" s="7" t="s">
        <v>390</v>
      </c>
    </row>
    <row r="452">
      <c r="A452" s="7" t="s">
        <v>493</v>
      </c>
      <c r="B452" s="7" t="s">
        <v>380</v>
      </c>
      <c r="C452" s="8">
        <v>20999.0</v>
      </c>
      <c r="D452" s="8">
        <v>29990.0</v>
      </c>
      <c r="E452" s="19">
        <v>0.3</v>
      </c>
      <c r="F452" s="10">
        <v>4.3</v>
      </c>
      <c r="G452" s="11">
        <v>9499.0</v>
      </c>
    </row>
    <row r="453">
      <c r="A453" s="7" t="s">
        <v>494</v>
      </c>
      <c r="B453" s="7" t="s">
        <v>409</v>
      </c>
      <c r="C453" s="8">
        <v>999.0</v>
      </c>
      <c r="D453" s="8">
        <v>1999.0</v>
      </c>
      <c r="E453" s="19">
        <v>0.5</v>
      </c>
      <c r="F453" s="10">
        <v>4.3</v>
      </c>
      <c r="G453" s="11">
        <v>1777.0</v>
      </c>
    </row>
    <row r="454">
      <c r="A454" s="7" t="s">
        <v>495</v>
      </c>
      <c r="B454" s="7" t="s">
        <v>380</v>
      </c>
      <c r="C454" s="8">
        <v>12490.0</v>
      </c>
      <c r="D454" s="8">
        <v>15990.0</v>
      </c>
      <c r="E454" s="19">
        <v>0.22</v>
      </c>
      <c r="F454" s="10">
        <v>4.2</v>
      </c>
      <c r="G454" s="11">
        <v>58506.0</v>
      </c>
    </row>
    <row r="455">
      <c r="A455" s="7" t="s">
        <v>496</v>
      </c>
      <c r="B455" s="7" t="s">
        <v>380</v>
      </c>
      <c r="C455" s="8">
        <v>17999.0</v>
      </c>
      <c r="D455" s="8">
        <v>21990.0</v>
      </c>
      <c r="E455" s="19">
        <v>0.18</v>
      </c>
      <c r="F455" s="10">
        <v>4.0</v>
      </c>
      <c r="G455" s="11">
        <v>21350.0</v>
      </c>
    </row>
    <row r="456">
      <c r="A456" s="7" t="s">
        <v>33</v>
      </c>
      <c r="B456" s="7" t="s">
        <v>15</v>
      </c>
      <c r="C456" s="8">
        <v>350.0</v>
      </c>
      <c r="D456" s="8">
        <v>899.0</v>
      </c>
      <c r="E456" s="19">
        <v>0.61</v>
      </c>
      <c r="F456" s="10">
        <v>4.2</v>
      </c>
      <c r="G456" s="11">
        <v>2263.0</v>
      </c>
    </row>
    <row r="457">
      <c r="A457" s="7" t="s">
        <v>497</v>
      </c>
      <c r="B457" s="7" t="s">
        <v>389</v>
      </c>
      <c r="C457" s="8">
        <v>1399.0</v>
      </c>
      <c r="D457" s="8">
        <v>1630.0</v>
      </c>
      <c r="E457" s="19">
        <v>0.14</v>
      </c>
      <c r="F457" s="10">
        <v>4.0</v>
      </c>
      <c r="G457" s="11">
        <v>9378.0</v>
      </c>
    </row>
    <row r="458">
      <c r="A458" s="7" t="s">
        <v>34</v>
      </c>
      <c r="B458" s="7" t="s">
        <v>15</v>
      </c>
      <c r="C458" s="8">
        <v>159.0</v>
      </c>
      <c r="D458" s="8">
        <v>399.0</v>
      </c>
      <c r="E458" s="19">
        <v>0.6</v>
      </c>
      <c r="F458" s="10">
        <v>4.1</v>
      </c>
      <c r="G458" s="11">
        <v>4768.0</v>
      </c>
    </row>
    <row r="459">
      <c r="A459" s="7" t="s">
        <v>498</v>
      </c>
      <c r="B459" s="7" t="s">
        <v>373</v>
      </c>
      <c r="C459" s="8">
        <v>1499.0</v>
      </c>
      <c r="D459" s="8">
        <v>6990.0</v>
      </c>
      <c r="E459" s="19">
        <v>0.79</v>
      </c>
      <c r="F459" s="10">
        <v>3.9</v>
      </c>
      <c r="G459" s="11">
        <v>21796.0</v>
      </c>
    </row>
    <row r="460">
      <c r="A460" s="7" t="s">
        <v>499</v>
      </c>
      <c r="B460" s="7" t="s">
        <v>373</v>
      </c>
      <c r="C460" s="8">
        <v>1999.0</v>
      </c>
      <c r="D460" s="8">
        <v>7990.0</v>
      </c>
      <c r="E460" s="19">
        <v>0.75</v>
      </c>
      <c r="F460" s="10">
        <v>3.8</v>
      </c>
      <c r="G460" s="11">
        <v>17833.0</v>
      </c>
    </row>
    <row r="461">
      <c r="A461" s="7" t="s">
        <v>500</v>
      </c>
      <c r="B461" s="7" t="s">
        <v>490</v>
      </c>
      <c r="C461" s="8">
        <v>999.0</v>
      </c>
      <c r="D461" s="8">
        <v>2899.0</v>
      </c>
      <c r="E461" s="19">
        <v>0.66</v>
      </c>
      <c r="F461" s="10">
        <v>4.7</v>
      </c>
      <c r="G461" s="11">
        <v>7779.0</v>
      </c>
    </row>
    <row r="462">
      <c r="A462" s="7" t="s">
        <v>501</v>
      </c>
      <c r="B462" s="7" t="s">
        <v>502</v>
      </c>
      <c r="C462" s="8">
        <v>2099.0</v>
      </c>
      <c r="D462" s="8">
        <v>5999.0</v>
      </c>
      <c r="E462" s="19">
        <v>0.65</v>
      </c>
      <c r="F462" s="10">
        <v>4.3</v>
      </c>
      <c r="G462" s="11">
        <v>17129.0</v>
      </c>
    </row>
    <row r="463">
      <c r="A463" s="7" t="s">
        <v>503</v>
      </c>
      <c r="B463" s="7" t="s">
        <v>399</v>
      </c>
      <c r="C463" s="8">
        <v>337.0</v>
      </c>
      <c r="D463" s="8">
        <v>699.0</v>
      </c>
      <c r="E463" s="19">
        <v>0.52</v>
      </c>
      <c r="F463" s="10">
        <v>4.2</v>
      </c>
      <c r="G463" s="11">
        <v>4969.0</v>
      </c>
    </row>
    <row r="464">
      <c r="A464" s="7" t="s">
        <v>504</v>
      </c>
      <c r="B464" s="7" t="s">
        <v>373</v>
      </c>
      <c r="C464" s="8">
        <v>2999.0</v>
      </c>
      <c r="D464" s="8">
        <v>7990.0</v>
      </c>
      <c r="E464" s="19">
        <v>0.62</v>
      </c>
      <c r="F464" s="10">
        <v>4.1</v>
      </c>
      <c r="G464" s="10">
        <v>154.0</v>
      </c>
    </row>
    <row r="465">
      <c r="A465" s="7" t="s">
        <v>505</v>
      </c>
      <c r="B465" s="7" t="s">
        <v>373</v>
      </c>
      <c r="C465" s="8">
        <v>1299.0</v>
      </c>
      <c r="D465" s="8">
        <v>5999.0</v>
      </c>
      <c r="E465" s="19">
        <v>0.78</v>
      </c>
      <c r="F465" s="10">
        <v>3.3</v>
      </c>
      <c r="G465" s="11">
        <v>4415.0</v>
      </c>
    </row>
    <row r="466">
      <c r="A466" s="7" t="s">
        <v>35</v>
      </c>
      <c r="B466" s="7" t="s">
        <v>15</v>
      </c>
      <c r="C466" s="8">
        <v>349.0</v>
      </c>
      <c r="D466" s="8">
        <v>399.0</v>
      </c>
      <c r="E466" s="19">
        <v>0.13</v>
      </c>
      <c r="F466" s="10">
        <v>4.4</v>
      </c>
      <c r="G466" s="11">
        <v>18757.0</v>
      </c>
    </row>
    <row r="467">
      <c r="A467" s="7" t="s">
        <v>506</v>
      </c>
      <c r="B467" s="7" t="s">
        <v>380</v>
      </c>
      <c r="C467" s="8">
        <v>16499.0</v>
      </c>
      <c r="D467" s="8">
        <v>20990.0</v>
      </c>
      <c r="E467" s="19">
        <v>0.21</v>
      </c>
      <c r="F467" s="10">
        <v>4.0</v>
      </c>
      <c r="G467" s="11">
        <v>21350.0</v>
      </c>
    </row>
    <row r="468">
      <c r="A468" s="7" t="s">
        <v>507</v>
      </c>
      <c r="B468" s="7" t="s">
        <v>393</v>
      </c>
      <c r="C468" s="8">
        <v>499.0</v>
      </c>
      <c r="D468" s="8">
        <v>499.0</v>
      </c>
      <c r="E468" s="19">
        <v>0.0</v>
      </c>
      <c r="F468" s="10">
        <v>4.2</v>
      </c>
      <c r="G468" s="11">
        <v>31539.0</v>
      </c>
    </row>
    <row r="469">
      <c r="A469" s="7" t="s">
        <v>41</v>
      </c>
      <c r="B469" s="7" t="s">
        <v>15</v>
      </c>
      <c r="C469" s="8">
        <v>970.0</v>
      </c>
      <c r="D469" s="8">
        <v>1799.0</v>
      </c>
      <c r="E469" s="19">
        <v>0.46</v>
      </c>
      <c r="F469" s="10">
        <v>4.5</v>
      </c>
      <c r="G469" s="10">
        <v>815.0</v>
      </c>
    </row>
    <row r="470">
      <c r="A470" s="7" t="s">
        <v>508</v>
      </c>
      <c r="B470" s="7" t="s">
        <v>490</v>
      </c>
      <c r="C470" s="8">
        <v>999.0</v>
      </c>
      <c r="D470" s="8">
        <v>2899.0</v>
      </c>
      <c r="E470" s="19">
        <v>0.66</v>
      </c>
      <c r="F470" s="10">
        <v>4.6</v>
      </c>
      <c r="G470" s="11">
        <v>6129.0</v>
      </c>
    </row>
    <row r="471">
      <c r="A471" s="7" t="s">
        <v>509</v>
      </c>
      <c r="B471" s="7" t="s">
        <v>380</v>
      </c>
      <c r="C471" s="8">
        <v>10499.0</v>
      </c>
      <c r="D471" s="8">
        <v>13499.0</v>
      </c>
      <c r="E471" s="19">
        <v>0.22</v>
      </c>
      <c r="F471" s="10">
        <v>4.2</v>
      </c>
      <c r="G471" s="10">
        <v>284.0</v>
      </c>
    </row>
    <row r="472">
      <c r="A472" s="7" t="s">
        <v>38</v>
      </c>
      <c r="B472" s="7" t="s">
        <v>15</v>
      </c>
      <c r="C472" s="8">
        <v>249.0</v>
      </c>
      <c r="D472" s="8">
        <v>399.0</v>
      </c>
      <c r="E472" s="19">
        <v>0.38</v>
      </c>
      <c r="F472" s="10">
        <v>4.0</v>
      </c>
      <c r="G472" s="11">
        <v>43994.0</v>
      </c>
    </row>
    <row r="473">
      <c r="A473" s="7" t="s">
        <v>510</v>
      </c>
      <c r="B473" s="7" t="s">
        <v>511</v>
      </c>
      <c r="C473" s="8">
        <v>251.0</v>
      </c>
      <c r="D473" s="8">
        <v>999.0</v>
      </c>
      <c r="E473" s="19">
        <v>0.75</v>
      </c>
      <c r="F473" s="10">
        <v>3.7</v>
      </c>
      <c r="G473" s="11">
        <v>3234.0</v>
      </c>
    </row>
    <row r="474">
      <c r="A474" s="7" t="s">
        <v>39</v>
      </c>
      <c r="B474" s="7" t="s">
        <v>15</v>
      </c>
      <c r="C474" s="8">
        <v>199.0</v>
      </c>
      <c r="D474" s="8">
        <v>499.0</v>
      </c>
      <c r="E474" s="19">
        <v>0.6</v>
      </c>
      <c r="F474" s="10">
        <v>4.1</v>
      </c>
      <c r="G474" s="11">
        <v>13045.0</v>
      </c>
    </row>
    <row r="475">
      <c r="A475" s="7" t="s">
        <v>512</v>
      </c>
      <c r="B475" s="7" t="s">
        <v>380</v>
      </c>
      <c r="C475" s="8">
        <v>6499.0</v>
      </c>
      <c r="D475" s="8">
        <v>7999.0</v>
      </c>
      <c r="E475" s="19">
        <v>0.19</v>
      </c>
      <c r="F475" s="10">
        <v>4.1</v>
      </c>
      <c r="G475" s="7" t="s">
        <v>513</v>
      </c>
    </row>
    <row r="476">
      <c r="A476" s="7" t="s">
        <v>514</v>
      </c>
      <c r="B476" s="7" t="s">
        <v>373</v>
      </c>
      <c r="C476" s="8">
        <v>2999.0</v>
      </c>
      <c r="D476" s="8">
        <v>9999.0</v>
      </c>
      <c r="E476" s="19">
        <v>0.7</v>
      </c>
      <c r="F476" s="10">
        <v>4.2</v>
      </c>
      <c r="G476" s="11">
        <v>20879.0</v>
      </c>
    </row>
    <row r="477">
      <c r="A477" s="7" t="s">
        <v>515</v>
      </c>
      <c r="B477" s="7" t="s">
        <v>516</v>
      </c>
      <c r="C477" s="8">
        <v>279.0</v>
      </c>
      <c r="D477" s="8">
        <v>1499.0</v>
      </c>
      <c r="E477" s="19">
        <v>0.81</v>
      </c>
      <c r="F477" s="10">
        <v>4.2</v>
      </c>
      <c r="G477" s="11">
        <v>2646.0</v>
      </c>
    </row>
    <row r="478">
      <c r="A478" s="7" t="s">
        <v>517</v>
      </c>
      <c r="B478" s="7" t="s">
        <v>450</v>
      </c>
      <c r="C478" s="8">
        <v>269.0</v>
      </c>
      <c r="D478" s="8">
        <v>1499.0</v>
      </c>
      <c r="E478" s="19">
        <v>0.82</v>
      </c>
      <c r="F478" s="10">
        <v>4.5</v>
      </c>
      <c r="G478" s="11">
        <v>28978.0</v>
      </c>
    </row>
    <row r="479">
      <c r="A479" s="7" t="s">
        <v>518</v>
      </c>
      <c r="B479" s="7" t="s">
        <v>380</v>
      </c>
      <c r="C479" s="8">
        <v>8999.0</v>
      </c>
      <c r="D479" s="8">
        <v>13499.0</v>
      </c>
      <c r="E479" s="19">
        <v>0.33</v>
      </c>
      <c r="F479" s="10">
        <v>3.8</v>
      </c>
      <c r="G479" s="11">
        <v>3145.0</v>
      </c>
    </row>
    <row r="480">
      <c r="A480" s="7" t="s">
        <v>44</v>
      </c>
      <c r="B480" s="7" t="s">
        <v>15</v>
      </c>
      <c r="C480" s="8">
        <v>59.0</v>
      </c>
      <c r="D480" s="8">
        <v>199.0</v>
      </c>
      <c r="E480" s="19">
        <v>0.7</v>
      </c>
      <c r="F480" s="10">
        <v>4.0</v>
      </c>
      <c r="G480" s="11">
        <v>9377.0</v>
      </c>
    </row>
    <row r="481">
      <c r="A481" s="7" t="s">
        <v>519</v>
      </c>
      <c r="B481" s="7" t="s">
        <v>393</v>
      </c>
      <c r="C481" s="8">
        <v>599.0</v>
      </c>
      <c r="D481" s="8">
        <v>1299.0</v>
      </c>
      <c r="E481" s="19">
        <v>0.54</v>
      </c>
      <c r="F481" s="10">
        <v>4.1</v>
      </c>
      <c r="G481" s="7" t="s">
        <v>520</v>
      </c>
    </row>
    <row r="482">
      <c r="A482" s="7" t="s">
        <v>521</v>
      </c>
      <c r="B482" s="7" t="s">
        <v>502</v>
      </c>
      <c r="C482" s="8">
        <v>349.0</v>
      </c>
      <c r="D482" s="8">
        <v>999.0</v>
      </c>
      <c r="E482" s="19">
        <v>0.65</v>
      </c>
      <c r="F482" s="10">
        <v>3.8</v>
      </c>
      <c r="G482" s="11">
        <v>16557.0</v>
      </c>
    </row>
    <row r="483">
      <c r="A483" s="7" t="s">
        <v>445</v>
      </c>
      <c r="B483" s="7" t="s">
        <v>380</v>
      </c>
      <c r="C483" s="8">
        <v>13999.0</v>
      </c>
      <c r="D483" s="8">
        <v>19499.0</v>
      </c>
      <c r="E483" s="19">
        <v>0.28</v>
      </c>
      <c r="F483" s="10">
        <v>4.1</v>
      </c>
      <c r="G483" s="11">
        <v>18998.0</v>
      </c>
    </row>
    <row r="484">
      <c r="A484" s="7" t="s">
        <v>522</v>
      </c>
      <c r="B484" s="7" t="s">
        <v>502</v>
      </c>
      <c r="C484" s="8">
        <v>349.0</v>
      </c>
      <c r="D484" s="8">
        <v>999.0</v>
      </c>
      <c r="E484" s="19">
        <v>0.65</v>
      </c>
      <c r="F484" s="10">
        <v>3.8</v>
      </c>
      <c r="G484" s="11">
        <v>16557.0</v>
      </c>
    </row>
    <row r="485">
      <c r="A485" s="7" t="s">
        <v>523</v>
      </c>
      <c r="B485" s="7" t="s">
        <v>409</v>
      </c>
      <c r="C485" s="8">
        <v>499.0</v>
      </c>
      <c r="D485" s="8">
        <v>599.0</v>
      </c>
      <c r="E485" s="19">
        <v>0.17</v>
      </c>
      <c r="F485" s="10">
        <v>4.2</v>
      </c>
      <c r="G485" s="11">
        <v>21916.0</v>
      </c>
    </row>
    <row r="486">
      <c r="A486" s="7" t="s">
        <v>415</v>
      </c>
      <c r="B486" s="7" t="s">
        <v>373</v>
      </c>
      <c r="C486" s="8">
        <v>2199.0</v>
      </c>
      <c r="D486" s="8">
        <v>9999.0</v>
      </c>
      <c r="E486" s="19">
        <v>0.78</v>
      </c>
      <c r="F486" s="10">
        <v>4.2</v>
      </c>
      <c r="G486" s="11">
        <v>29472.0</v>
      </c>
    </row>
    <row r="487">
      <c r="A487" s="7" t="s">
        <v>524</v>
      </c>
      <c r="B487" s="7" t="s">
        <v>469</v>
      </c>
      <c r="C487" s="8">
        <v>95.0</v>
      </c>
      <c r="D487" s="8">
        <v>499.0</v>
      </c>
      <c r="E487" s="19">
        <v>0.81</v>
      </c>
      <c r="F487" s="10">
        <v>4.2</v>
      </c>
      <c r="G487" s="11">
        <v>1949.0</v>
      </c>
    </row>
    <row r="488">
      <c r="A488" s="7" t="s">
        <v>525</v>
      </c>
      <c r="B488" s="7" t="s">
        <v>15</v>
      </c>
      <c r="C488" s="8">
        <v>139.0</v>
      </c>
      <c r="D488" s="8">
        <v>249.0</v>
      </c>
      <c r="E488" s="19">
        <v>0.44</v>
      </c>
      <c r="F488" s="10">
        <v>4.0</v>
      </c>
      <c r="G488" s="11">
        <v>9377.0</v>
      </c>
    </row>
    <row r="489">
      <c r="A489" s="7" t="s">
        <v>526</v>
      </c>
      <c r="B489" s="7" t="s">
        <v>373</v>
      </c>
      <c r="C489" s="8">
        <v>4499.0</v>
      </c>
      <c r="D489" s="8">
        <v>7999.0</v>
      </c>
      <c r="E489" s="19">
        <v>0.44</v>
      </c>
      <c r="F489" s="10">
        <v>3.5</v>
      </c>
      <c r="G489" s="10">
        <v>37.0</v>
      </c>
    </row>
    <row r="490">
      <c r="A490" s="7" t="s">
        <v>527</v>
      </c>
      <c r="B490" s="7" t="s">
        <v>450</v>
      </c>
      <c r="C490" s="8">
        <v>89.0</v>
      </c>
      <c r="D490" s="8">
        <v>599.0</v>
      </c>
      <c r="E490" s="19">
        <v>0.85</v>
      </c>
      <c r="F490" s="10">
        <v>4.3</v>
      </c>
      <c r="G490" s="11">
        <v>2351.0</v>
      </c>
    </row>
    <row r="491">
      <c r="A491" s="7" t="s">
        <v>528</v>
      </c>
      <c r="B491" s="7" t="s">
        <v>380</v>
      </c>
      <c r="C491" s="8">
        <v>15499.0</v>
      </c>
      <c r="D491" s="8">
        <v>20999.0</v>
      </c>
      <c r="E491" s="19">
        <v>0.26</v>
      </c>
      <c r="F491" s="10">
        <v>4.1</v>
      </c>
      <c r="G491" s="11">
        <v>19253.0</v>
      </c>
    </row>
    <row r="492">
      <c r="A492" s="7" t="s">
        <v>529</v>
      </c>
      <c r="B492" s="7" t="s">
        <v>380</v>
      </c>
      <c r="C492" s="8">
        <v>13999.0</v>
      </c>
      <c r="D492" s="8">
        <v>15999.0</v>
      </c>
      <c r="E492" s="19">
        <v>0.13</v>
      </c>
      <c r="F492" s="10">
        <v>3.9</v>
      </c>
      <c r="G492" s="11">
        <v>2180.0</v>
      </c>
    </row>
    <row r="493">
      <c r="A493" s="7" t="s">
        <v>530</v>
      </c>
      <c r="B493" s="7" t="s">
        <v>373</v>
      </c>
      <c r="C493" s="8">
        <v>1999.0</v>
      </c>
      <c r="D493" s="8">
        <v>4999.0</v>
      </c>
      <c r="E493" s="19">
        <v>0.6</v>
      </c>
      <c r="F493" s="10">
        <v>3.9</v>
      </c>
      <c r="G493" s="11">
        <v>7571.0</v>
      </c>
    </row>
    <row r="494">
      <c r="A494" s="7" t="s">
        <v>531</v>
      </c>
      <c r="B494" s="7" t="s">
        <v>373</v>
      </c>
      <c r="C494" s="8">
        <v>1399.0</v>
      </c>
      <c r="D494" s="8">
        <v>5999.0</v>
      </c>
      <c r="E494" s="19">
        <v>0.77</v>
      </c>
      <c r="F494" s="10">
        <v>3.3</v>
      </c>
      <c r="G494" s="11">
        <v>4415.0</v>
      </c>
    </row>
    <row r="495">
      <c r="A495" s="7" t="s">
        <v>532</v>
      </c>
      <c r="B495" s="7" t="s">
        <v>407</v>
      </c>
      <c r="C495" s="8">
        <v>599.0</v>
      </c>
      <c r="D495" s="8">
        <v>999.0</v>
      </c>
      <c r="E495" s="19">
        <v>0.4</v>
      </c>
      <c r="F495" s="10">
        <v>4.0</v>
      </c>
      <c r="G495" s="11">
        <v>18654.0</v>
      </c>
    </row>
    <row r="496">
      <c r="A496" s="7" t="s">
        <v>533</v>
      </c>
      <c r="B496" s="7" t="s">
        <v>409</v>
      </c>
      <c r="C496" s="8">
        <v>199.0</v>
      </c>
      <c r="D496" s="8">
        <v>1099.0</v>
      </c>
      <c r="E496" s="19">
        <v>0.82</v>
      </c>
      <c r="F496" s="10">
        <v>4.0</v>
      </c>
      <c r="G496" s="11">
        <v>3197.0</v>
      </c>
    </row>
    <row r="497">
      <c r="A497" s="7" t="s">
        <v>534</v>
      </c>
      <c r="B497" s="7" t="s">
        <v>373</v>
      </c>
      <c r="C497" s="8">
        <v>1799.0</v>
      </c>
      <c r="D497" s="8">
        <v>6990.0</v>
      </c>
      <c r="E497" s="19">
        <v>0.74</v>
      </c>
      <c r="F497" s="10">
        <v>4.0</v>
      </c>
      <c r="G497" s="11">
        <v>26880.0</v>
      </c>
    </row>
    <row r="498">
      <c r="A498" s="7" t="s">
        <v>535</v>
      </c>
      <c r="B498" s="7" t="s">
        <v>373</v>
      </c>
      <c r="C498" s="8">
        <v>1499.0</v>
      </c>
      <c r="D498" s="8">
        <v>6990.0</v>
      </c>
      <c r="E498" s="19">
        <v>0.79</v>
      </c>
      <c r="F498" s="10">
        <v>3.9</v>
      </c>
      <c r="G498" s="11">
        <v>21796.0</v>
      </c>
    </row>
    <row r="499">
      <c r="A499" s="7" t="s">
        <v>536</v>
      </c>
      <c r="B499" s="7" t="s">
        <v>380</v>
      </c>
      <c r="C499" s="8">
        <v>20999.0</v>
      </c>
      <c r="D499" s="8">
        <v>29990.0</v>
      </c>
      <c r="E499" s="19">
        <v>0.3</v>
      </c>
      <c r="F499" s="10">
        <v>4.3</v>
      </c>
      <c r="G499" s="11">
        <v>9499.0</v>
      </c>
    </row>
    <row r="500">
      <c r="A500" s="7" t="s">
        <v>537</v>
      </c>
      <c r="B500" s="7" t="s">
        <v>380</v>
      </c>
      <c r="C500" s="8">
        <v>12999.0</v>
      </c>
      <c r="D500" s="8">
        <v>13499.0</v>
      </c>
      <c r="E500" s="19">
        <v>0.04</v>
      </c>
      <c r="F500" s="10">
        <v>4.1</v>
      </c>
      <c r="G500" s="11">
        <v>56098.0</v>
      </c>
    </row>
    <row r="501">
      <c r="A501" s="7" t="s">
        <v>538</v>
      </c>
      <c r="B501" s="7" t="s">
        <v>380</v>
      </c>
      <c r="C501" s="8">
        <v>16999.0</v>
      </c>
      <c r="D501" s="8">
        <v>20999.0</v>
      </c>
      <c r="E501" s="19">
        <v>0.19</v>
      </c>
      <c r="F501" s="10">
        <v>4.1</v>
      </c>
      <c r="G501" s="11">
        <v>31822.0</v>
      </c>
    </row>
    <row r="502">
      <c r="A502" s="7" t="s">
        <v>539</v>
      </c>
      <c r="B502" s="7" t="s">
        <v>380</v>
      </c>
      <c r="C502" s="8">
        <v>19999.0</v>
      </c>
      <c r="D502" s="8">
        <v>27990.0</v>
      </c>
      <c r="E502" s="19">
        <v>0.29</v>
      </c>
      <c r="F502" s="10">
        <v>4.3</v>
      </c>
      <c r="G502" s="11">
        <v>9499.0</v>
      </c>
    </row>
    <row r="503">
      <c r="A503" s="7" t="s">
        <v>540</v>
      </c>
      <c r="B503" s="7" t="s">
        <v>380</v>
      </c>
      <c r="C503" s="8">
        <v>12999.0</v>
      </c>
      <c r="D503" s="8">
        <v>18999.0</v>
      </c>
      <c r="E503" s="19">
        <v>0.32</v>
      </c>
      <c r="F503" s="10">
        <v>4.1</v>
      </c>
      <c r="G503" s="11">
        <v>50772.0</v>
      </c>
    </row>
    <row r="504">
      <c r="A504" s="7" t="s">
        <v>541</v>
      </c>
      <c r="B504" s="7" t="s">
        <v>373</v>
      </c>
      <c r="C504" s="8">
        <v>2999.0</v>
      </c>
      <c r="D504" s="8">
        <v>5999.0</v>
      </c>
      <c r="E504" s="19">
        <v>0.5</v>
      </c>
      <c r="F504" s="10">
        <v>4.1</v>
      </c>
      <c r="G504" s="11">
        <v>7148.0</v>
      </c>
    </row>
    <row r="505">
      <c r="A505" s="7" t="s">
        <v>50</v>
      </c>
      <c r="B505" s="7" t="s">
        <v>15</v>
      </c>
      <c r="C505" s="8">
        <v>299.0</v>
      </c>
      <c r="D505" s="8">
        <v>999.0</v>
      </c>
      <c r="E505" s="19">
        <v>0.7</v>
      </c>
      <c r="F505" s="10">
        <v>4.3</v>
      </c>
      <c r="G505" s="11">
        <v>20850.0</v>
      </c>
    </row>
    <row r="506">
      <c r="A506" s="7" t="s">
        <v>49</v>
      </c>
      <c r="B506" s="7" t="s">
        <v>15</v>
      </c>
      <c r="C506" s="8">
        <v>970.0</v>
      </c>
      <c r="D506" s="8">
        <v>1999.0</v>
      </c>
      <c r="E506" s="19">
        <v>0.51</v>
      </c>
      <c r="F506" s="10">
        <v>4.4</v>
      </c>
      <c r="G506" s="10">
        <v>184.0</v>
      </c>
    </row>
    <row r="507">
      <c r="A507" s="7" t="s">
        <v>542</v>
      </c>
      <c r="B507" s="7" t="s">
        <v>409</v>
      </c>
      <c r="C507" s="8">
        <v>329.0</v>
      </c>
      <c r="D507" s="8">
        <v>999.0</v>
      </c>
      <c r="E507" s="19">
        <v>0.67</v>
      </c>
      <c r="F507" s="10">
        <v>4.2</v>
      </c>
      <c r="G507" s="11">
        <v>3492.0</v>
      </c>
    </row>
    <row r="508">
      <c r="A508" s="7" t="s">
        <v>543</v>
      </c>
      <c r="B508" s="7" t="s">
        <v>373</v>
      </c>
      <c r="C508" s="8">
        <v>1299.0</v>
      </c>
      <c r="D508" s="8">
        <v>5999.0</v>
      </c>
      <c r="E508" s="19">
        <v>0.78</v>
      </c>
      <c r="F508" s="10">
        <v>3.3</v>
      </c>
      <c r="G508" s="11">
        <v>4415.0</v>
      </c>
    </row>
    <row r="509">
      <c r="A509" s="7" t="s">
        <v>544</v>
      </c>
      <c r="B509" s="7" t="s">
        <v>386</v>
      </c>
      <c r="C509" s="8">
        <v>1989.0</v>
      </c>
      <c r="D509" s="8">
        <v>3500.0</v>
      </c>
      <c r="E509" s="19">
        <v>0.43</v>
      </c>
      <c r="F509" s="10">
        <v>4.4</v>
      </c>
      <c r="G509" s="11">
        <v>67260.0</v>
      </c>
    </row>
    <row r="510">
      <c r="A510" s="7" t="s">
        <v>374</v>
      </c>
      <c r="B510" s="7" t="s">
        <v>373</v>
      </c>
      <c r="C510" s="8">
        <v>1999.0</v>
      </c>
      <c r="D510" s="8">
        <v>9999.0</v>
      </c>
      <c r="E510" s="19">
        <v>0.8</v>
      </c>
      <c r="F510" s="10">
        <v>4.3</v>
      </c>
      <c r="G510" s="11">
        <v>27704.0</v>
      </c>
    </row>
    <row r="511">
      <c r="A511" s="7" t="s">
        <v>545</v>
      </c>
      <c r="B511" s="7" t="s">
        <v>380</v>
      </c>
      <c r="C511" s="8">
        <v>12999.0</v>
      </c>
      <c r="D511" s="8">
        <v>18999.0</v>
      </c>
      <c r="E511" s="19">
        <v>0.32</v>
      </c>
      <c r="F511" s="10">
        <v>4.1</v>
      </c>
      <c r="G511" s="11">
        <v>50772.0</v>
      </c>
    </row>
    <row r="512">
      <c r="A512" s="7" t="s">
        <v>546</v>
      </c>
      <c r="B512" s="7" t="s">
        <v>373</v>
      </c>
      <c r="C512" s="8">
        <v>1499.0</v>
      </c>
      <c r="D512" s="8">
        <v>4999.0</v>
      </c>
      <c r="E512" s="19">
        <v>0.7</v>
      </c>
      <c r="F512" s="10">
        <v>4.0</v>
      </c>
      <c r="G512" s="11">
        <v>92588.0</v>
      </c>
    </row>
    <row r="513">
      <c r="A513" s="7" t="s">
        <v>547</v>
      </c>
      <c r="B513" s="7" t="s">
        <v>380</v>
      </c>
      <c r="C513" s="8">
        <v>16999.0</v>
      </c>
      <c r="D513" s="8">
        <v>20999.0</v>
      </c>
      <c r="E513" s="19">
        <v>0.19</v>
      </c>
      <c r="F513" s="10">
        <v>4.1</v>
      </c>
      <c r="G513" s="11">
        <v>31822.0</v>
      </c>
    </row>
    <row r="514">
      <c r="A514" s="7" t="s">
        <v>548</v>
      </c>
      <c r="B514" s="7" t="s">
        <v>373</v>
      </c>
      <c r="C514" s="8">
        <v>1999.0</v>
      </c>
      <c r="D514" s="8">
        <v>8499.0</v>
      </c>
      <c r="E514" s="19">
        <v>0.76</v>
      </c>
      <c r="F514" s="10">
        <v>4.3</v>
      </c>
      <c r="G514" s="10">
        <v>240.0</v>
      </c>
    </row>
    <row r="515">
      <c r="A515" s="7" t="s">
        <v>549</v>
      </c>
      <c r="B515" s="7" t="s">
        <v>373</v>
      </c>
      <c r="C515" s="8">
        <v>4999.0</v>
      </c>
      <c r="D515" s="8">
        <v>6999.0</v>
      </c>
      <c r="E515" s="19">
        <v>0.29</v>
      </c>
      <c r="F515" s="10">
        <v>3.8</v>
      </c>
      <c r="G515" s="10">
        <v>758.0</v>
      </c>
    </row>
    <row r="516">
      <c r="A516" s="7" t="s">
        <v>56</v>
      </c>
      <c r="B516" s="7" t="s">
        <v>15</v>
      </c>
      <c r="C516" s="8">
        <v>99.0</v>
      </c>
      <c r="D516" s="8">
        <v>666.66</v>
      </c>
      <c r="E516" s="19">
        <v>0.85</v>
      </c>
      <c r="F516" s="10">
        <v>3.9</v>
      </c>
      <c r="G516" s="11">
        <v>24870.0</v>
      </c>
    </row>
    <row r="517">
      <c r="A517" s="7" t="s">
        <v>550</v>
      </c>
      <c r="B517" s="7" t="s">
        <v>373</v>
      </c>
      <c r="C517" s="8">
        <v>2499.0</v>
      </c>
      <c r="D517" s="8">
        <v>5999.0</v>
      </c>
      <c r="E517" s="19">
        <v>0.58</v>
      </c>
      <c r="F517" s="10">
        <v>3.7</v>
      </c>
      <c r="G517" s="10">
        <v>828.0</v>
      </c>
    </row>
    <row r="518">
      <c r="A518" s="7" t="s">
        <v>551</v>
      </c>
      <c r="B518" s="7" t="s">
        <v>389</v>
      </c>
      <c r="C518" s="8">
        <v>1399.0</v>
      </c>
      <c r="D518" s="8">
        <v>1630.0</v>
      </c>
      <c r="E518" s="19">
        <v>0.14</v>
      </c>
      <c r="F518" s="10">
        <v>4.0</v>
      </c>
      <c r="G518" s="11">
        <v>9378.0</v>
      </c>
    </row>
    <row r="519">
      <c r="A519" s="7" t="s">
        <v>552</v>
      </c>
      <c r="B519" s="7" t="s">
        <v>373</v>
      </c>
      <c r="C519" s="8">
        <v>1499.0</v>
      </c>
      <c r="D519" s="8">
        <v>9999.0</v>
      </c>
      <c r="E519" s="19">
        <v>0.85</v>
      </c>
      <c r="F519" s="10">
        <v>4.2</v>
      </c>
      <c r="G519" s="11">
        <v>22638.0</v>
      </c>
    </row>
    <row r="520">
      <c r="A520" s="7" t="s">
        <v>57</v>
      </c>
      <c r="B520" s="7" t="s">
        <v>15</v>
      </c>
      <c r="C520" s="8">
        <v>899.0</v>
      </c>
      <c r="D520" s="8">
        <v>1900.0</v>
      </c>
      <c r="E520" s="19">
        <v>0.53</v>
      </c>
      <c r="F520" s="10">
        <v>4.4</v>
      </c>
      <c r="G520" s="11">
        <v>13552.0</v>
      </c>
    </row>
    <row r="521">
      <c r="A521" s="7" t="s">
        <v>553</v>
      </c>
      <c r="B521" s="7" t="s">
        <v>409</v>
      </c>
      <c r="C521" s="8">
        <v>249.0</v>
      </c>
      <c r="D521" s="8">
        <v>599.0</v>
      </c>
      <c r="E521" s="19">
        <v>0.58</v>
      </c>
      <c r="F521" s="10">
        <v>3.9</v>
      </c>
      <c r="G521" s="11">
        <v>2147.0</v>
      </c>
    </row>
    <row r="522">
      <c r="A522" s="7" t="s">
        <v>554</v>
      </c>
      <c r="B522" s="7" t="s">
        <v>490</v>
      </c>
      <c r="C522" s="8">
        <v>299.0</v>
      </c>
      <c r="D522" s="8">
        <v>1199.0</v>
      </c>
      <c r="E522" s="19">
        <v>0.75</v>
      </c>
      <c r="F522" s="10">
        <v>4.5</v>
      </c>
      <c r="G522" s="10">
        <v>596.0</v>
      </c>
    </row>
    <row r="523">
      <c r="A523" s="7" t="s">
        <v>555</v>
      </c>
      <c r="B523" s="7" t="s">
        <v>469</v>
      </c>
      <c r="C523" s="8">
        <v>79.0</v>
      </c>
      <c r="D523" s="8">
        <v>499.0</v>
      </c>
      <c r="E523" s="19">
        <v>0.84</v>
      </c>
      <c r="F523" s="10">
        <v>4.2</v>
      </c>
      <c r="G523" s="11">
        <v>1949.0</v>
      </c>
    </row>
    <row r="524">
      <c r="A524" s="7" t="s">
        <v>556</v>
      </c>
      <c r="B524" s="7" t="s">
        <v>380</v>
      </c>
      <c r="C524" s="8">
        <v>13999.0</v>
      </c>
      <c r="D524" s="8">
        <v>15999.0</v>
      </c>
      <c r="E524" s="19">
        <v>0.13</v>
      </c>
      <c r="F524" s="10">
        <v>3.9</v>
      </c>
      <c r="G524" s="11">
        <v>2180.0</v>
      </c>
    </row>
    <row r="525">
      <c r="A525" s="7" t="s">
        <v>557</v>
      </c>
      <c r="B525" s="7" t="s">
        <v>393</v>
      </c>
      <c r="C525" s="8">
        <v>949.0</v>
      </c>
      <c r="D525" s="8">
        <v>999.0</v>
      </c>
      <c r="E525" s="19">
        <v>0.05</v>
      </c>
      <c r="F525" s="10">
        <v>4.2</v>
      </c>
      <c r="G525" s="11">
        <v>31539.0</v>
      </c>
    </row>
    <row r="526">
      <c r="A526" s="7" t="s">
        <v>558</v>
      </c>
      <c r="B526" s="7" t="s">
        <v>450</v>
      </c>
      <c r="C526" s="8">
        <v>99.0</v>
      </c>
      <c r="D526" s="8">
        <v>499.0</v>
      </c>
      <c r="E526" s="19">
        <v>0.8</v>
      </c>
      <c r="F526" s="10">
        <v>4.1</v>
      </c>
      <c r="G526" s="11">
        <v>2451.0</v>
      </c>
    </row>
    <row r="527">
      <c r="A527" s="7" t="s">
        <v>559</v>
      </c>
      <c r="B527" s="7" t="s">
        <v>373</v>
      </c>
      <c r="C527" s="8">
        <v>2499.0</v>
      </c>
      <c r="D527" s="8">
        <v>7990.0</v>
      </c>
      <c r="E527" s="19">
        <v>0.69</v>
      </c>
      <c r="F527" s="10">
        <v>4.1</v>
      </c>
      <c r="G527" s="10">
        <v>154.0</v>
      </c>
    </row>
    <row r="528">
      <c r="A528" s="7" t="s">
        <v>560</v>
      </c>
      <c r="B528" s="7" t="s">
        <v>561</v>
      </c>
      <c r="C528" s="8">
        <v>689.0</v>
      </c>
      <c r="D528" s="8">
        <v>1999.0</v>
      </c>
      <c r="E528" s="19">
        <v>0.66</v>
      </c>
      <c r="F528" s="10">
        <v>4.3</v>
      </c>
      <c r="G528" s="11">
        <v>1193.0</v>
      </c>
    </row>
    <row r="529">
      <c r="A529" s="7" t="s">
        <v>562</v>
      </c>
      <c r="B529" s="7" t="s">
        <v>511</v>
      </c>
      <c r="C529" s="8">
        <v>499.0</v>
      </c>
      <c r="D529" s="8">
        <v>1899.0</v>
      </c>
      <c r="E529" s="19">
        <v>0.74</v>
      </c>
      <c r="F529" s="10">
        <v>4.1</v>
      </c>
      <c r="G529" s="11">
        <v>1475.0</v>
      </c>
    </row>
    <row r="530">
      <c r="A530" s="7" t="s">
        <v>563</v>
      </c>
      <c r="B530" s="7" t="s">
        <v>490</v>
      </c>
      <c r="C530" s="8">
        <v>299.0</v>
      </c>
      <c r="D530" s="8">
        <v>999.0</v>
      </c>
      <c r="E530" s="19">
        <v>0.7</v>
      </c>
      <c r="F530" s="10">
        <v>4.3</v>
      </c>
      <c r="G530" s="11">
        <v>8891.0</v>
      </c>
    </row>
    <row r="531">
      <c r="A531" s="7" t="s">
        <v>564</v>
      </c>
      <c r="B531" s="7" t="s">
        <v>450</v>
      </c>
      <c r="C531" s="8">
        <v>209.0</v>
      </c>
      <c r="D531" s="8">
        <v>499.0</v>
      </c>
      <c r="E531" s="19">
        <v>0.58</v>
      </c>
      <c r="F531" s="10">
        <v>3.6</v>
      </c>
      <c r="G531" s="10">
        <v>104.0</v>
      </c>
    </row>
    <row r="532">
      <c r="A532" s="7" t="s">
        <v>565</v>
      </c>
      <c r="B532" s="7" t="s">
        <v>380</v>
      </c>
      <c r="C532" s="8">
        <v>8499.0</v>
      </c>
      <c r="D532" s="8">
        <v>12999.0</v>
      </c>
      <c r="E532" s="19">
        <v>0.35</v>
      </c>
      <c r="F532" s="10">
        <v>4.1</v>
      </c>
      <c r="G532" s="11">
        <v>6662.0</v>
      </c>
    </row>
    <row r="533">
      <c r="A533" s="7" t="s">
        <v>566</v>
      </c>
      <c r="B533" s="7" t="s">
        <v>377</v>
      </c>
      <c r="C533" s="8">
        <v>2179.0</v>
      </c>
      <c r="D533" s="8">
        <v>3999.0</v>
      </c>
      <c r="E533" s="19">
        <v>0.46</v>
      </c>
      <c r="F533" s="10">
        <v>4.0</v>
      </c>
      <c r="G533" s="11">
        <v>8380.0</v>
      </c>
    </row>
    <row r="534">
      <c r="A534" s="7" t="s">
        <v>567</v>
      </c>
      <c r="B534" s="7" t="s">
        <v>380</v>
      </c>
      <c r="C534" s="8">
        <v>16999.0</v>
      </c>
      <c r="D534" s="8">
        <v>20999.0</v>
      </c>
      <c r="E534" s="19">
        <v>0.19</v>
      </c>
      <c r="F534" s="10">
        <v>4.1</v>
      </c>
      <c r="G534" s="11">
        <v>31822.0</v>
      </c>
    </row>
    <row r="535">
      <c r="A535" s="7" t="s">
        <v>568</v>
      </c>
      <c r="B535" s="7" t="s">
        <v>380</v>
      </c>
      <c r="C535" s="8">
        <v>44999.0</v>
      </c>
      <c r="D535" s="8">
        <v>49999.0</v>
      </c>
      <c r="E535" s="19">
        <v>0.1</v>
      </c>
      <c r="F535" s="10">
        <v>4.3</v>
      </c>
      <c r="G535" s="11">
        <v>3075.0</v>
      </c>
    </row>
    <row r="536">
      <c r="A536" s="7" t="s">
        <v>569</v>
      </c>
      <c r="B536" s="7" t="s">
        <v>389</v>
      </c>
      <c r="C536" s="8">
        <v>2599.0</v>
      </c>
      <c r="D536" s="8">
        <v>2999.0</v>
      </c>
      <c r="E536" s="19">
        <v>0.13</v>
      </c>
      <c r="F536" s="10">
        <v>3.9</v>
      </c>
      <c r="G536" s="11">
        <v>14266.0</v>
      </c>
    </row>
    <row r="537">
      <c r="A537" s="7" t="s">
        <v>570</v>
      </c>
      <c r="B537" s="7" t="s">
        <v>373</v>
      </c>
      <c r="C537" s="8">
        <v>2799.0</v>
      </c>
      <c r="D537" s="8">
        <v>6499.0</v>
      </c>
      <c r="E537" s="19">
        <v>0.57</v>
      </c>
      <c r="F537" s="10">
        <v>4.1</v>
      </c>
      <c r="G537" s="11">
        <v>38879.0</v>
      </c>
    </row>
    <row r="538">
      <c r="A538" s="7" t="s">
        <v>571</v>
      </c>
      <c r="B538" s="7" t="s">
        <v>572</v>
      </c>
      <c r="C538" s="8">
        <v>1399.0</v>
      </c>
      <c r="D538" s="8">
        <v>2990.0</v>
      </c>
      <c r="E538" s="19">
        <v>0.53</v>
      </c>
      <c r="F538" s="10">
        <v>4.1</v>
      </c>
      <c r="G538" s="11">
        <v>97175.0</v>
      </c>
    </row>
    <row r="539">
      <c r="A539" s="7" t="s">
        <v>573</v>
      </c>
      <c r="B539" s="7" t="s">
        <v>386</v>
      </c>
      <c r="C539" s="8">
        <v>649.0</v>
      </c>
      <c r="D539" s="8">
        <v>2400.0</v>
      </c>
      <c r="E539" s="19">
        <v>0.73</v>
      </c>
      <c r="F539" s="10">
        <v>4.4</v>
      </c>
      <c r="G539" s="11">
        <v>67260.0</v>
      </c>
    </row>
    <row r="540">
      <c r="A540" s="7" t="s">
        <v>574</v>
      </c>
      <c r="B540" s="7" t="s">
        <v>409</v>
      </c>
      <c r="C540" s="8">
        <v>799.0</v>
      </c>
      <c r="D540" s="8">
        <v>3990.0</v>
      </c>
      <c r="E540" s="19">
        <v>0.8</v>
      </c>
      <c r="F540" s="10">
        <v>3.8</v>
      </c>
      <c r="G540" s="10">
        <v>119.0</v>
      </c>
    </row>
    <row r="541">
      <c r="A541" s="7" t="s">
        <v>575</v>
      </c>
      <c r="B541" s="7" t="s">
        <v>576</v>
      </c>
      <c r="C541" s="8">
        <v>149.0</v>
      </c>
      <c r="D541" s="8">
        <v>149.0</v>
      </c>
      <c r="E541" s="19">
        <v>0.0</v>
      </c>
      <c r="F541" s="10">
        <v>4.3</v>
      </c>
      <c r="G541" s="11">
        <v>10833.0</v>
      </c>
    </row>
    <row r="542">
      <c r="A542" s="7" t="s">
        <v>75</v>
      </c>
      <c r="B542" s="7" t="s">
        <v>15</v>
      </c>
      <c r="C542" s="8">
        <v>799.0</v>
      </c>
      <c r="D542" s="8">
        <v>2100.0</v>
      </c>
      <c r="E542" s="19">
        <v>0.62</v>
      </c>
      <c r="F542" s="10">
        <v>4.3</v>
      </c>
      <c r="G542" s="11">
        <v>8188.0</v>
      </c>
    </row>
    <row r="543">
      <c r="A543" s="7" t="s">
        <v>577</v>
      </c>
      <c r="B543" s="7" t="s">
        <v>389</v>
      </c>
      <c r="C543" s="8">
        <v>3799.0</v>
      </c>
      <c r="D543" s="8">
        <v>5299.0</v>
      </c>
      <c r="E543" s="19">
        <v>0.28</v>
      </c>
      <c r="F543" s="10">
        <v>3.5</v>
      </c>
      <c r="G543" s="11">
        <v>1641.0</v>
      </c>
    </row>
    <row r="544">
      <c r="A544" s="7" t="s">
        <v>578</v>
      </c>
      <c r="B544" s="7" t="s">
        <v>516</v>
      </c>
      <c r="C544" s="8">
        <v>199.0</v>
      </c>
      <c r="D544" s="8">
        <v>1899.0</v>
      </c>
      <c r="E544" s="19">
        <v>0.9</v>
      </c>
      <c r="F544" s="10">
        <v>4.0</v>
      </c>
      <c r="G544" s="11">
        <v>4740.0</v>
      </c>
    </row>
    <row r="545">
      <c r="A545" s="7" t="s">
        <v>579</v>
      </c>
      <c r="B545" s="7" t="s">
        <v>380</v>
      </c>
      <c r="C545" s="8">
        <v>23999.0</v>
      </c>
      <c r="D545" s="8">
        <v>32999.0</v>
      </c>
      <c r="E545" s="19">
        <v>0.27</v>
      </c>
      <c r="F545" s="10">
        <v>3.9</v>
      </c>
      <c r="G545" s="11">
        <v>8866.0</v>
      </c>
    </row>
    <row r="546">
      <c r="A546" s="7" t="s">
        <v>580</v>
      </c>
      <c r="B546" s="7" t="s">
        <v>380</v>
      </c>
      <c r="C546" s="8">
        <v>29990.0</v>
      </c>
      <c r="D546" s="8">
        <v>39990.0</v>
      </c>
      <c r="E546" s="19">
        <v>0.25</v>
      </c>
      <c r="F546" s="10">
        <v>4.3</v>
      </c>
      <c r="G546" s="11">
        <v>8399.0</v>
      </c>
    </row>
    <row r="547">
      <c r="A547" s="7" t="s">
        <v>581</v>
      </c>
      <c r="B547" s="7" t="s">
        <v>373</v>
      </c>
      <c r="C547" s="8">
        <v>281.0</v>
      </c>
      <c r="D547" s="8">
        <v>1999.0</v>
      </c>
      <c r="E547" s="19">
        <v>0.86</v>
      </c>
      <c r="F547" s="10">
        <v>2.8</v>
      </c>
      <c r="G547" s="10">
        <v>87.0</v>
      </c>
    </row>
    <row r="548">
      <c r="A548" s="7" t="s">
        <v>582</v>
      </c>
      <c r="B548" s="7" t="s">
        <v>380</v>
      </c>
      <c r="C548" s="8">
        <v>7998.0</v>
      </c>
      <c r="D548" s="8">
        <v>11999.0</v>
      </c>
      <c r="E548" s="19">
        <v>0.33</v>
      </c>
      <c r="F548" s="10">
        <v>3.8</v>
      </c>
      <c r="G548" s="10">
        <v>125.0</v>
      </c>
    </row>
    <row r="549">
      <c r="A549" s="7" t="s">
        <v>583</v>
      </c>
      <c r="B549" s="7" t="s">
        <v>373</v>
      </c>
      <c r="C549" s="8">
        <v>249.0</v>
      </c>
      <c r="D549" s="8">
        <v>999.0</v>
      </c>
      <c r="E549" s="19">
        <v>0.75</v>
      </c>
      <c r="F549" s="10">
        <v>4.5</v>
      </c>
      <c r="G549" s="10">
        <v>38.0</v>
      </c>
    </row>
    <row r="550">
      <c r="A550" s="7" t="s">
        <v>584</v>
      </c>
      <c r="B550" s="7" t="s">
        <v>490</v>
      </c>
      <c r="C550" s="8">
        <v>299.0</v>
      </c>
      <c r="D550" s="8">
        <v>599.0</v>
      </c>
      <c r="E550" s="19">
        <v>0.5</v>
      </c>
      <c r="F550" s="10">
        <v>4.3</v>
      </c>
      <c r="G550" s="11">
        <v>4674.0</v>
      </c>
    </row>
    <row r="551">
      <c r="A551" s="7" t="s">
        <v>585</v>
      </c>
      <c r="B551" s="7" t="s">
        <v>373</v>
      </c>
      <c r="C551" s="8">
        <v>499.0</v>
      </c>
      <c r="D551" s="8">
        <v>1899.0</v>
      </c>
      <c r="E551" s="19">
        <v>0.74</v>
      </c>
      <c r="F551" s="10">
        <v>4.1</v>
      </c>
      <c r="G551" s="10">
        <v>412.0</v>
      </c>
    </row>
    <row r="552">
      <c r="A552" s="7" t="s">
        <v>586</v>
      </c>
      <c r="B552" s="7" t="s">
        <v>373</v>
      </c>
      <c r="C552" s="8">
        <v>899.0</v>
      </c>
      <c r="D552" s="8">
        <v>3499.0</v>
      </c>
      <c r="E552" s="19">
        <v>0.74</v>
      </c>
      <c r="F552" s="10">
        <v>3.0</v>
      </c>
      <c r="G552" s="10">
        <v>681.0</v>
      </c>
    </row>
    <row r="553">
      <c r="A553" s="7" t="s">
        <v>587</v>
      </c>
      <c r="B553" s="7" t="s">
        <v>377</v>
      </c>
      <c r="C553" s="8">
        <v>1599.0</v>
      </c>
      <c r="D553" s="8">
        <v>3499.0</v>
      </c>
      <c r="E553" s="19">
        <v>0.54</v>
      </c>
      <c r="F553" s="10">
        <v>4.0</v>
      </c>
      <c r="G553" s="11">
        <v>36384.0</v>
      </c>
    </row>
    <row r="554">
      <c r="A554" s="7" t="s">
        <v>588</v>
      </c>
      <c r="B554" s="7" t="s">
        <v>589</v>
      </c>
      <c r="C554" s="8">
        <v>120.0</v>
      </c>
      <c r="D554" s="8">
        <v>999.0</v>
      </c>
      <c r="E554" s="19">
        <v>0.88</v>
      </c>
      <c r="F554" s="10">
        <v>3.9</v>
      </c>
      <c r="G554" s="11">
        <v>6491.0</v>
      </c>
    </row>
    <row r="555">
      <c r="A555" s="7" t="s">
        <v>590</v>
      </c>
      <c r="B555" s="7" t="s">
        <v>373</v>
      </c>
      <c r="C555" s="8">
        <v>3999.0</v>
      </c>
      <c r="D555" s="8">
        <v>6999.0</v>
      </c>
      <c r="E555" s="19">
        <v>0.43</v>
      </c>
      <c r="F555" s="10">
        <v>4.1</v>
      </c>
      <c r="G555" s="11">
        <v>10229.0</v>
      </c>
    </row>
    <row r="556">
      <c r="A556" s="7" t="s">
        <v>540</v>
      </c>
      <c r="B556" s="7" t="s">
        <v>380</v>
      </c>
      <c r="C556" s="8">
        <v>12999.0</v>
      </c>
      <c r="D556" s="8">
        <v>18999.0</v>
      </c>
      <c r="E556" s="19">
        <v>0.32</v>
      </c>
      <c r="F556" s="10">
        <v>4.1</v>
      </c>
      <c r="G556" s="11">
        <v>50772.0</v>
      </c>
    </row>
    <row r="557">
      <c r="A557" s="7" t="s">
        <v>591</v>
      </c>
      <c r="B557" s="7" t="s">
        <v>516</v>
      </c>
      <c r="C557" s="8">
        <v>1599.0</v>
      </c>
      <c r="D557" s="8">
        <v>2599.0</v>
      </c>
      <c r="E557" s="19">
        <v>0.38</v>
      </c>
      <c r="F557" s="10">
        <v>4.3</v>
      </c>
      <c r="G557" s="11">
        <v>1801.0</v>
      </c>
    </row>
    <row r="558">
      <c r="A558" s="7" t="s">
        <v>592</v>
      </c>
      <c r="B558" s="7" t="s">
        <v>409</v>
      </c>
      <c r="C558" s="8">
        <v>699.0</v>
      </c>
      <c r="D558" s="8">
        <v>1199.0</v>
      </c>
      <c r="E558" s="19">
        <v>0.42</v>
      </c>
      <c r="F558" s="10">
        <v>4.0</v>
      </c>
      <c r="G558" s="11">
        <v>14404.0</v>
      </c>
    </row>
    <row r="559">
      <c r="A559" s="7" t="s">
        <v>593</v>
      </c>
      <c r="B559" s="7" t="s">
        <v>594</v>
      </c>
      <c r="C559" s="8">
        <v>99.0</v>
      </c>
      <c r="D559" s="8">
        <v>999.0</v>
      </c>
      <c r="E559" s="19">
        <v>0.9</v>
      </c>
      <c r="F559" s="10">
        <v>4.4</v>
      </c>
      <c r="G559" s="10">
        <v>305.0</v>
      </c>
    </row>
    <row r="560">
      <c r="A560" s="7" t="s">
        <v>595</v>
      </c>
      <c r="B560" s="7" t="s">
        <v>380</v>
      </c>
      <c r="C560" s="8">
        <v>7915.0</v>
      </c>
      <c r="D560" s="8">
        <v>9999.0</v>
      </c>
      <c r="E560" s="19">
        <v>0.21</v>
      </c>
      <c r="F560" s="10">
        <v>4.3</v>
      </c>
      <c r="G560" s="11">
        <v>1376.0</v>
      </c>
    </row>
    <row r="561">
      <c r="A561" s="7" t="s">
        <v>596</v>
      </c>
      <c r="B561" s="7" t="s">
        <v>373</v>
      </c>
      <c r="C561" s="8">
        <v>1499.0</v>
      </c>
      <c r="D561" s="8">
        <v>7999.0</v>
      </c>
      <c r="E561" s="19">
        <v>0.81</v>
      </c>
      <c r="F561" s="10">
        <v>4.2</v>
      </c>
      <c r="G561" s="11">
        <v>22638.0</v>
      </c>
    </row>
    <row r="562">
      <c r="A562" s="7" t="s">
        <v>597</v>
      </c>
      <c r="B562" s="7" t="s">
        <v>389</v>
      </c>
      <c r="C562" s="8">
        <v>1055.0</v>
      </c>
      <c r="D562" s="8">
        <v>1249.0</v>
      </c>
      <c r="E562" s="19">
        <v>0.16</v>
      </c>
      <c r="F562" s="10">
        <v>3.8</v>
      </c>
      <c r="G562" s="11">
        <v>2352.0</v>
      </c>
    </row>
    <row r="563">
      <c r="A563" s="7" t="s">
        <v>598</v>
      </c>
      <c r="B563" s="7" t="s">
        <v>490</v>
      </c>
      <c r="C563" s="8">
        <v>150.0</v>
      </c>
      <c r="D563" s="8">
        <v>599.0</v>
      </c>
      <c r="E563" s="19">
        <v>0.75</v>
      </c>
      <c r="F563" s="10">
        <v>4.3</v>
      </c>
      <c r="G563" s="10">
        <v>714.0</v>
      </c>
    </row>
    <row r="564">
      <c r="A564" s="7" t="s">
        <v>94</v>
      </c>
      <c r="B564" s="7" t="s">
        <v>15</v>
      </c>
      <c r="C564" s="8">
        <v>219.0</v>
      </c>
      <c r="D564" s="8">
        <v>700.0</v>
      </c>
      <c r="E564" s="19">
        <v>0.69</v>
      </c>
      <c r="F564" s="10">
        <v>4.3</v>
      </c>
      <c r="G564" s="11">
        <v>20052.0</v>
      </c>
    </row>
    <row r="565">
      <c r="A565" s="7" t="s">
        <v>599</v>
      </c>
      <c r="B565" s="7" t="s">
        <v>516</v>
      </c>
      <c r="C565" s="8">
        <v>474.0</v>
      </c>
      <c r="D565" s="8">
        <v>1799.0</v>
      </c>
      <c r="E565" s="19">
        <v>0.74</v>
      </c>
      <c r="F565" s="10">
        <v>4.3</v>
      </c>
      <c r="G565" s="11">
        <v>1454.0</v>
      </c>
    </row>
    <row r="566">
      <c r="A566" s="7" t="s">
        <v>98</v>
      </c>
      <c r="B566" s="7" t="s">
        <v>15</v>
      </c>
      <c r="C566" s="8">
        <v>115.0</v>
      </c>
      <c r="D566" s="8">
        <v>499.0</v>
      </c>
      <c r="E566" s="19">
        <v>0.77</v>
      </c>
      <c r="F566" s="10">
        <v>4.0</v>
      </c>
      <c r="G566" s="11">
        <v>7732.0</v>
      </c>
    </row>
    <row r="567">
      <c r="A567" s="7" t="s">
        <v>600</v>
      </c>
      <c r="B567" s="7" t="s">
        <v>409</v>
      </c>
      <c r="C567" s="8">
        <v>239.0</v>
      </c>
      <c r="D567" s="8">
        <v>599.0</v>
      </c>
      <c r="E567" s="19">
        <v>0.6</v>
      </c>
      <c r="F567" s="10">
        <v>3.9</v>
      </c>
      <c r="G567" s="11">
        <v>2147.0</v>
      </c>
    </row>
    <row r="568">
      <c r="A568" s="7" t="s">
        <v>601</v>
      </c>
      <c r="B568" s="7" t="s">
        <v>380</v>
      </c>
      <c r="C568" s="8">
        <v>7499.0</v>
      </c>
      <c r="D568" s="8">
        <v>9499.0</v>
      </c>
      <c r="E568" s="19">
        <v>0.21</v>
      </c>
      <c r="F568" s="10">
        <v>4.1</v>
      </c>
      <c r="G568" s="7" t="s">
        <v>513</v>
      </c>
    </row>
    <row r="569">
      <c r="A569" s="7" t="s">
        <v>602</v>
      </c>
      <c r="B569" s="7" t="s">
        <v>373</v>
      </c>
      <c r="C569" s="8">
        <v>265.0</v>
      </c>
      <c r="D569" s="8">
        <v>999.0</v>
      </c>
      <c r="E569" s="19">
        <v>0.73</v>
      </c>
      <c r="F569" s="10">
        <v>3.7</v>
      </c>
      <c r="G569" s="10">
        <v>465.0</v>
      </c>
    </row>
    <row r="570">
      <c r="A570" s="7" t="s">
        <v>603</v>
      </c>
      <c r="B570" s="7" t="s">
        <v>380</v>
      </c>
      <c r="C570" s="8">
        <v>37990.0</v>
      </c>
      <c r="D570" s="8">
        <v>74999.0</v>
      </c>
      <c r="E570" s="19">
        <v>0.49</v>
      </c>
      <c r="F570" s="10">
        <v>4.2</v>
      </c>
      <c r="G570" s="11">
        <v>27790.0</v>
      </c>
    </row>
    <row r="571">
      <c r="A571" s="7" t="s">
        <v>100</v>
      </c>
      <c r="B571" s="7" t="s">
        <v>15</v>
      </c>
      <c r="C571" s="8">
        <v>199.0</v>
      </c>
      <c r="D571" s="8">
        <v>499.0</v>
      </c>
      <c r="E571" s="19">
        <v>0.6</v>
      </c>
      <c r="F571" s="10">
        <v>4.1</v>
      </c>
      <c r="G571" s="10">
        <v>602.0</v>
      </c>
    </row>
    <row r="572">
      <c r="A572" s="7" t="s">
        <v>101</v>
      </c>
      <c r="B572" s="7" t="s">
        <v>15</v>
      </c>
      <c r="C572" s="8">
        <v>179.0</v>
      </c>
      <c r="D572" s="8">
        <v>399.0</v>
      </c>
      <c r="E572" s="19">
        <v>0.55</v>
      </c>
      <c r="F572" s="10">
        <v>4.0</v>
      </c>
      <c r="G572" s="11">
        <v>1423.0</v>
      </c>
    </row>
    <row r="573">
      <c r="A573" s="7" t="s">
        <v>604</v>
      </c>
      <c r="B573" s="7" t="s">
        <v>441</v>
      </c>
      <c r="C573" s="8">
        <v>1799.0</v>
      </c>
      <c r="D573" s="8">
        <v>3999.0</v>
      </c>
      <c r="E573" s="19">
        <v>0.55</v>
      </c>
      <c r="F573" s="10">
        <v>4.6</v>
      </c>
      <c r="G573" s="10">
        <v>245.0</v>
      </c>
    </row>
    <row r="574">
      <c r="A574" s="7" t="s">
        <v>605</v>
      </c>
      <c r="B574" s="7" t="s">
        <v>380</v>
      </c>
      <c r="C574" s="8">
        <v>8499.0</v>
      </c>
      <c r="D574" s="8">
        <v>11999.0</v>
      </c>
      <c r="E574" s="19">
        <v>0.29</v>
      </c>
      <c r="F574" s="10">
        <v>3.9</v>
      </c>
      <c r="G574" s="10">
        <v>276.0</v>
      </c>
    </row>
    <row r="575">
      <c r="A575" s="7" t="s">
        <v>606</v>
      </c>
      <c r="B575" s="7" t="s">
        <v>373</v>
      </c>
      <c r="C575" s="8">
        <v>1999.0</v>
      </c>
      <c r="D575" s="8">
        <v>3999.0</v>
      </c>
      <c r="E575" s="19">
        <v>0.5</v>
      </c>
      <c r="F575" s="10">
        <v>4.0</v>
      </c>
      <c r="G575" s="11">
        <v>30254.0</v>
      </c>
    </row>
    <row r="576">
      <c r="A576" s="7" t="s">
        <v>424</v>
      </c>
      <c r="B576" s="7" t="s">
        <v>373</v>
      </c>
      <c r="C576" s="8">
        <v>3999.0</v>
      </c>
      <c r="D576" s="8">
        <v>17999.0</v>
      </c>
      <c r="E576" s="19">
        <v>0.78</v>
      </c>
      <c r="F576" s="10">
        <v>4.3</v>
      </c>
      <c r="G576" s="11">
        <v>17161.0</v>
      </c>
    </row>
    <row r="577">
      <c r="A577" s="7" t="s">
        <v>607</v>
      </c>
      <c r="B577" s="7" t="s">
        <v>409</v>
      </c>
      <c r="C577" s="8">
        <v>219.0</v>
      </c>
      <c r="D577" s="8">
        <v>499.0</v>
      </c>
      <c r="E577" s="19">
        <v>0.56</v>
      </c>
      <c r="F577" s="10">
        <v>4.4</v>
      </c>
      <c r="G577" s="10">
        <v>14.0</v>
      </c>
    </row>
    <row r="578">
      <c r="A578" s="7" t="s">
        <v>608</v>
      </c>
      <c r="B578" s="7" t="s">
        <v>441</v>
      </c>
      <c r="C578" s="8">
        <v>599.0</v>
      </c>
      <c r="D578" s="8">
        <v>1399.0</v>
      </c>
      <c r="E578" s="19">
        <v>0.57</v>
      </c>
      <c r="F578" s="10">
        <v>4.1</v>
      </c>
      <c r="G578" s="11">
        <v>14560.0</v>
      </c>
    </row>
    <row r="579">
      <c r="A579" s="7" t="s">
        <v>609</v>
      </c>
      <c r="B579" s="7" t="s">
        <v>377</v>
      </c>
      <c r="C579" s="8">
        <v>2499.0</v>
      </c>
      <c r="D579" s="8">
        <v>2999.0</v>
      </c>
      <c r="E579" s="19">
        <v>0.17</v>
      </c>
      <c r="F579" s="10">
        <v>4.1</v>
      </c>
      <c r="G579" s="11">
        <v>3156.0</v>
      </c>
    </row>
    <row r="580">
      <c r="A580" s="7" t="s">
        <v>610</v>
      </c>
      <c r="B580" s="7" t="s">
        <v>611</v>
      </c>
      <c r="C580" s="8">
        <v>89.0</v>
      </c>
      <c r="D580" s="8">
        <v>499.0</v>
      </c>
      <c r="E580" s="19">
        <v>0.82</v>
      </c>
      <c r="F580" s="10">
        <v>4.1</v>
      </c>
      <c r="G580" s="11">
        <v>9340.0</v>
      </c>
    </row>
    <row r="581">
      <c r="A581" s="7" t="s">
        <v>612</v>
      </c>
      <c r="B581" s="7" t="s">
        <v>373</v>
      </c>
      <c r="C581" s="8">
        <v>2999.0</v>
      </c>
      <c r="D581" s="8">
        <v>11999.0</v>
      </c>
      <c r="E581" s="19">
        <v>0.75</v>
      </c>
      <c r="F581" s="10">
        <v>4.4</v>
      </c>
      <c r="G581" s="10">
        <v>768.0</v>
      </c>
    </row>
    <row r="582">
      <c r="A582" s="7" t="s">
        <v>613</v>
      </c>
      <c r="B582" s="7" t="s">
        <v>450</v>
      </c>
      <c r="C582" s="8">
        <v>314.0</v>
      </c>
      <c r="D582" s="8">
        <v>1499.0</v>
      </c>
      <c r="E582" s="19">
        <v>0.79</v>
      </c>
      <c r="F582" s="10">
        <v>4.5</v>
      </c>
      <c r="G582" s="11">
        <v>28978.0</v>
      </c>
    </row>
    <row r="583">
      <c r="A583" s="7" t="s">
        <v>614</v>
      </c>
      <c r="B583" s="7" t="s">
        <v>380</v>
      </c>
      <c r="C583" s="8">
        <v>13999.0</v>
      </c>
      <c r="D583" s="8">
        <v>19499.0</v>
      </c>
      <c r="E583" s="19">
        <v>0.28</v>
      </c>
      <c r="F583" s="10">
        <v>4.1</v>
      </c>
      <c r="G583" s="11">
        <v>18998.0</v>
      </c>
    </row>
    <row r="584">
      <c r="A584" s="7" t="s">
        <v>615</v>
      </c>
      <c r="B584" s="7" t="s">
        <v>423</v>
      </c>
      <c r="C584" s="8">
        <v>139.0</v>
      </c>
      <c r="D584" s="8">
        <v>499.0</v>
      </c>
      <c r="E584" s="19">
        <v>0.72</v>
      </c>
      <c r="F584" s="10">
        <v>4.2</v>
      </c>
      <c r="G584" s="11">
        <v>4971.0</v>
      </c>
    </row>
    <row r="585">
      <c r="A585" s="7" t="s">
        <v>616</v>
      </c>
      <c r="B585" s="7" t="s">
        <v>502</v>
      </c>
      <c r="C585" s="8">
        <v>2599.0</v>
      </c>
      <c r="D585" s="8">
        <v>6999.0</v>
      </c>
      <c r="E585" s="19">
        <v>0.63</v>
      </c>
      <c r="F585" s="10">
        <v>4.5</v>
      </c>
      <c r="G585" s="11">
        <v>1526.0</v>
      </c>
    </row>
    <row r="586">
      <c r="A586" s="7" t="s">
        <v>617</v>
      </c>
      <c r="B586" s="7" t="s">
        <v>393</v>
      </c>
      <c r="C586" s="8">
        <v>365.0</v>
      </c>
      <c r="D586" s="8">
        <v>999.0</v>
      </c>
      <c r="E586" s="19">
        <v>0.63</v>
      </c>
      <c r="F586" s="10">
        <v>4.1</v>
      </c>
      <c r="G586" s="7" t="s">
        <v>618</v>
      </c>
    </row>
    <row r="587">
      <c r="A587" s="7" t="s">
        <v>619</v>
      </c>
      <c r="B587" s="7" t="s">
        <v>393</v>
      </c>
      <c r="C587" s="8">
        <v>1499.0</v>
      </c>
      <c r="D587" s="8">
        <v>4490.0</v>
      </c>
      <c r="E587" s="19">
        <v>0.67</v>
      </c>
      <c r="F587" s="10">
        <v>3.9</v>
      </c>
      <c r="G587" s="7" t="s">
        <v>620</v>
      </c>
    </row>
    <row r="588">
      <c r="A588" s="7" t="s">
        <v>374</v>
      </c>
      <c r="B588" s="7" t="s">
        <v>373</v>
      </c>
      <c r="C588" s="8">
        <v>1998.0</v>
      </c>
      <c r="D588" s="8">
        <v>9999.0</v>
      </c>
      <c r="E588" s="19">
        <v>0.8</v>
      </c>
      <c r="F588" s="10">
        <v>4.3</v>
      </c>
      <c r="G588" s="11">
        <v>27709.0</v>
      </c>
    </row>
    <row r="589">
      <c r="A589" s="7" t="s">
        <v>375</v>
      </c>
      <c r="B589" s="7" t="s">
        <v>373</v>
      </c>
      <c r="C589" s="8">
        <v>1799.0</v>
      </c>
      <c r="D589" s="8">
        <v>7990.0</v>
      </c>
      <c r="E589" s="19">
        <v>0.77</v>
      </c>
      <c r="F589" s="10">
        <v>3.8</v>
      </c>
      <c r="G589" s="11">
        <v>17833.0</v>
      </c>
    </row>
    <row r="590">
      <c r="A590" s="7" t="s">
        <v>621</v>
      </c>
      <c r="B590" s="7" t="s">
        <v>622</v>
      </c>
      <c r="C590" s="8">
        <v>289.0</v>
      </c>
      <c r="D590" s="8">
        <v>650.0</v>
      </c>
      <c r="E590" s="19">
        <v>0.56</v>
      </c>
      <c r="F590" s="10">
        <v>4.3</v>
      </c>
      <c r="G590" s="7" t="s">
        <v>623</v>
      </c>
    </row>
    <row r="591">
      <c r="A591" s="7" t="s">
        <v>624</v>
      </c>
      <c r="B591" s="7" t="s">
        <v>625</v>
      </c>
      <c r="C591" s="8">
        <v>599.0</v>
      </c>
      <c r="D591" s="8">
        <v>895.0</v>
      </c>
      <c r="E591" s="19">
        <v>0.33</v>
      </c>
      <c r="F591" s="10">
        <v>4.4</v>
      </c>
      <c r="G591" s="11">
        <v>61314.0</v>
      </c>
    </row>
    <row r="592">
      <c r="A592" s="7" t="s">
        <v>626</v>
      </c>
      <c r="B592" s="7" t="s">
        <v>627</v>
      </c>
      <c r="C592" s="8">
        <v>217.0</v>
      </c>
      <c r="D592" s="8">
        <v>237.0</v>
      </c>
      <c r="E592" s="19">
        <v>0.08</v>
      </c>
      <c r="F592" s="10">
        <v>3.8</v>
      </c>
      <c r="G592" s="11">
        <v>7354.0</v>
      </c>
    </row>
    <row r="593">
      <c r="A593" s="7" t="s">
        <v>628</v>
      </c>
      <c r="B593" s="7" t="s">
        <v>393</v>
      </c>
      <c r="C593" s="8">
        <v>1299.0</v>
      </c>
      <c r="D593" s="8">
        <v>2990.0</v>
      </c>
      <c r="E593" s="19">
        <v>0.57</v>
      </c>
      <c r="F593" s="10">
        <v>3.8</v>
      </c>
      <c r="G593" s="7" t="s">
        <v>629</v>
      </c>
    </row>
    <row r="594">
      <c r="A594" s="7" t="s">
        <v>630</v>
      </c>
      <c r="B594" s="7" t="s">
        <v>631</v>
      </c>
      <c r="C594" s="8">
        <v>263.0</v>
      </c>
      <c r="D594" s="8">
        <v>699.0</v>
      </c>
      <c r="E594" s="19">
        <v>0.62</v>
      </c>
      <c r="F594" s="10">
        <v>3.5</v>
      </c>
      <c r="G594" s="10">
        <v>690.0</v>
      </c>
    </row>
    <row r="595">
      <c r="A595" s="7" t="s">
        <v>385</v>
      </c>
      <c r="B595" s="7" t="s">
        <v>386</v>
      </c>
      <c r="C595" s="8">
        <v>569.0</v>
      </c>
      <c r="D595" s="8">
        <v>1000.0</v>
      </c>
      <c r="E595" s="19">
        <v>0.43</v>
      </c>
      <c r="F595" s="10">
        <v>4.4</v>
      </c>
      <c r="G595" s="11">
        <v>67262.0</v>
      </c>
    </row>
    <row r="596">
      <c r="A596" s="7" t="s">
        <v>387</v>
      </c>
      <c r="B596" s="7" t="s">
        <v>373</v>
      </c>
      <c r="C596" s="8">
        <v>1999.0</v>
      </c>
      <c r="D596" s="8">
        <v>4999.0</v>
      </c>
      <c r="E596" s="19">
        <v>0.6</v>
      </c>
      <c r="F596" s="10">
        <v>4.1</v>
      </c>
      <c r="G596" s="11">
        <v>10689.0</v>
      </c>
    </row>
    <row r="597">
      <c r="A597" s="7" t="s">
        <v>632</v>
      </c>
      <c r="B597" s="7" t="s">
        <v>393</v>
      </c>
      <c r="C597" s="8">
        <v>1399.0</v>
      </c>
      <c r="D597" s="8">
        <v>3990.0</v>
      </c>
      <c r="E597" s="19">
        <v>0.65</v>
      </c>
      <c r="F597" s="10">
        <v>4.1</v>
      </c>
      <c r="G597" s="7" t="s">
        <v>633</v>
      </c>
    </row>
    <row r="598">
      <c r="A598" s="7" t="s">
        <v>634</v>
      </c>
      <c r="B598" s="7" t="s">
        <v>635</v>
      </c>
      <c r="C598" s="8">
        <v>349.0</v>
      </c>
      <c r="D598" s="8">
        <v>1499.0</v>
      </c>
      <c r="E598" s="19">
        <v>0.77</v>
      </c>
      <c r="F598" s="10">
        <v>4.3</v>
      </c>
      <c r="G598" s="11">
        <v>24791.0</v>
      </c>
    </row>
    <row r="599">
      <c r="A599" s="7" t="s">
        <v>636</v>
      </c>
      <c r="B599" s="7" t="s">
        <v>393</v>
      </c>
      <c r="C599" s="8">
        <v>149.0</v>
      </c>
      <c r="D599" s="8">
        <v>399.0</v>
      </c>
      <c r="E599" s="19">
        <v>0.63</v>
      </c>
      <c r="F599" s="10">
        <v>3.5</v>
      </c>
      <c r="G599" s="11">
        <v>21764.0</v>
      </c>
    </row>
    <row r="600">
      <c r="A600" s="7" t="s">
        <v>392</v>
      </c>
      <c r="B600" s="7" t="s">
        <v>393</v>
      </c>
      <c r="C600" s="8">
        <v>599.0</v>
      </c>
      <c r="D600" s="8">
        <v>999.0</v>
      </c>
      <c r="E600" s="19">
        <v>0.4</v>
      </c>
      <c r="F600" s="10">
        <v>4.1</v>
      </c>
      <c r="G600" s="7" t="s">
        <v>637</v>
      </c>
    </row>
    <row r="601">
      <c r="A601" s="7" t="s">
        <v>638</v>
      </c>
      <c r="B601" s="7" t="s">
        <v>572</v>
      </c>
      <c r="C601" s="8">
        <v>1220.0</v>
      </c>
      <c r="D601" s="8">
        <v>3990.0</v>
      </c>
      <c r="E601" s="19">
        <v>0.69</v>
      </c>
      <c r="F601" s="10">
        <v>4.1</v>
      </c>
      <c r="G601" s="7" t="s">
        <v>639</v>
      </c>
    </row>
    <row r="602">
      <c r="A602" s="7" t="s">
        <v>391</v>
      </c>
      <c r="B602" s="7" t="s">
        <v>373</v>
      </c>
      <c r="C602" s="8">
        <v>1499.0</v>
      </c>
      <c r="D602" s="8">
        <v>6990.0</v>
      </c>
      <c r="E602" s="19">
        <v>0.79</v>
      </c>
      <c r="F602" s="10">
        <v>3.9</v>
      </c>
      <c r="G602" s="11">
        <v>21797.0</v>
      </c>
    </row>
    <row r="603">
      <c r="A603" s="7" t="s">
        <v>640</v>
      </c>
      <c r="B603" s="7" t="s">
        <v>393</v>
      </c>
      <c r="C603" s="8">
        <v>499.0</v>
      </c>
      <c r="D603" s="8">
        <v>999.0</v>
      </c>
      <c r="E603" s="19">
        <v>0.5</v>
      </c>
      <c r="F603" s="10">
        <v>3.9</v>
      </c>
      <c r="G603" s="11">
        <v>92995.0</v>
      </c>
    </row>
    <row r="604">
      <c r="A604" s="7" t="s">
        <v>641</v>
      </c>
      <c r="B604" s="7" t="s">
        <v>454</v>
      </c>
      <c r="C604" s="8">
        <v>99.0</v>
      </c>
      <c r="D604" s="8">
        <v>999.0</v>
      </c>
      <c r="E604" s="19">
        <v>0.9</v>
      </c>
      <c r="F604" s="10">
        <v>4.1</v>
      </c>
      <c r="G604" s="11">
        <v>8751.0</v>
      </c>
    </row>
    <row r="605">
      <c r="A605" s="7" t="s">
        <v>398</v>
      </c>
      <c r="B605" s="7" t="s">
        <v>399</v>
      </c>
      <c r="C605" s="8">
        <v>349.0</v>
      </c>
      <c r="D605" s="8">
        <v>1299.0</v>
      </c>
      <c r="E605" s="19">
        <v>0.73</v>
      </c>
      <c r="F605" s="10">
        <v>4.0</v>
      </c>
      <c r="G605" s="11">
        <v>14283.0</v>
      </c>
    </row>
    <row r="606">
      <c r="A606" s="7" t="s">
        <v>642</v>
      </c>
      <c r="B606" s="7" t="s">
        <v>622</v>
      </c>
      <c r="C606" s="8">
        <v>475.0</v>
      </c>
      <c r="D606" s="8">
        <v>1500.0</v>
      </c>
      <c r="E606" s="19">
        <v>0.68</v>
      </c>
      <c r="F606" s="10">
        <v>4.2</v>
      </c>
      <c r="G606" s="11">
        <v>64273.0</v>
      </c>
    </row>
    <row r="607">
      <c r="A607" s="7" t="s">
        <v>643</v>
      </c>
      <c r="B607" s="7" t="s">
        <v>625</v>
      </c>
      <c r="C607" s="8">
        <v>269.0</v>
      </c>
      <c r="D607" s="8">
        <v>649.0</v>
      </c>
      <c r="E607" s="19">
        <v>0.59</v>
      </c>
      <c r="F607" s="10">
        <v>4.3</v>
      </c>
      <c r="G607" s="11">
        <v>54315.0</v>
      </c>
    </row>
    <row r="608">
      <c r="A608" s="7" t="s">
        <v>644</v>
      </c>
      <c r="B608" s="7" t="s">
        <v>625</v>
      </c>
      <c r="C608" s="8">
        <v>299.0</v>
      </c>
      <c r="D608" s="8">
        <v>599.0</v>
      </c>
      <c r="E608" s="19">
        <v>0.5</v>
      </c>
      <c r="F608" s="10">
        <v>4.1</v>
      </c>
      <c r="G608" s="11">
        <v>1597.0</v>
      </c>
    </row>
    <row r="609">
      <c r="A609" s="7" t="s">
        <v>410</v>
      </c>
      <c r="B609" s="7" t="s">
        <v>373</v>
      </c>
      <c r="C609" s="8">
        <v>1599.0</v>
      </c>
      <c r="D609" s="8">
        <v>3999.0</v>
      </c>
      <c r="E609" s="19">
        <v>0.6</v>
      </c>
      <c r="F609" s="10">
        <v>4.0</v>
      </c>
      <c r="G609" s="11">
        <v>30254.0</v>
      </c>
    </row>
    <row r="610">
      <c r="A610" s="7" t="s">
        <v>411</v>
      </c>
      <c r="B610" s="7" t="s">
        <v>373</v>
      </c>
      <c r="C610" s="8">
        <v>1499.0</v>
      </c>
      <c r="D610" s="8">
        <v>7999.0</v>
      </c>
      <c r="E610" s="19">
        <v>0.81</v>
      </c>
      <c r="F610" s="10">
        <v>4.2</v>
      </c>
      <c r="G610" s="11">
        <v>22638.0</v>
      </c>
    </row>
    <row r="611">
      <c r="A611" s="7" t="s">
        <v>645</v>
      </c>
      <c r="B611" s="7" t="s">
        <v>393</v>
      </c>
      <c r="C611" s="8">
        <v>329.0</v>
      </c>
      <c r="D611" s="8">
        <v>999.0</v>
      </c>
      <c r="E611" s="19">
        <v>0.67</v>
      </c>
      <c r="F611" s="10">
        <v>3.9</v>
      </c>
      <c r="G611" s="11">
        <v>77027.0</v>
      </c>
    </row>
    <row r="612">
      <c r="A612" s="7" t="s">
        <v>646</v>
      </c>
      <c r="B612" s="7" t="s">
        <v>647</v>
      </c>
      <c r="C612" s="8">
        <v>549.0</v>
      </c>
      <c r="D612" s="8">
        <v>1799.0</v>
      </c>
      <c r="E612" s="19">
        <v>0.69</v>
      </c>
      <c r="F612" s="10">
        <v>4.3</v>
      </c>
      <c r="G612" s="11">
        <v>28829.0</v>
      </c>
    </row>
    <row r="613">
      <c r="A613" s="7" t="s">
        <v>415</v>
      </c>
      <c r="B613" s="7" t="s">
        <v>373</v>
      </c>
      <c r="C613" s="8">
        <v>2199.0</v>
      </c>
      <c r="D613" s="8">
        <v>9999.0</v>
      </c>
      <c r="E613" s="19">
        <v>0.78</v>
      </c>
      <c r="F613" s="10">
        <v>4.2</v>
      </c>
      <c r="G613" s="11">
        <v>29478.0</v>
      </c>
    </row>
    <row r="614">
      <c r="A614" s="7" t="s">
        <v>648</v>
      </c>
      <c r="B614" s="7" t="s">
        <v>625</v>
      </c>
      <c r="C614" s="8">
        <v>299.0</v>
      </c>
      <c r="D614" s="8">
        <v>650.0</v>
      </c>
      <c r="E614" s="19">
        <v>0.54</v>
      </c>
      <c r="F614" s="10">
        <v>4.5</v>
      </c>
      <c r="G614" s="11">
        <v>33176.0</v>
      </c>
    </row>
    <row r="615">
      <c r="A615" s="7" t="s">
        <v>649</v>
      </c>
      <c r="B615" s="7" t="s">
        <v>650</v>
      </c>
      <c r="C615" s="8">
        <v>798.0</v>
      </c>
      <c r="D615" s="8">
        <v>1995.0</v>
      </c>
      <c r="E615" s="19">
        <v>0.6</v>
      </c>
      <c r="F615" s="10">
        <v>4.0</v>
      </c>
      <c r="G615" s="11">
        <v>68664.0</v>
      </c>
    </row>
    <row r="616">
      <c r="A616" s="7" t="s">
        <v>14</v>
      </c>
      <c r="B616" s="7" t="s">
        <v>15</v>
      </c>
      <c r="C616" s="8">
        <v>399.0</v>
      </c>
      <c r="D616" s="8">
        <v>1099.0</v>
      </c>
      <c r="E616" s="19">
        <v>0.64</v>
      </c>
      <c r="F616" s="10">
        <v>4.2</v>
      </c>
      <c r="G616" s="11">
        <v>24269.0</v>
      </c>
    </row>
    <row r="617">
      <c r="A617" s="7" t="s">
        <v>651</v>
      </c>
      <c r="B617" s="7" t="s">
        <v>652</v>
      </c>
      <c r="C617" s="8">
        <v>266.0</v>
      </c>
      <c r="D617" s="8">
        <v>315.0</v>
      </c>
      <c r="E617" s="19">
        <v>0.16</v>
      </c>
      <c r="F617" s="10">
        <v>4.5</v>
      </c>
      <c r="G617" s="11">
        <v>28030.0</v>
      </c>
    </row>
    <row r="618">
      <c r="A618" s="7" t="s">
        <v>653</v>
      </c>
      <c r="B618" s="7" t="s">
        <v>654</v>
      </c>
      <c r="C618" s="8">
        <v>50.0</v>
      </c>
      <c r="D618" s="8">
        <v>50.0</v>
      </c>
      <c r="E618" s="19">
        <v>0.0</v>
      </c>
      <c r="F618" s="10">
        <v>4.3</v>
      </c>
      <c r="G618" s="11">
        <v>5792.0</v>
      </c>
    </row>
    <row r="619">
      <c r="A619" s="7" t="s">
        <v>655</v>
      </c>
      <c r="B619" s="7" t="s">
        <v>656</v>
      </c>
      <c r="C619" s="8">
        <v>130.0</v>
      </c>
      <c r="D619" s="8">
        <v>165.0</v>
      </c>
      <c r="E619" s="19">
        <v>0.21</v>
      </c>
      <c r="F619" s="10">
        <v>3.9</v>
      </c>
      <c r="G619" s="11">
        <v>14778.0</v>
      </c>
    </row>
    <row r="620">
      <c r="A620" s="7" t="s">
        <v>657</v>
      </c>
      <c r="B620" s="7" t="s">
        <v>393</v>
      </c>
      <c r="C620" s="8">
        <v>449.0</v>
      </c>
      <c r="D620" s="8">
        <v>1290.0</v>
      </c>
      <c r="E620" s="19">
        <v>0.65</v>
      </c>
      <c r="F620" s="10">
        <v>4.1</v>
      </c>
      <c r="G620" s="11">
        <v>91770.0</v>
      </c>
    </row>
    <row r="621">
      <c r="A621" s="7" t="s">
        <v>424</v>
      </c>
      <c r="B621" s="7" t="s">
        <v>373</v>
      </c>
      <c r="C621" s="8">
        <v>3999.0</v>
      </c>
      <c r="D621" s="8">
        <v>16999.0</v>
      </c>
      <c r="E621" s="19">
        <v>0.76</v>
      </c>
      <c r="F621" s="10">
        <v>4.3</v>
      </c>
      <c r="G621" s="11">
        <v>17162.0</v>
      </c>
    </row>
    <row r="622">
      <c r="A622" s="7" t="s">
        <v>658</v>
      </c>
      <c r="B622" s="7" t="s">
        <v>393</v>
      </c>
      <c r="C622" s="8">
        <v>399.0</v>
      </c>
      <c r="D622" s="8">
        <v>1290.0</v>
      </c>
      <c r="E622" s="19">
        <v>0.69</v>
      </c>
      <c r="F622" s="10">
        <v>4.2</v>
      </c>
      <c r="G622" s="10">
        <v>206.0</v>
      </c>
    </row>
    <row r="623">
      <c r="A623" s="7" t="s">
        <v>659</v>
      </c>
      <c r="B623" s="7" t="s">
        <v>660</v>
      </c>
      <c r="C623" s="8">
        <v>1399.0</v>
      </c>
      <c r="D623" s="8">
        <v>2498.0</v>
      </c>
      <c r="E623" s="19">
        <v>0.44</v>
      </c>
      <c r="F623" s="10">
        <v>4.2</v>
      </c>
      <c r="G623" s="11">
        <v>33717.0</v>
      </c>
    </row>
    <row r="624">
      <c r="A624" s="7" t="s">
        <v>17</v>
      </c>
      <c r="B624" s="7" t="s">
        <v>15</v>
      </c>
      <c r="C624" s="8">
        <v>199.0</v>
      </c>
      <c r="D624" s="8">
        <v>349.0</v>
      </c>
      <c r="E624" s="19">
        <v>0.43</v>
      </c>
      <c r="F624" s="10">
        <v>4.0</v>
      </c>
      <c r="G624" s="11">
        <v>43994.0</v>
      </c>
    </row>
    <row r="625">
      <c r="A625" s="7" t="s">
        <v>18</v>
      </c>
      <c r="B625" s="7" t="s">
        <v>15</v>
      </c>
      <c r="C625" s="8">
        <v>199.0</v>
      </c>
      <c r="D625" s="8">
        <v>999.0</v>
      </c>
      <c r="E625" s="19">
        <v>0.8</v>
      </c>
      <c r="F625" s="10">
        <v>3.9</v>
      </c>
      <c r="G625" s="11">
        <v>7928.0</v>
      </c>
    </row>
    <row r="626">
      <c r="A626" s="7" t="s">
        <v>425</v>
      </c>
      <c r="B626" s="7" t="s">
        <v>373</v>
      </c>
      <c r="C626" s="8">
        <v>2998.0</v>
      </c>
      <c r="D626" s="8">
        <v>5999.0</v>
      </c>
      <c r="E626" s="19">
        <v>0.5</v>
      </c>
      <c r="F626" s="10">
        <v>4.1</v>
      </c>
      <c r="G626" s="11">
        <v>5179.0</v>
      </c>
    </row>
    <row r="627">
      <c r="A627" s="7" t="s">
        <v>661</v>
      </c>
      <c r="B627" s="7" t="s">
        <v>662</v>
      </c>
      <c r="C627" s="8">
        <v>4098.0</v>
      </c>
      <c r="D627" s="8">
        <v>4999.0</v>
      </c>
      <c r="E627" s="19">
        <v>0.18</v>
      </c>
      <c r="F627" s="10">
        <v>4.5</v>
      </c>
      <c r="G627" s="11">
        <v>50810.0</v>
      </c>
    </row>
    <row r="628">
      <c r="A628" s="7" t="s">
        <v>663</v>
      </c>
      <c r="B628" s="7" t="s">
        <v>664</v>
      </c>
      <c r="C628" s="8">
        <v>499.0</v>
      </c>
      <c r="D628" s="8">
        <v>1999.0</v>
      </c>
      <c r="E628" s="19">
        <v>0.75</v>
      </c>
      <c r="F628" s="10">
        <v>3.7</v>
      </c>
      <c r="G628" s="11">
        <v>3369.0</v>
      </c>
    </row>
    <row r="629">
      <c r="A629" s="7" t="s">
        <v>665</v>
      </c>
      <c r="B629" s="7" t="s">
        <v>625</v>
      </c>
      <c r="C629" s="8">
        <v>299.0</v>
      </c>
      <c r="D629" s="8">
        <v>449.0</v>
      </c>
      <c r="E629" s="19">
        <v>0.33</v>
      </c>
      <c r="F629" s="10">
        <v>3.5</v>
      </c>
      <c r="G629" s="11">
        <v>11827.0</v>
      </c>
    </row>
    <row r="630">
      <c r="A630" s="7" t="s">
        <v>19</v>
      </c>
      <c r="B630" s="7" t="s">
        <v>15</v>
      </c>
      <c r="C630" s="8">
        <v>329.0</v>
      </c>
      <c r="D630" s="8">
        <v>699.0</v>
      </c>
      <c r="E630" s="19">
        <v>0.53</v>
      </c>
      <c r="F630" s="10">
        <v>4.2</v>
      </c>
      <c r="G630" s="11">
        <v>94364.0</v>
      </c>
    </row>
    <row r="631">
      <c r="A631" s="7" t="s">
        <v>666</v>
      </c>
      <c r="B631" s="7" t="s">
        <v>660</v>
      </c>
      <c r="C631" s="8">
        <v>699.0</v>
      </c>
      <c r="D631" s="8">
        <v>999.0</v>
      </c>
      <c r="E631" s="19">
        <v>0.3</v>
      </c>
      <c r="F631" s="10">
        <v>3.5</v>
      </c>
      <c r="G631" s="11">
        <v>15295.0</v>
      </c>
    </row>
    <row r="632">
      <c r="A632" s="7" t="s">
        <v>667</v>
      </c>
      <c r="B632" s="7" t="s">
        <v>668</v>
      </c>
      <c r="C632" s="8">
        <v>799.0</v>
      </c>
      <c r="D632" s="8">
        <v>3990.0</v>
      </c>
      <c r="E632" s="19">
        <v>0.8</v>
      </c>
      <c r="F632" s="10">
        <v>4.3</v>
      </c>
      <c r="G632" s="11">
        <v>27139.0</v>
      </c>
    </row>
    <row r="633">
      <c r="A633" s="7" t="s">
        <v>669</v>
      </c>
      <c r="B633" s="7" t="s">
        <v>393</v>
      </c>
      <c r="C633" s="8">
        <v>1399.0</v>
      </c>
      <c r="D633" s="8">
        <v>5499.0</v>
      </c>
      <c r="E633" s="19">
        <v>0.75</v>
      </c>
      <c r="F633" s="10">
        <v>3.9</v>
      </c>
      <c r="G633" s="11">
        <v>9504.0</v>
      </c>
    </row>
    <row r="634">
      <c r="A634" s="7" t="s">
        <v>20</v>
      </c>
      <c r="B634" s="7" t="s">
        <v>15</v>
      </c>
      <c r="C634" s="8">
        <v>154.0</v>
      </c>
      <c r="D634" s="8">
        <v>399.0</v>
      </c>
      <c r="E634" s="19">
        <v>0.61</v>
      </c>
      <c r="F634" s="10">
        <v>4.2</v>
      </c>
      <c r="G634" s="11">
        <v>16905.0</v>
      </c>
    </row>
    <row r="635">
      <c r="A635" s="7" t="s">
        <v>670</v>
      </c>
      <c r="B635" s="7" t="s">
        <v>622</v>
      </c>
      <c r="C635" s="8">
        <v>519.0</v>
      </c>
      <c r="D635" s="8">
        <v>1350.0</v>
      </c>
      <c r="E635" s="19">
        <v>0.62</v>
      </c>
      <c r="F635" s="10">
        <v>4.3</v>
      </c>
      <c r="G635" s="11">
        <v>30058.0</v>
      </c>
    </row>
    <row r="636">
      <c r="A636" s="7" t="s">
        <v>439</v>
      </c>
      <c r="B636" s="7" t="s">
        <v>373</v>
      </c>
      <c r="C636" s="8">
        <v>2299.0</v>
      </c>
      <c r="D636" s="8">
        <v>7990.0</v>
      </c>
      <c r="E636" s="19">
        <v>0.71</v>
      </c>
      <c r="F636" s="10">
        <v>4.2</v>
      </c>
      <c r="G636" s="11">
        <v>69619.0</v>
      </c>
    </row>
    <row r="637">
      <c r="A637" s="7" t="s">
        <v>440</v>
      </c>
      <c r="B637" s="7" t="s">
        <v>441</v>
      </c>
      <c r="C637" s="8">
        <v>399.0</v>
      </c>
      <c r="D637" s="8">
        <v>1999.0</v>
      </c>
      <c r="E637" s="19">
        <v>0.8</v>
      </c>
      <c r="F637" s="10">
        <v>4.0</v>
      </c>
      <c r="G637" s="11">
        <v>3382.0</v>
      </c>
    </row>
    <row r="638">
      <c r="A638" s="7" t="s">
        <v>671</v>
      </c>
      <c r="B638" s="7" t="s">
        <v>393</v>
      </c>
      <c r="C638" s="8">
        <v>1499.0</v>
      </c>
      <c r="D638" s="8">
        <v>3990.0</v>
      </c>
      <c r="E638" s="19">
        <v>0.62</v>
      </c>
      <c r="F638" s="10">
        <v>4.1</v>
      </c>
      <c r="G638" s="7" t="s">
        <v>672</v>
      </c>
    </row>
    <row r="639">
      <c r="A639" s="7" t="s">
        <v>673</v>
      </c>
      <c r="B639" s="7" t="s">
        <v>674</v>
      </c>
      <c r="C639" s="8">
        <v>1295.0</v>
      </c>
      <c r="D639" s="8">
        <v>1295.0</v>
      </c>
      <c r="E639" s="19">
        <v>0.0</v>
      </c>
      <c r="F639" s="10">
        <v>4.5</v>
      </c>
      <c r="G639" s="11">
        <v>5760.0</v>
      </c>
    </row>
    <row r="640">
      <c r="A640" s="7" t="s">
        <v>675</v>
      </c>
      <c r="B640" s="7" t="s">
        <v>676</v>
      </c>
      <c r="C640" s="8">
        <v>1889.0</v>
      </c>
      <c r="D640" s="8">
        <v>5499.0</v>
      </c>
      <c r="E640" s="19">
        <v>0.66</v>
      </c>
      <c r="F640" s="10">
        <v>4.2</v>
      </c>
      <c r="G640" s="11">
        <v>49551.0</v>
      </c>
    </row>
    <row r="641">
      <c r="A641" s="7" t="s">
        <v>677</v>
      </c>
      <c r="B641" s="7" t="s">
        <v>393</v>
      </c>
      <c r="C641" s="8">
        <v>455.0</v>
      </c>
      <c r="D641" s="8">
        <v>1490.0</v>
      </c>
      <c r="E641" s="19">
        <v>0.69</v>
      </c>
      <c r="F641" s="10">
        <v>4.1</v>
      </c>
      <c r="G641" s="7" t="s">
        <v>678</v>
      </c>
    </row>
    <row r="642">
      <c r="A642" s="7" t="s">
        <v>679</v>
      </c>
      <c r="B642" s="7" t="s">
        <v>680</v>
      </c>
      <c r="C642" s="8">
        <v>399.0</v>
      </c>
      <c r="D642" s="8">
        <v>995.0</v>
      </c>
      <c r="E642" s="19">
        <v>0.6</v>
      </c>
      <c r="F642" s="10">
        <v>3.9</v>
      </c>
      <c r="G642" s="11">
        <v>21372.0</v>
      </c>
    </row>
    <row r="643">
      <c r="A643" s="7" t="s">
        <v>442</v>
      </c>
      <c r="B643" s="7" t="s">
        <v>386</v>
      </c>
      <c r="C643" s="8">
        <v>1059.0</v>
      </c>
      <c r="D643" s="8">
        <v>3999.0</v>
      </c>
      <c r="E643" s="19">
        <v>0.74</v>
      </c>
      <c r="F643" s="10">
        <v>4.3</v>
      </c>
      <c r="G643" s="7" t="s">
        <v>681</v>
      </c>
    </row>
    <row r="644">
      <c r="A644" s="7" t="s">
        <v>21</v>
      </c>
      <c r="B644" s="7" t="s">
        <v>15</v>
      </c>
      <c r="C644" s="8">
        <v>149.0</v>
      </c>
      <c r="D644" s="8">
        <v>1000.0</v>
      </c>
      <c r="E644" s="19">
        <v>0.85</v>
      </c>
      <c r="F644" s="10">
        <v>3.9</v>
      </c>
      <c r="G644" s="11">
        <v>24870.0</v>
      </c>
    </row>
    <row r="645">
      <c r="A645" s="7" t="s">
        <v>682</v>
      </c>
      <c r="B645" s="7" t="s">
        <v>683</v>
      </c>
      <c r="C645" s="8">
        <v>717.0</v>
      </c>
      <c r="D645" s="8">
        <v>761.0</v>
      </c>
      <c r="E645" s="19">
        <v>0.06</v>
      </c>
      <c r="F645" s="10">
        <v>4.0</v>
      </c>
      <c r="G645" s="11">
        <v>7199.0</v>
      </c>
    </row>
    <row r="646">
      <c r="A646" s="7" t="s">
        <v>453</v>
      </c>
      <c r="B646" s="7" t="s">
        <v>454</v>
      </c>
      <c r="C646" s="8">
        <v>99.0</v>
      </c>
      <c r="D646" s="8">
        <v>999.0</v>
      </c>
      <c r="E646" s="19">
        <v>0.9</v>
      </c>
      <c r="F646" s="10">
        <v>4.0</v>
      </c>
      <c r="G646" s="11">
        <v>1396.0</v>
      </c>
    </row>
    <row r="647">
      <c r="A647" s="7" t="s">
        <v>684</v>
      </c>
      <c r="B647" s="7" t="s">
        <v>685</v>
      </c>
      <c r="C647" s="8">
        <v>39.0</v>
      </c>
      <c r="D647" s="8">
        <v>299.0</v>
      </c>
      <c r="E647" s="19">
        <v>0.87</v>
      </c>
      <c r="F647" s="10">
        <v>3.5</v>
      </c>
      <c r="G647" s="11">
        <v>15233.0</v>
      </c>
    </row>
    <row r="648">
      <c r="A648" s="7" t="s">
        <v>686</v>
      </c>
      <c r="B648" s="7" t="s">
        <v>622</v>
      </c>
      <c r="C648" s="8">
        <v>889.0</v>
      </c>
      <c r="D648" s="8">
        <v>2500.0</v>
      </c>
      <c r="E648" s="19">
        <v>0.64</v>
      </c>
      <c r="F648" s="10">
        <v>4.3</v>
      </c>
      <c r="G648" s="11">
        <v>55747.0</v>
      </c>
    </row>
    <row r="649">
      <c r="A649" s="7" t="s">
        <v>687</v>
      </c>
      <c r="B649" s="7" t="s">
        <v>393</v>
      </c>
      <c r="C649" s="8">
        <v>1199.0</v>
      </c>
      <c r="D649" s="8">
        <v>4999.0</v>
      </c>
      <c r="E649" s="19">
        <v>0.76</v>
      </c>
      <c r="F649" s="10">
        <v>3.8</v>
      </c>
      <c r="G649" s="11">
        <v>14961.0</v>
      </c>
    </row>
    <row r="650">
      <c r="A650" s="7" t="s">
        <v>688</v>
      </c>
      <c r="B650" s="7" t="s">
        <v>625</v>
      </c>
      <c r="C650" s="8">
        <v>569.0</v>
      </c>
      <c r="D650" s="8">
        <v>1299.0</v>
      </c>
      <c r="E650" s="19">
        <v>0.56</v>
      </c>
      <c r="F650" s="10">
        <v>4.4</v>
      </c>
      <c r="G650" s="11">
        <v>9275.0</v>
      </c>
    </row>
    <row r="651">
      <c r="A651" s="7" t="s">
        <v>689</v>
      </c>
      <c r="B651" s="7" t="s">
        <v>393</v>
      </c>
      <c r="C651" s="8">
        <v>1499.0</v>
      </c>
      <c r="D651" s="8">
        <v>8999.0</v>
      </c>
      <c r="E651" s="19">
        <v>0.83</v>
      </c>
      <c r="F651" s="10">
        <v>3.7</v>
      </c>
      <c r="G651" s="11">
        <v>28324.0</v>
      </c>
    </row>
    <row r="652">
      <c r="A652" s="7" t="s">
        <v>690</v>
      </c>
      <c r="B652" s="7" t="s">
        <v>652</v>
      </c>
      <c r="C652" s="8">
        <v>149.0</v>
      </c>
      <c r="D652" s="8">
        <v>180.0</v>
      </c>
      <c r="E652" s="19">
        <v>0.17</v>
      </c>
      <c r="F652" s="10">
        <v>4.4</v>
      </c>
      <c r="G652" s="10">
        <v>644.0</v>
      </c>
    </row>
    <row r="653">
      <c r="A653" s="7" t="s">
        <v>691</v>
      </c>
      <c r="B653" s="7" t="s">
        <v>692</v>
      </c>
      <c r="C653" s="8">
        <v>399.0</v>
      </c>
      <c r="D653" s="8">
        <v>549.0</v>
      </c>
      <c r="E653" s="19">
        <v>0.27</v>
      </c>
      <c r="F653" s="10">
        <v>4.4</v>
      </c>
      <c r="G653" s="11">
        <v>18139.0</v>
      </c>
    </row>
    <row r="654">
      <c r="A654" s="7" t="s">
        <v>693</v>
      </c>
      <c r="B654" s="7" t="s">
        <v>694</v>
      </c>
      <c r="C654" s="8">
        <v>191.0</v>
      </c>
      <c r="D654" s="8">
        <v>225.0</v>
      </c>
      <c r="E654" s="19">
        <v>0.15</v>
      </c>
      <c r="F654" s="10">
        <v>4.4</v>
      </c>
      <c r="G654" s="11">
        <v>7203.0</v>
      </c>
    </row>
    <row r="655">
      <c r="A655" s="7" t="s">
        <v>695</v>
      </c>
      <c r="B655" s="7" t="s">
        <v>696</v>
      </c>
      <c r="C655" s="8">
        <v>129.0</v>
      </c>
      <c r="D655" s="8">
        <v>999.0</v>
      </c>
      <c r="E655" s="19">
        <v>0.87</v>
      </c>
      <c r="F655" s="10">
        <v>4.2</v>
      </c>
      <c r="G655" s="10">
        <v>491.0</v>
      </c>
    </row>
    <row r="656">
      <c r="A656" s="7" t="s">
        <v>697</v>
      </c>
      <c r="B656" s="7" t="s">
        <v>698</v>
      </c>
      <c r="C656" s="8">
        <v>199.0</v>
      </c>
      <c r="D656" s="8">
        <v>599.0</v>
      </c>
      <c r="E656" s="19">
        <v>0.67</v>
      </c>
      <c r="F656" s="10">
        <v>4.5</v>
      </c>
      <c r="G656" s="11">
        <v>13568.0</v>
      </c>
    </row>
    <row r="657">
      <c r="A657" s="7" t="s">
        <v>699</v>
      </c>
      <c r="B657" s="7" t="s">
        <v>393</v>
      </c>
      <c r="C657" s="8">
        <v>999.0</v>
      </c>
      <c r="D657" s="8">
        <v>4499.0</v>
      </c>
      <c r="E657" s="19">
        <v>0.78</v>
      </c>
      <c r="F657" s="10">
        <v>3.8</v>
      </c>
      <c r="G657" s="11">
        <v>3390.0</v>
      </c>
    </row>
    <row r="658">
      <c r="A658" s="7" t="s">
        <v>700</v>
      </c>
      <c r="B658" s="7" t="s">
        <v>393</v>
      </c>
      <c r="C658" s="8">
        <v>899.0</v>
      </c>
      <c r="D658" s="8">
        <v>4499.0</v>
      </c>
      <c r="E658" s="19">
        <v>0.8</v>
      </c>
      <c r="F658" s="10">
        <v>3.8</v>
      </c>
      <c r="G658" s="7" t="s">
        <v>701</v>
      </c>
    </row>
    <row r="659">
      <c r="A659" s="7" t="s">
        <v>463</v>
      </c>
      <c r="B659" s="7" t="s">
        <v>377</v>
      </c>
      <c r="C659" s="8">
        <v>1799.0</v>
      </c>
      <c r="D659" s="8">
        <v>2499.0</v>
      </c>
      <c r="E659" s="19">
        <v>0.28</v>
      </c>
      <c r="F659" s="10">
        <v>4.1</v>
      </c>
      <c r="G659" s="11">
        <v>18678.0</v>
      </c>
    </row>
    <row r="660">
      <c r="A660" s="7" t="s">
        <v>22</v>
      </c>
      <c r="B660" s="7" t="s">
        <v>15</v>
      </c>
      <c r="C660" s="8">
        <v>176.63</v>
      </c>
      <c r="D660" s="8">
        <v>499.0</v>
      </c>
      <c r="E660" s="19">
        <v>0.65</v>
      </c>
      <c r="F660" s="10">
        <v>4.1</v>
      </c>
      <c r="G660" s="11">
        <v>15189.0</v>
      </c>
    </row>
    <row r="661">
      <c r="A661" s="7" t="s">
        <v>702</v>
      </c>
      <c r="B661" s="7" t="s">
        <v>674</v>
      </c>
      <c r="C661" s="8">
        <v>522.0</v>
      </c>
      <c r="D661" s="8">
        <v>550.0</v>
      </c>
      <c r="E661" s="19">
        <v>0.05</v>
      </c>
      <c r="F661" s="10">
        <v>4.4</v>
      </c>
      <c r="G661" s="11">
        <v>12179.0</v>
      </c>
    </row>
    <row r="662">
      <c r="A662" s="7" t="s">
        <v>703</v>
      </c>
      <c r="B662" s="7" t="s">
        <v>704</v>
      </c>
      <c r="C662" s="8">
        <v>799.0</v>
      </c>
      <c r="D662" s="8">
        <v>1999.0</v>
      </c>
      <c r="E662" s="19">
        <v>0.6</v>
      </c>
      <c r="F662" s="10">
        <v>3.8</v>
      </c>
      <c r="G662" s="11">
        <v>12958.0</v>
      </c>
    </row>
    <row r="663">
      <c r="A663" s="7" t="s">
        <v>705</v>
      </c>
      <c r="B663" s="7" t="s">
        <v>625</v>
      </c>
      <c r="C663" s="8">
        <v>681.0</v>
      </c>
      <c r="D663" s="8">
        <v>1199.0</v>
      </c>
      <c r="E663" s="19">
        <v>0.43</v>
      </c>
      <c r="F663" s="10">
        <v>4.2</v>
      </c>
      <c r="G663" s="11">
        <v>8258.0</v>
      </c>
    </row>
    <row r="664">
      <c r="A664" s="7" t="s">
        <v>706</v>
      </c>
      <c r="B664" s="7" t="s">
        <v>707</v>
      </c>
      <c r="C664" s="8">
        <v>1199.0</v>
      </c>
      <c r="D664" s="8">
        <v>3490.0</v>
      </c>
      <c r="E664" s="19">
        <v>0.66</v>
      </c>
      <c r="F664" s="10">
        <v>4.1</v>
      </c>
      <c r="G664" s="11">
        <v>11716.0</v>
      </c>
    </row>
    <row r="665">
      <c r="A665" s="7" t="s">
        <v>708</v>
      </c>
      <c r="B665" s="7" t="s">
        <v>709</v>
      </c>
      <c r="C665" s="8">
        <v>2499.0</v>
      </c>
      <c r="D665" s="8">
        <v>4999.0</v>
      </c>
      <c r="E665" s="19">
        <v>0.5</v>
      </c>
      <c r="F665" s="10">
        <v>4.4</v>
      </c>
      <c r="G665" s="11">
        <v>35024.0</v>
      </c>
    </row>
    <row r="666">
      <c r="A666" s="7" t="s">
        <v>710</v>
      </c>
      <c r="B666" s="7" t="s">
        <v>711</v>
      </c>
      <c r="C666" s="8">
        <v>1799.0</v>
      </c>
      <c r="D666" s="8">
        <v>4999.0</v>
      </c>
      <c r="E666" s="19">
        <v>0.64</v>
      </c>
      <c r="F666" s="10">
        <v>4.1</v>
      </c>
      <c r="G666" s="11">
        <v>55192.0</v>
      </c>
    </row>
    <row r="667">
      <c r="A667" s="7" t="s">
        <v>712</v>
      </c>
      <c r="B667" s="7" t="s">
        <v>393</v>
      </c>
      <c r="C667" s="8">
        <v>429.0</v>
      </c>
      <c r="D667" s="8">
        <v>599.0</v>
      </c>
      <c r="E667" s="19">
        <v>0.28</v>
      </c>
      <c r="F667" s="10">
        <v>4.1</v>
      </c>
      <c r="G667" s="7" t="s">
        <v>713</v>
      </c>
    </row>
    <row r="668">
      <c r="A668" s="7" t="s">
        <v>714</v>
      </c>
      <c r="B668" s="7" t="s">
        <v>627</v>
      </c>
      <c r="C668" s="8">
        <v>100.0</v>
      </c>
      <c r="D668" s="8">
        <v>499.0</v>
      </c>
      <c r="E668" s="19">
        <v>0.8</v>
      </c>
      <c r="F668" s="10">
        <v>3.5</v>
      </c>
      <c r="G668" s="11">
        <v>9638.0</v>
      </c>
    </row>
    <row r="669">
      <c r="A669" s="7" t="s">
        <v>715</v>
      </c>
      <c r="B669" s="7" t="s">
        <v>647</v>
      </c>
      <c r="C669" s="8">
        <v>329.0</v>
      </c>
      <c r="D669" s="8">
        <v>399.0</v>
      </c>
      <c r="E669" s="19">
        <v>0.18</v>
      </c>
      <c r="F669" s="10">
        <v>3.6</v>
      </c>
      <c r="G669" s="11">
        <v>33735.0</v>
      </c>
    </row>
    <row r="670">
      <c r="A670" s="7" t="s">
        <v>23</v>
      </c>
      <c r="B670" s="7" t="s">
        <v>15</v>
      </c>
      <c r="C670" s="8">
        <v>229.0</v>
      </c>
      <c r="D670" s="8">
        <v>299.0</v>
      </c>
      <c r="E670" s="19">
        <v>0.23</v>
      </c>
      <c r="F670" s="10">
        <v>4.3</v>
      </c>
      <c r="G670" s="11">
        <v>30411.0</v>
      </c>
    </row>
    <row r="671">
      <c r="A671" s="7" t="s">
        <v>716</v>
      </c>
      <c r="B671" s="7" t="s">
        <v>625</v>
      </c>
      <c r="C671" s="8">
        <v>139.0</v>
      </c>
      <c r="D671" s="8">
        <v>299.0</v>
      </c>
      <c r="E671" s="19">
        <v>0.54</v>
      </c>
      <c r="F671" s="10">
        <v>3.8</v>
      </c>
      <c r="G671" s="11">
        <v>3044.0</v>
      </c>
    </row>
    <row r="672">
      <c r="A672" s="7" t="s">
        <v>717</v>
      </c>
      <c r="B672" s="7" t="s">
        <v>572</v>
      </c>
      <c r="C672" s="8">
        <v>1199.0</v>
      </c>
      <c r="D672" s="8">
        <v>2499.0</v>
      </c>
      <c r="E672" s="19">
        <v>0.52</v>
      </c>
      <c r="F672" s="10">
        <v>4.0</v>
      </c>
      <c r="G672" s="11">
        <v>33584.0</v>
      </c>
    </row>
    <row r="673">
      <c r="A673" s="7" t="s">
        <v>718</v>
      </c>
      <c r="B673" s="7" t="s">
        <v>719</v>
      </c>
      <c r="C673" s="8">
        <v>1049.0</v>
      </c>
      <c r="D673" s="8">
        <v>2299.0</v>
      </c>
      <c r="E673" s="19">
        <v>0.54</v>
      </c>
      <c r="F673" s="10">
        <v>3.9</v>
      </c>
      <c r="G673" s="11">
        <v>1779.0</v>
      </c>
    </row>
    <row r="674">
      <c r="A674" s="7" t="s">
        <v>468</v>
      </c>
      <c r="B674" s="7" t="s">
        <v>469</v>
      </c>
      <c r="C674" s="8">
        <v>119.0</v>
      </c>
      <c r="D674" s="8">
        <v>299.0</v>
      </c>
      <c r="E674" s="19">
        <v>0.6</v>
      </c>
      <c r="F674" s="10">
        <v>4.1</v>
      </c>
      <c r="G674" s="11">
        <v>5999.0</v>
      </c>
    </row>
    <row r="675">
      <c r="A675" s="7" t="s">
        <v>28</v>
      </c>
      <c r="B675" s="7" t="s">
        <v>15</v>
      </c>
      <c r="C675" s="8">
        <v>154.0</v>
      </c>
      <c r="D675" s="8">
        <v>339.0</v>
      </c>
      <c r="E675" s="19">
        <v>0.55</v>
      </c>
      <c r="F675" s="10">
        <v>4.3</v>
      </c>
      <c r="G675" s="11">
        <v>13391.0</v>
      </c>
    </row>
    <row r="676">
      <c r="A676" s="7" t="s">
        <v>720</v>
      </c>
      <c r="B676" s="7" t="s">
        <v>721</v>
      </c>
      <c r="C676" s="8">
        <v>225.0</v>
      </c>
      <c r="D676" s="8">
        <v>250.0</v>
      </c>
      <c r="E676" s="19">
        <v>0.1</v>
      </c>
      <c r="F676" s="10">
        <v>4.4</v>
      </c>
      <c r="G676" s="11">
        <v>26556.0</v>
      </c>
    </row>
    <row r="677">
      <c r="A677" s="7" t="s">
        <v>722</v>
      </c>
      <c r="B677" s="7" t="s">
        <v>631</v>
      </c>
      <c r="C677" s="8">
        <v>656.0</v>
      </c>
      <c r="D677" s="8">
        <v>1499.0</v>
      </c>
      <c r="E677" s="19">
        <v>0.56</v>
      </c>
      <c r="F677" s="10">
        <v>4.3</v>
      </c>
      <c r="G677" s="11">
        <v>25903.0</v>
      </c>
    </row>
    <row r="678">
      <c r="A678" s="7" t="s">
        <v>723</v>
      </c>
      <c r="B678" s="7" t="s">
        <v>622</v>
      </c>
      <c r="C678" s="8">
        <v>1109.0</v>
      </c>
      <c r="D678" s="8">
        <v>2800.0</v>
      </c>
      <c r="E678" s="19">
        <v>0.6</v>
      </c>
      <c r="F678" s="10">
        <v>4.3</v>
      </c>
      <c r="G678" s="11">
        <v>53464.0</v>
      </c>
    </row>
    <row r="679">
      <c r="A679" s="7" t="s">
        <v>465</v>
      </c>
      <c r="B679" s="7" t="s">
        <v>373</v>
      </c>
      <c r="C679" s="8">
        <v>2999.0</v>
      </c>
      <c r="D679" s="8">
        <v>7990.0</v>
      </c>
      <c r="E679" s="19">
        <v>0.62</v>
      </c>
      <c r="F679" s="10">
        <v>4.1</v>
      </c>
      <c r="G679" s="11">
        <v>48448.0</v>
      </c>
    </row>
    <row r="680">
      <c r="A680" s="7" t="s">
        <v>724</v>
      </c>
      <c r="B680" s="7" t="s">
        <v>696</v>
      </c>
      <c r="C680" s="8">
        <v>169.0</v>
      </c>
      <c r="D680" s="8">
        <v>299.0</v>
      </c>
      <c r="E680" s="19">
        <v>0.43</v>
      </c>
      <c r="F680" s="10">
        <v>4.4</v>
      </c>
      <c r="G680" s="11">
        <v>5176.0</v>
      </c>
    </row>
    <row r="681">
      <c r="A681" s="7" t="s">
        <v>725</v>
      </c>
      <c r="B681" s="7" t="s">
        <v>683</v>
      </c>
      <c r="C681" s="8">
        <v>309.0</v>
      </c>
      <c r="D681" s="8">
        <v>404.0</v>
      </c>
      <c r="E681" s="19">
        <v>0.24</v>
      </c>
      <c r="F681" s="10">
        <v>4.4</v>
      </c>
      <c r="G681" s="11">
        <v>8614.0</v>
      </c>
    </row>
    <row r="682">
      <c r="A682" s="7" t="s">
        <v>726</v>
      </c>
      <c r="B682" s="7" t="s">
        <v>572</v>
      </c>
      <c r="C682" s="8">
        <v>599.0</v>
      </c>
      <c r="D682" s="8">
        <v>1399.0</v>
      </c>
      <c r="E682" s="19">
        <v>0.57</v>
      </c>
      <c r="F682" s="10">
        <v>3.8</v>
      </c>
      <c r="G682" s="11">
        <v>60026.0</v>
      </c>
    </row>
    <row r="683">
      <c r="A683" s="15" t="s">
        <v>727</v>
      </c>
      <c r="B683" s="7" t="s">
        <v>647</v>
      </c>
      <c r="C683" s="8">
        <v>299.0</v>
      </c>
      <c r="D683" s="8">
        <v>599.0</v>
      </c>
      <c r="E683" s="19">
        <v>0.5</v>
      </c>
      <c r="F683" s="10">
        <v>3.8</v>
      </c>
      <c r="G683" s="11">
        <v>3066.0</v>
      </c>
    </row>
    <row r="684">
      <c r="A684" s="7" t="s">
        <v>728</v>
      </c>
      <c r="B684" s="7" t="s">
        <v>631</v>
      </c>
      <c r="C684" s="8">
        <v>449.0</v>
      </c>
      <c r="D684" s="8">
        <v>999.0</v>
      </c>
      <c r="E684" s="19">
        <v>0.55</v>
      </c>
      <c r="F684" s="10">
        <v>4.0</v>
      </c>
      <c r="G684" s="11">
        <v>2102.0</v>
      </c>
    </row>
    <row r="685">
      <c r="A685" s="7" t="s">
        <v>729</v>
      </c>
      <c r="B685" s="7" t="s">
        <v>625</v>
      </c>
      <c r="C685" s="8">
        <v>799.0</v>
      </c>
      <c r="D685" s="8">
        <v>1295.0</v>
      </c>
      <c r="E685" s="19">
        <v>0.38</v>
      </c>
      <c r="F685" s="10">
        <v>4.4</v>
      </c>
      <c r="G685" s="11">
        <v>34852.0</v>
      </c>
    </row>
    <row r="686">
      <c r="A686" s="7" t="s">
        <v>30</v>
      </c>
      <c r="B686" s="7" t="s">
        <v>31</v>
      </c>
      <c r="C686" s="8">
        <v>219.0</v>
      </c>
      <c r="D686" s="8">
        <v>700.0</v>
      </c>
      <c r="E686" s="19">
        <v>0.69</v>
      </c>
      <c r="F686" s="10">
        <v>4.4</v>
      </c>
      <c r="G686" s="7" t="s">
        <v>730</v>
      </c>
    </row>
    <row r="687">
      <c r="A687" s="7" t="s">
        <v>731</v>
      </c>
      <c r="B687" s="7" t="s">
        <v>732</v>
      </c>
      <c r="C687" s="8">
        <v>157.0</v>
      </c>
      <c r="D687" s="8">
        <v>160.0</v>
      </c>
      <c r="E687" s="19">
        <v>0.02</v>
      </c>
      <c r="F687" s="10">
        <v>4.5</v>
      </c>
      <c r="G687" s="11">
        <v>8618.0</v>
      </c>
    </row>
    <row r="688">
      <c r="A688" s="7" t="s">
        <v>475</v>
      </c>
      <c r="B688" s="7" t="s">
        <v>386</v>
      </c>
      <c r="C688" s="8">
        <v>369.0</v>
      </c>
      <c r="D688" s="8">
        <v>1600.0</v>
      </c>
      <c r="E688" s="19">
        <v>0.77</v>
      </c>
      <c r="F688" s="10">
        <v>4.0</v>
      </c>
      <c r="G688" s="11">
        <v>32625.0</v>
      </c>
    </row>
    <row r="689">
      <c r="A689" s="7" t="s">
        <v>733</v>
      </c>
      <c r="B689" s="7" t="s">
        <v>625</v>
      </c>
      <c r="C689" s="8">
        <v>599.0</v>
      </c>
      <c r="D689" s="8">
        <v>899.0</v>
      </c>
      <c r="E689" s="19">
        <v>0.33</v>
      </c>
      <c r="F689" s="10">
        <v>4.0</v>
      </c>
      <c r="G689" s="11">
        <v>4018.0</v>
      </c>
    </row>
    <row r="690">
      <c r="A690" s="7" t="s">
        <v>734</v>
      </c>
      <c r="B690" s="7" t="s">
        <v>735</v>
      </c>
      <c r="C690" s="8">
        <v>479.0</v>
      </c>
      <c r="D690" s="8">
        <v>599.0</v>
      </c>
      <c r="E690" s="19">
        <v>0.2</v>
      </c>
      <c r="F690" s="10">
        <v>4.3</v>
      </c>
      <c r="G690" s="11">
        <v>11687.0</v>
      </c>
    </row>
    <row r="691">
      <c r="A691" s="7" t="s">
        <v>33</v>
      </c>
      <c r="B691" s="7" t="s">
        <v>15</v>
      </c>
      <c r="C691" s="8">
        <v>350.0</v>
      </c>
      <c r="D691" s="8">
        <v>899.0</v>
      </c>
      <c r="E691" s="19">
        <v>0.61</v>
      </c>
      <c r="F691" s="10">
        <v>4.2</v>
      </c>
      <c r="G691" s="11">
        <v>2262.0</v>
      </c>
    </row>
    <row r="692">
      <c r="A692" s="7" t="s">
        <v>736</v>
      </c>
      <c r="B692" s="7" t="s">
        <v>393</v>
      </c>
      <c r="C692" s="8">
        <v>1598.0</v>
      </c>
      <c r="D692" s="8">
        <v>2990.0</v>
      </c>
      <c r="E692" s="19">
        <v>0.47</v>
      </c>
      <c r="F692" s="10">
        <v>3.8</v>
      </c>
      <c r="G692" s="11">
        <v>11015.0</v>
      </c>
    </row>
    <row r="693">
      <c r="A693" s="7" t="s">
        <v>737</v>
      </c>
      <c r="B693" s="7" t="s">
        <v>738</v>
      </c>
      <c r="C693" s="8">
        <v>599.0</v>
      </c>
      <c r="D693" s="8">
        <v>899.0</v>
      </c>
      <c r="E693" s="19">
        <v>0.33</v>
      </c>
      <c r="F693" s="10">
        <v>4.3</v>
      </c>
      <c r="G693" s="11">
        <v>95116.0</v>
      </c>
    </row>
    <row r="694">
      <c r="A694" s="7" t="s">
        <v>34</v>
      </c>
      <c r="B694" s="7" t="s">
        <v>15</v>
      </c>
      <c r="C694" s="8">
        <v>159.0</v>
      </c>
      <c r="D694" s="8">
        <v>399.0</v>
      </c>
      <c r="E694" s="19">
        <v>0.6</v>
      </c>
      <c r="F694" s="10">
        <v>4.1</v>
      </c>
      <c r="G694" s="11">
        <v>4768.0</v>
      </c>
    </row>
    <row r="695">
      <c r="A695" s="7" t="s">
        <v>739</v>
      </c>
      <c r="B695" s="7" t="s">
        <v>622</v>
      </c>
      <c r="C695" s="8">
        <v>1299.0</v>
      </c>
      <c r="D695" s="8">
        <v>3000.0</v>
      </c>
      <c r="E695" s="19">
        <v>0.57</v>
      </c>
      <c r="F695" s="10">
        <v>4.3</v>
      </c>
      <c r="G695" s="11">
        <v>23022.0</v>
      </c>
    </row>
    <row r="696">
      <c r="A696" s="7" t="s">
        <v>491</v>
      </c>
      <c r="B696" s="7" t="s">
        <v>373</v>
      </c>
      <c r="C696" s="8">
        <v>1599.0</v>
      </c>
      <c r="D696" s="8">
        <v>4999.0</v>
      </c>
      <c r="E696" s="19">
        <v>0.68</v>
      </c>
      <c r="F696" s="10">
        <v>4.0</v>
      </c>
      <c r="G696" s="11">
        <v>67951.0</v>
      </c>
    </row>
    <row r="697">
      <c r="A697" s="7" t="s">
        <v>740</v>
      </c>
      <c r="B697" s="7" t="s">
        <v>741</v>
      </c>
      <c r="C697" s="8">
        <v>294.0</v>
      </c>
      <c r="D697" s="8">
        <v>4999.0</v>
      </c>
      <c r="E697" s="19">
        <v>0.94</v>
      </c>
      <c r="F697" s="10">
        <v>4.3</v>
      </c>
      <c r="G697" s="11">
        <v>4426.0</v>
      </c>
    </row>
    <row r="698">
      <c r="A698" s="7" t="s">
        <v>742</v>
      </c>
      <c r="B698" s="7" t="s">
        <v>683</v>
      </c>
      <c r="C698" s="8">
        <v>828.0</v>
      </c>
      <c r="D698" s="8">
        <v>861.0</v>
      </c>
      <c r="E698" s="19">
        <v>0.04</v>
      </c>
      <c r="F698" s="10">
        <v>4.2</v>
      </c>
      <c r="G698" s="11">
        <v>4567.0</v>
      </c>
    </row>
    <row r="699">
      <c r="A699" s="7" t="s">
        <v>743</v>
      </c>
      <c r="B699" s="7" t="s">
        <v>572</v>
      </c>
      <c r="C699" s="8">
        <v>745.0</v>
      </c>
      <c r="D699" s="8">
        <v>795.0</v>
      </c>
      <c r="E699" s="19">
        <v>0.06</v>
      </c>
      <c r="F699" s="10">
        <v>4.0</v>
      </c>
      <c r="G699" s="11">
        <v>13797.0</v>
      </c>
    </row>
    <row r="700">
      <c r="A700" s="7" t="s">
        <v>744</v>
      </c>
      <c r="B700" s="7" t="s">
        <v>745</v>
      </c>
      <c r="C700" s="8">
        <v>1549.0</v>
      </c>
      <c r="D700" s="8">
        <v>2495.0</v>
      </c>
      <c r="E700" s="19">
        <v>0.38</v>
      </c>
      <c r="F700" s="10">
        <v>4.4</v>
      </c>
      <c r="G700" s="11">
        <v>15137.0</v>
      </c>
    </row>
    <row r="701">
      <c r="A701" s="7" t="s">
        <v>35</v>
      </c>
      <c r="B701" s="7" t="s">
        <v>15</v>
      </c>
      <c r="C701" s="8">
        <v>349.0</v>
      </c>
      <c r="D701" s="8">
        <v>399.0</v>
      </c>
      <c r="E701" s="19">
        <v>0.13</v>
      </c>
      <c r="F701" s="10">
        <v>4.4</v>
      </c>
      <c r="G701" s="11">
        <v>18757.0</v>
      </c>
    </row>
    <row r="702">
      <c r="A702" s="7" t="s">
        <v>41</v>
      </c>
      <c r="B702" s="7" t="s">
        <v>15</v>
      </c>
      <c r="C702" s="8">
        <v>970.0</v>
      </c>
      <c r="D702" s="8">
        <v>1799.0</v>
      </c>
      <c r="E702" s="19">
        <v>0.46</v>
      </c>
      <c r="F702" s="10">
        <v>4.5</v>
      </c>
      <c r="G702" s="10">
        <v>815.0</v>
      </c>
    </row>
    <row r="703">
      <c r="A703" s="7" t="s">
        <v>746</v>
      </c>
      <c r="B703" s="7" t="s">
        <v>676</v>
      </c>
      <c r="C703" s="8">
        <v>1469.0</v>
      </c>
      <c r="D703" s="8">
        <v>2499.0</v>
      </c>
      <c r="E703" s="19">
        <v>0.41</v>
      </c>
      <c r="F703" s="10">
        <v>4.2</v>
      </c>
      <c r="G703" s="7" t="s">
        <v>747</v>
      </c>
    </row>
    <row r="704">
      <c r="A704" s="7" t="s">
        <v>748</v>
      </c>
      <c r="B704" s="7" t="s">
        <v>749</v>
      </c>
      <c r="C704" s="8">
        <v>198.0</v>
      </c>
      <c r="D704" s="8">
        <v>800.0</v>
      </c>
      <c r="E704" s="19">
        <v>0.75</v>
      </c>
      <c r="F704" s="10">
        <v>4.1</v>
      </c>
      <c r="G704" s="11">
        <v>9344.0</v>
      </c>
    </row>
    <row r="705">
      <c r="A705" s="7" t="s">
        <v>750</v>
      </c>
      <c r="B705" s="7" t="s">
        <v>751</v>
      </c>
      <c r="C705" s="8">
        <v>549.0</v>
      </c>
      <c r="D705" s="8">
        <v>549.0</v>
      </c>
      <c r="E705" s="19">
        <v>0.0</v>
      </c>
      <c r="F705" s="10">
        <v>4.5</v>
      </c>
      <c r="G705" s="11">
        <v>4875.0</v>
      </c>
    </row>
    <row r="706">
      <c r="A706" s="7" t="s">
        <v>514</v>
      </c>
      <c r="B706" s="7" t="s">
        <v>373</v>
      </c>
      <c r="C706" s="8">
        <v>2999.0</v>
      </c>
      <c r="D706" s="8">
        <v>9999.0</v>
      </c>
      <c r="E706" s="19">
        <v>0.7</v>
      </c>
      <c r="F706" s="10">
        <v>4.2</v>
      </c>
      <c r="G706" s="11">
        <v>20881.0</v>
      </c>
    </row>
    <row r="707">
      <c r="A707" s="7" t="s">
        <v>752</v>
      </c>
      <c r="B707" s="7" t="s">
        <v>373</v>
      </c>
      <c r="C707" s="8">
        <v>12000.0</v>
      </c>
      <c r="D707" s="8">
        <v>29999.0</v>
      </c>
      <c r="E707" s="19">
        <v>0.6</v>
      </c>
      <c r="F707" s="10">
        <v>4.3</v>
      </c>
      <c r="G707" s="11">
        <v>4744.0</v>
      </c>
    </row>
    <row r="708">
      <c r="A708" s="7" t="s">
        <v>753</v>
      </c>
      <c r="B708" s="7" t="s">
        <v>393</v>
      </c>
      <c r="C708" s="8">
        <v>1299.0</v>
      </c>
      <c r="D708" s="8">
        <v>3499.0</v>
      </c>
      <c r="E708" s="19">
        <v>0.63</v>
      </c>
      <c r="F708" s="10">
        <v>3.9</v>
      </c>
      <c r="G708" s="11">
        <v>12452.0</v>
      </c>
    </row>
    <row r="709">
      <c r="A709" s="7" t="s">
        <v>754</v>
      </c>
      <c r="B709" s="7" t="s">
        <v>652</v>
      </c>
      <c r="C709" s="8">
        <v>269.0</v>
      </c>
      <c r="D709" s="8">
        <v>315.0</v>
      </c>
      <c r="E709" s="19">
        <v>0.15</v>
      </c>
      <c r="F709" s="10">
        <v>4.5</v>
      </c>
      <c r="G709" s="11">
        <v>17810.0</v>
      </c>
    </row>
    <row r="710">
      <c r="A710" s="7" t="s">
        <v>755</v>
      </c>
      <c r="B710" s="7" t="s">
        <v>393</v>
      </c>
      <c r="C710" s="8">
        <v>799.0</v>
      </c>
      <c r="D710" s="8">
        <v>1499.0</v>
      </c>
      <c r="E710" s="19">
        <v>0.47</v>
      </c>
      <c r="F710" s="10">
        <v>4.1</v>
      </c>
      <c r="G710" s="11">
        <v>53648.0</v>
      </c>
    </row>
    <row r="711">
      <c r="A711" s="7" t="s">
        <v>756</v>
      </c>
      <c r="B711" s="7" t="s">
        <v>757</v>
      </c>
      <c r="C711" s="8">
        <v>6299.0</v>
      </c>
      <c r="D711" s="8">
        <v>13750.0</v>
      </c>
      <c r="E711" s="19">
        <v>0.54</v>
      </c>
      <c r="F711" s="10">
        <v>4.2</v>
      </c>
      <c r="G711" s="11">
        <v>2014.0</v>
      </c>
    </row>
    <row r="712">
      <c r="A712" s="7" t="s">
        <v>758</v>
      </c>
      <c r="B712" s="7" t="s">
        <v>759</v>
      </c>
      <c r="C712" s="8">
        <v>59.0</v>
      </c>
      <c r="D712" s="8">
        <v>59.0</v>
      </c>
      <c r="E712" s="19">
        <v>0.0</v>
      </c>
      <c r="F712" s="10">
        <v>3.8</v>
      </c>
      <c r="G712" s="11">
        <v>5958.0</v>
      </c>
    </row>
    <row r="713">
      <c r="A713" s="7" t="s">
        <v>760</v>
      </c>
      <c r="B713" s="7" t="s">
        <v>399</v>
      </c>
      <c r="C713" s="8">
        <v>571.0</v>
      </c>
      <c r="D713" s="8">
        <v>999.0</v>
      </c>
      <c r="E713" s="19">
        <v>0.43</v>
      </c>
      <c r="F713" s="10">
        <v>4.3</v>
      </c>
      <c r="G713" s="11">
        <v>38221.0</v>
      </c>
    </row>
    <row r="714">
      <c r="A714" s="7" t="s">
        <v>761</v>
      </c>
      <c r="B714" s="7" t="s">
        <v>719</v>
      </c>
      <c r="C714" s="8">
        <v>549.0</v>
      </c>
      <c r="D714" s="8">
        <v>999.0</v>
      </c>
      <c r="E714" s="19">
        <v>0.45</v>
      </c>
      <c r="F714" s="10">
        <v>3.9</v>
      </c>
      <c r="G714" s="11">
        <v>64705.0</v>
      </c>
    </row>
    <row r="715">
      <c r="A715" s="7" t="s">
        <v>501</v>
      </c>
      <c r="B715" s="7" t="s">
        <v>502</v>
      </c>
      <c r="C715" s="8">
        <v>2099.0</v>
      </c>
      <c r="D715" s="8">
        <v>5999.0</v>
      </c>
      <c r="E715" s="19">
        <v>0.65</v>
      </c>
      <c r="F715" s="10">
        <v>4.3</v>
      </c>
      <c r="G715" s="11">
        <v>17129.0</v>
      </c>
    </row>
    <row r="716">
      <c r="A716" s="7" t="s">
        <v>40</v>
      </c>
      <c r="B716" s="7" t="s">
        <v>37</v>
      </c>
      <c r="C716" s="8">
        <v>13490.0</v>
      </c>
      <c r="D716" s="8">
        <v>21990.0</v>
      </c>
      <c r="E716" s="19">
        <v>0.39</v>
      </c>
      <c r="F716" s="10">
        <v>4.3</v>
      </c>
      <c r="G716" s="11">
        <v>11976.0</v>
      </c>
    </row>
    <row r="717">
      <c r="A717" s="7" t="s">
        <v>762</v>
      </c>
      <c r="B717" s="7" t="s">
        <v>660</v>
      </c>
      <c r="C717" s="8">
        <v>448.0</v>
      </c>
      <c r="D717" s="8">
        <v>699.0</v>
      </c>
      <c r="E717" s="19">
        <v>0.36</v>
      </c>
      <c r="F717" s="10">
        <v>3.9</v>
      </c>
      <c r="G717" s="11">
        <v>17348.0</v>
      </c>
    </row>
    <row r="718">
      <c r="A718" s="7" t="s">
        <v>763</v>
      </c>
      <c r="B718" s="7" t="s">
        <v>393</v>
      </c>
      <c r="C718" s="8">
        <v>1499.0</v>
      </c>
      <c r="D718" s="8">
        <v>2999.0</v>
      </c>
      <c r="E718" s="19">
        <v>0.5</v>
      </c>
      <c r="F718" s="10">
        <v>3.7</v>
      </c>
      <c r="G718" s="11">
        <v>87798.0</v>
      </c>
    </row>
    <row r="719">
      <c r="A719" s="7" t="s">
        <v>764</v>
      </c>
      <c r="B719" s="7" t="s">
        <v>765</v>
      </c>
      <c r="C719" s="8">
        <v>299.0</v>
      </c>
      <c r="D719" s="8">
        <v>499.0</v>
      </c>
      <c r="E719" s="19">
        <v>0.4</v>
      </c>
      <c r="F719" s="10">
        <v>4.2</v>
      </c>
      <c r="G719" s="11">
        <v>24432.0</v>
      </c>
    </row>
    <row r="720">
      <c r="A720" s="7" t="s">
        <v>766</v>
      </c>
      <c r="B720" s="7" t="s">
        <v>622</v>
      </c>
      <c r="C720" s="8">
        <v>579.0</v>
      </c>
      <c r="D720" s="8">
        <v>1400.0</v>
      </c>
      <c r="E720" s="19">
        <v>0.59</v>
      </c>
      <c r="F720" s="10">
        <v>4.3</v>
      </c>
      <c r="G720" s="7" t="s">
        <v>767</v>
      </c>
    </row>
    <row r="721">
      <c r="A721" s="7" t="s">
        <v>768</v>
      </c>
      <c r="B721" s="7" t="s">
        <v>769</v>
      </c>
      <c r="C721" s="8">
        <v>2499.0</v>
      </c>
      <c r="D721" s="8">
        <v>3299.0</v>
      </c>
      <c r="E721" s="19">
        <v>0.24</v>
      </c>
      <c r="F721" s="10">
        <v>4.2</v>
      </c>
      <c r="G721" s="11">
        <v>93112.0</v>
      </c>
    </row>
    <row r="722">
      <c r="A722" s="7" t="s">
        <v>770</v>
      </c>
      <c r="B722" s="7" t="s">
        <v>393</v>
      </c>
      <c r="C722" s="8">
        <v>1199.0</v>
      </c>
      <c r="D722" s="8">
        <v>5999.0</v>
      </c>
      <c r="E722" s="19">
        <v>0.8</v>
      </c>
      <c r="F722" s="10">
        <v>3.9</v>
      </c>
      <c r="G722" s="11">
        <v>47521.0</v>
      </c>
    </row>
    <row r="723">
      <c r="A723" s="7" t="s">
        <v>771</v>
      </c>
      <c r="B723" s="7" t="s">
        <v>735</v>
      </c>
      <c r="C723" s="8">
        <v>399.0</v>
      </c>
      <c r="D723" s="8">
        <v>499.0</v>
      </c>
      <c r="E723" s="19">
        <v>0.2</v>
      </c>
      <c r="F723" s="10">
        <v>4.3</v>
      </c>
      <c r="G723" s="11">
        <v>27201.0</v>
      </c>
    </row>
    <row r="724">
      <c r="A724" s="7" t="s">
        <v>42</v>
      </c>
      <c r="B724" s="7" t="s">
        <v>31</v>
      </c>
      <c r="C724" s="8">
        <v>279.0</v>
      </c>
      <c r="D724" s="8">
        <v>499.0</v>
      </c>
      <c r="E724" s="19">
        <v>0.44</v>
      </c>
      <c r="F724" s="10">
        <v>3.7</v>
      </c>
      <c r="G724" s="11">
        <v>10962.0</v>
      </c>
    </row>
    <row r="725">
      <c r="A725" s="7" t="s">
        <v>43</v>
      </c>
      <c r="B725" s="7" t="s">
        <v>37</v>
      </c>
      <c r="C725" s="8">
        <v>13490.0</v>
      </c>
      <c r="D725" s="8">
        <v>22900.0</v>
      </c>
      <c r="E725" s="19">
        <v>0.41</v>
      </c>
      <c r="F725" s="10">
        <v>4.3</v>
      </c>
      <c r="G725" s="11">
        <v>16299.0</v>
      </c>
    </row>
    <row r="726">
      <c r="A726" s="7" t="s">
        <v>772</v>
      </c>
      <c r="B726" s="7" t="s">
        <v>625</v>
      </c>
      <c r="C726" s="8">
        <v>279.0</v>
      </c>
      <c r="D726" s="8">
        <v>375.0</v>
      </c>
      <c r="E726" s="19">
        <v>0.26</v>
      </c>
      <c r="F726" s="10">
        <v>4.3</v>
      </c>
      <c r="G726" s="11">
        <v>31534.0</v>
      </c>
    </row>
    <row r="727">
      <c r="A727" s="7" t="s">
        <v>773</v>
      </c>
      <c r="B727" s="7" t="s">
        <v>373</v>
      </c>
      <c r="C727" s="8">
        <v>2499.0</v>
      </c>
      <c r="D727" s="8">
        <v>4999.0</v>
      </c>
      <c r="E727" s="19">
        <v>0.5</v>
      </c>
      <c r="F727" s="10">
        <v>3.9</v>
      </c>
      <c r="G727" s="11">
        <v>7571.0</v>
      </c>
    </row>
    <row r="728">
      <c r="A728" s="7" t="s">
        <v>774</v>
      </c>
      <c r="B728" s="7" t="s">
        <v>732</v>
      </c>
      <c r="C728" s="8">
        <v>137.0</v>
      </c>
      <c r="D728" s="8">
        <v>160.0</v>
      </c>
      <c r="E728" s="19">
        <v>0.14</v>
      </c>
      <c r="F728" s="10">
        <v>4.4</v>
      </c>
      <c r="G728" s="11">
        <v>6537.0</v>
      </c>
    </row>
    <row r="729">
      <c r="A729" s="7" t="s">
        <v>44</v>
      </c>
      <c r="B729" s="7" t="s">
        <v>15</v>
      </c>
      <c r="C729" s="8">
        <v>59.0</v>
      </c>
      <c r="D729" s="8">
        <v>199.0</v>
      </c>
      <c r="E729" s="19">
        <v>0.7</v>
      </c>
      <c r="F729" s="10">
        <v>4.0</v>
      </c>
      <c r="G729" s="11">
        <v>9377.0</v>
      </c>
    </row>
    <row r="730">
      <c r="A730" s="7" t="s">
        <v>775</v>
      </c>
      <c r="B730" s="7" t="s">
        <v>698</v>
      </c>
      <c r="C730" s="8">
        <v>299.0</v>
      </c>
      <c r="D730" s="8">
        <v>499.0</v>
      </c>
      <c r="E730" s="19">
        <v>0.4</v>
      </c>
      <c r="F730" s="10">
        <v>4.5</v>
      </c>
      <c r="G730" s="11">
        <v>21010.0</v>
      </c>
    </row>
    <row r="731">
      <c r="A731" s="7" t="s">
        <v>776</v>
      </c>
      <c r="B731" s="7" t="s">
        <v>393</v>
      </c>
      <c r="C731" s="8">
        <v>1799.0</v>
      </c>
      <c r="D731" s="8">
        <v>3999.0</v>
      </c>
      <c r="E731" s="19">
        <v>0.55</v>
      </c>
      <c r="F731" s="10">
        <v>3.9</v>
      </c>
      <c r="G731" s="11">
        <v>3517.0</v>
      </c>
    </row>
    <row r="732">
      <c r="A732" s="7" t="s">
        <v>777</v>
      </c>
      <c r="B732" s="7" t="s">
        <v>719</v>
      </c>
      <c r="C732" s="8">
        <v>1999.0</v>
      </c>
      <c r="D732" s="8">
        <v>2999.0</v>
      </c>
      <c r="E732" s="19">
        <v>0.33</v>
      </c>
      <c r="F732" s="10">
        <v>4.3</v>
      </c>
      <c r="G732" s="11">
        <v>63899.0</v>
      </c>
    </row>
    <row r="733">
      <c r="A733" s="7" t="s">
        <v>46</v>
      </c>
      <c r="B733" s="7" t="s">
        <v>31</v>
      </c>
      <c r="C733" s="8">
        <v>199.0</v>
      </c>
      <c r="D733" s="8">
        <v>699.0</v>
      </c>
      <c r="E733" s="19">
        <v>0.72</v>
      </c>
      <c r="F733" s="10">
        <v>4.2</v>
      </c>
      <c r="G733" s="11">
        <v>12153.0</v>
      </c>
    </row>
    <row r="734">
      <c r="A734" s="7" t="s">
        <v>778</v>
      </c>
      <c r="B734" s="7" t="s">
        <v>779</v>
      </c>
      <c r="C734" s="8">
        <v>399.0</v>
      </c>
      <c r="D734" s="8">
        <v>1499.0</v>
      </c>
      <c r="E734" s="19">
        <v>0.73</v>
      </c>
      <c r="F734" s="10">
        <v>4.1</v>
      </c>
      <c r="G734" s="11">
        <v>5730.0</v>
      </c>
    </row>
    <row r="735">
      <c r="A735" s="7" t="s">
        <v>780</v>
      </c>
      <c r="B735" s="7" t="s">
        <v>781</v>
      </c>
      <c r="C735" s="8">
        <v>1699.0</v>
      </c>
      <c r="D735" s="8">
        <v>3999.0</v>
      </c>
      <c r="E735" s="19">
        <v>0.58</v>
      </c>
      <c r="F735" s="10">
        <v>4.2</v>
      </c>
      <c r="G735" s="11">
        <v>25488.0</v>
      </c>
    </row>
    <row r="736">
      <c r="A736" s="7" t="s">
        <v>782</v>
      </c>
      <c r="B736" s="7" t="s">
        <v>625</v>
      </c>
      <c r="C736" s="8">
        <v>699.0</v>
      </c>
      <c r="D736" s="8">
        <v>995.0</v>
      </c>
      <c r="E736" s="19">
        <v>0.3</v>
      </c>
      <c r="F736" s="10">
        <v>4.5</v>
      </c>
      <c r="G736" s="11">
        <v>54405.0</v>
      </c>
    </row>
    <row r="737">
      <c r="A737" s="7" t="s">
        <v>524</v>
      </c>
      <c r="B737" s="7" t="s">
        <v>469</v>
      </c>
      <c r="C737" s="8">
        <v>95.0</v>
      </c>
      <c r="D737" s="8">
        <v>499.0</v>
      </c>
      <c r="E737" s="19">
        <v>0.81</v>
      </c>
      <c r="F737" s="10">
        <v>4.2</v>
      </c>
      <c r="G737" s="11">
        <v>1949.0</v>
      </c>
    </row>
    <row r="738">
      <c r="A738" s="7" t="s">
        <v>783</v>
      </c>
      <c r="B738" s="7" t="s">
        <v>709</v>
      </c>
      <c r="C738" s="8">
        <v>1149.0</v>
      </c>
      <c r="D738" s="8">
        <v>1699.0</v>
      </c>
      <c r="E738" s="19">
        <v>0.32</v>
      </c>
      <c r="F738" s="10">
        <v>4.2</v>
      </c>
      <c r="G738" s="7" t="s">
        <v>784</v>
      </c>
    </row>
    <row r="739">
      <c r="A739" s="7" t="s">
        <v>785</v>
      </c>
      <c r="B739" s="7" t="s">
        <v>660</v>
      </c>
      <c r="C739" s="8">
        <v>1495.0</v>
      </c>
      <c r="D739" s="8">
        <v>1995.0</v>
      </c>
      <c r="E739" s="19">
        <v>0.25</v>
      </c>
      <c r="F739" s="10">
        <v>4.3</v>
      </c>
      <c r="G739" s="11">
        <v>7241.0</v>
      </c>
    </row>
    <row r="740">
      <c r="A740" s="7" t="s">
        <v>786</v>
      </c>
      <c r="B740" s="7" t="s">
        <v>631</v>
      </c>
      <c r="C740" s="8">
        <v>849.0</v>
      </c>
      <c r="D740" s="8">
        <v>4999.0</v>
      </c>
      <c r="E740" s="19">
        <v>0.83</v>
      </c>
      <c r="F740" s="10">
        <v>4.0</v>
      </c>
      <c r="G740" s="11">
        <v>20457.0</v>
      </c>
    </row>
    <row r="741">
      <c r="A741" s="7" t="s">
        <v>787</v>
      </c>
      <c r="B741" s="7" t="s">
        <v>788</v>
      </c>
      <c r="C741" s="8">
        <v>440.0</v>
      </c>
      <c r="D741" s="8">
        <v>440.0</v>
      </c>
      <c r="E741" s="19">
        <v>0.0</v>
      </c>
      <c r="F741" s="10">
        <v>4.5</v>
      </c>
      <c r="G741" s="11">
        <v>8610.0</v>
      </c>
    </row>
    <row r="742">
      <c r="A742" s="7" t="s">
        <v>521</v>
      </c>
      <c r="B742" s="7" t="s">
        <v>502</v>
      </c>
      <c r="C742" s="8">
        <v>349.0</v>
      </c>
      <c r="D742" s="8">
        <v>999.0</v>
      </c>
      <c r="E742" s="19">
        <v>0.65</v>
      </c>
      <c r="F742" s="10">
        <v>3.8</v>
      </c>
      <c r="G742" s="11">
        <v>16557.0</v>
      </c>
    </row>
    <row r="743">
      <c r="A743" s="7" t="s">
        <v>789</v>
      </c>
      <c r="B743" s="7" t="s">
        <v>631</v>
      </c>
      <c r="C743" s="8">
        <v>599.0</v>
      </c>
      <c r="D743" s="8">
        <v>3999.0</v>
      </c>
      <c r="E743" s="19">
        <v>0.85</v>
      </c>
      <c r="F743" s="10">
        <v>3.9</v>
      </c>
      <c r="G743" s="11">
        <v>1087.0</v>
      </c>
    </row>
    <row r="744">
      <c r="A744" s="7" t="s">
        <v>790</v>
      </c>
      <c r="B744" s="7" t="s">
        <v>741</v>
      </c>
      <c r="C744" s="8">
        <v>149.0</v>
      </c>
      <c r="D744" s="8">
        <v>399.0</v>
      </c>
      <c r="E744" s="19">
        <v>0.63</v>
      </c>
      <c r="F744" s="10">
        <v>4.0</v>
      </c>
      <c r="G744" s="11">
        <v>1540.0</v>
      </c>
    </row>
    <row r="745">
      <c r="A745" s="7" t="s">
        <v>791</v>
      </c>
      <c r="B745" s="7" t="s">
        <v>627</v>
      </c>
      <c r="C745" s="8">
        <v>289.0</v>
      </c>
      <c r="D745" s="8">
        <v>999.0</v>
      </c>
      <c r="E745" s="19">
        <v>0.71</v>
      </c>
      <c r="F745" s="10">
        <v>4.1</v>
      </c>
      <c r="G745" s="10">
        <v>401.0</v>
      </c>
    </row>
    <row r="746">
      <c r="A746" s="7" t="s">
        <v>792</v>
      </c>
      <c r="B746" s="7" t="s">
        <v>793</v>
      </c>
      <c r="C746" s="8">
        <v>179.0</v>
      </c>
      <c r="D746" s="8">
        <v>499.0</v>
      </c>
      <c r="E746" s="19">
        <v>0.64</v>
      </c>
      <c r="F746" s="10">
        <v>3.4</v>
      </c>
      <c r="G746" s="11">
        <v>9385.0</v>
      </c>
    </row>
    <row r="747">
      <c r="A747" s="7" t="s">
        <v>794</v>
      </c>
      <c r="B747" s="7" t="s">
        <v>373</v>
      </c>
      <c r="C747" s="8">
        <v>1499.0</v>
      </c>
      <c r="D747" s="8">
        <v>4999.0</v>
      </c>
      <c r="E747" s="19">
        <v>0.7</v>
      </c>
      <c r="F747" s="10">
        <v>4.0</v>
      </c>
      <c r="G747" s="11">
        <v>92588.0</v>
      </c>
    </row>
    <row r="748">
      <c r="A748" s="7" t="s">
        <v>795</v>
      </c>
      <c r="B748" s="7" t="s">
        <v>393</v>
      </c>
      <c r="C748" s="8">
        <v>399.0</v>
      </c>
      <c r="D748" s="8">
        <v>699.0</v>
      </c>
      <c r="E748" s="19">
        <v>0.43</v>
      </c>
      <c r="F748" s="10">
        <v>3.4</v>
      </c>
      <c r="G748" s="11">
        <v>3454.0</v>
      </c>
    </row>
    <row r="749">
      <c r="A749" s="7" t="s">
        <v>796</v>
      </c>
      <c r="B749" s="7" t="s">
        <v>692</v>
      </c>
      <c r="C749" s="8">
        <v>599.0</v>
      </c>
      <c r="D749" s="8">
        <v>799.0</v>
      </c>
      <c r="E749" s="19">
        <v>0.25</v>
      </c>
      <c r="F749" s="10">
        <v>4.3</v>
      </c>
      <c r="G749" s="11">
        <v>15790.0</v>
      </c>
    </row>
    <row r="750">
      <c r="A750" s="7" t="s">
        <v>797</v>
      </c>
      <c r="B750" s="7" t="s">
        <v>798</v>
      </c>
      <c r="C750" s="8">
        <v>949.0</v>
      </c>
      <c r="D750" s="8">
        <v>2000.0</v>
      </c>
      <c r="E750" s="19">
        <v>0.53</v>
      </c>
      <c r="F750" s="10">
        <v>3.9</v>
      </c>
      <c r="G750" s="11">
        <v>14969.0</v>
      </c>
    </row>
    <row r="751">
      <c r="A751" s="7" t="s">
        <v>799</v>
      </c>
      <c r="B751" s="7" t="s">
        <v>373</v>
      </c>
      <c r="C751" s="8">
        <v>2499.0</v>
      </c>
      <c r="D751" s="8">
        <v>9999.0</v>
      </c>
      <c r="E751" s="19">
        <v>0.75</v>
      </c>
      <c r="F751" s="10">
        <v>4.1</v>
      </c>
      <c r="G751" s="11">
        <v>42139.0</v>
      </c>
    </row>
    <row r="752">
      <c r="A752" s="7" t="s">
        <v>800</v>
      </c>
      <c r="B752" s="7" t="s">
        <v>652</v>
      </c>
      <c r="C752" s="8">
        <v>159.0</v>
      </c>
      <c r="D752" s="8">
        <v>180.0</v>
      </c>
      <c r="E752" s="19">
        <v>0.12</v>
      </c>
      <c r="F752" s="10">
        <v>4.3</v>
      </c>
      <c r="G752" s="10">
        <v>989.0</v>
      </c>
    </row>
    <row r="753">
      <c r="A753" s="7" t="s">
        <v>801</v>
      </c>
      <c r="B753" s="7" t="s">
        <v>386</v>
      </c>
      <c r="C753" s="8">
        <v>1329.0</v>
      </c>
      <c r="D753" s="8">
        <v>2900.0</v>
      </c>
      <c r="E753" s="19">
        <v>0.54</v>
      </c>
      <c r="F753" s="10">
        <v>4.5</v>
      </c>
      <c r="G753" s="11">
        <v>19624.0</v>
      </c>
    </row>
    <row r="754">
      <c r="A754" s="7" t="s">
        <v>802</v>
      </c>
      <c r="B754" s="7" t="s">
        <v>793</v>
      </c>
      <c r="C754" s="8">
        <v>570.0</v>
      </c>
      <c r="D754" s="8">
        <v>999.0</v>
      </c>
      <c r="E754" s="19">
        <v>0.43</v>
      </c>
      <c r="F754" s="10">
        <v>4.2</v>
      </c>
      <c r="G754" s="11">
        <v>3201.0</v>
      </c>
    </row>
    <row r="755">
      <c r="A755" s="7" t="s">
        <v>803</v>
      </c>
      <c r="B755" s="7" t="s">
        <v>804</v>
      </c>
      <c r="C755" s="8">
        <v>899.0</v>
      </c>
      <c r="D755" s="8">
        <v>1999.0</v>
      </c>
      <c r="E755" s="19">
        <v>0.55</v>
      </c>
      <c r="F755" s="10">
        <v>4.1</v>
      </c>
      <c r="G755" s="11">
        <v>30469.0</v>
      </c>
    </row>
    <row r="756">
      <c r="A756" s="7" t="s">
        <v>805</v>
      </c>
      <c r="B756" s="7" t="s">
        <v>806</v>
      </c>
      <c r="C756" s="8">
        <v>449.0</v>
      </c>
      <c r="D756" s="8">
        <v>999.0</v>
      </c>
      <c r="E756" s="19">
        <v>0.55</v>
      </c>
      <c r="F756" s="10">
        <v>4.4</v>
      </c>
      <c r="G756" s="11">
        <v>9940.0</v>
      </c>
    </row>
    <row r="757">
      <c r="A757" s="7" t="s">
        <v>807</v>
      </c>
      <c r="B757" s="7" t="s">
        <v>808</v>
      </c>
      <c r="C757" s="8">
        <v>549.0</v>
      </c>
      <c r="D757" s="8">
        <v>999.0</v>
      </c>
      <c r="E757" s="19">
        <v>0.45</v>
      </c>
      <c r="F757" s="10">
        <v>4.3</v>
      </c>
      <c r="G757" s="11">
        <v>7758.0</v>
      </c>
    </row>
    <row r="758">
      <c r="A758" s="7" t="s">
        <v>809</v>
      </c>
      <c r="B758" s="7" t="s">
        <v>709</v>
      </c>
      <c r="C758" s="8">
        <v>1529.0</v>
      </c>
      <c r="D758" s="8">
        <v>2399.0</v>
      </c>
      <c r="E758" s="19">
        <v>0.36</v>
      </c>
      <c r="F758" s="10">
        <v>4.3</v>
      </c>
      <c r="G758" s="11">
        <v>68409.0</v>
      </c>
    </row>
    <row r="759">
      <c r="A759" s="7" t="s">
        <v>810</v>
      </c>
      <c r="B759" s="7" t="s">
        <v>811</v>
      </c>
      <c r="C759" s="8">
        <v>100.0</v>
      </c>
      <c r="D759" s="8">
        <v>100.0</v>
      </c>
      <c r="E759" s="19">
        <v>0.0</v>
      </c>
      <c r="F759" s="10">
        <v>4.3</v>
      </c>
      <c r="G759" s="11">
        <v>3095.0</v>
      </c>
    </row>
    <row r="760">
      <c r="A760" s="7" t="s">
        <v>812</v>
      </c>
      <c r="B760" s="7" t="s">
        <v>635</v>
      </c>
      <c r="C760" s="8">
        <v>299.0</v>
      </c>
      <c r="D760" s="8">
        <v>1499.0</v>
      </c>
      <c r="E760" s="19">
        <v>0.8</v>
      </c>
      <c r="F760" s="10">
        <v>4.2</v>
      </c>
      <c r="G760" s="10">
        <v>903.0</v>
      </c>
    </row>
    <row r="761">
      <c r="A761" s="7" t="s">
        <v>813</v>
      </c>
      <c r="B761" s="7" t="s">
        <v>660</v>
      </c>
      <c r="C761" s="8">
        <v>1295.0</v>
      </c>
      <c r="D761" s="8">
        <v>1795.0</v>
      </c>
      <c r="E761" s="19">
        <v>0.28</v>
      </c>
      <c r="F761" s="10">
        <v>4.1</v>
      </c>
      <c r="G761" s="11">
        <v>25771.0</v>
      </c>
    </row>
    <row r="762">
      <c r="A762" s="7" t="s">
        <v>814</v>
      </c>
      <c r="B762" s="7" t="s">
        <v>393</v>
      </c>
      <c r="C762" s="8">
        <v>699.0</v>
      </c>
      <c r="D762" s="8">
        <v>999.0</v>
      </c>
      <c r="E762" s="19">
        <v>0.3</v>
      </c>
      <c r="F762" s="10">
        <v>4.1</v>
      </c>
      <c r="G762" s="7" t="s">
        <v>815</v>
      </c>
    </row>
    <row r="763">
      <c r="A763" s="7" t="s">
        <v>816</v>
      </c>
      <c r="B763" s="7" t="s">
        <v>817</v>
      </c>
      <c r="C763" s="8">
        <v>252.0</v>
      </c>
      <c r="D763" s="8">
        <v>315.0</v>
      </c>
      <c r="E763" s="19">
        <v>0.2</v>
      </c>
      <c r="F763" s="10">
        <v>4.5</v>
      </c>
      <c r="G763" s="11">
        <v>3785.0</v>
      </c>
    </row>
    <row r="764">
      <c r="A764" s="7" t="s">
        <v>818</v>
      </c>
      <c r="B764" s="7" t="s">
        <v>652</v>
      </c>
      <c r="C764" s="8">
        <v>190.0</v>
      </c>
      <c r="D764" s="8">
        <v>220.0</v>
      </c>
      <c r="E764" s="19">
        <v>0.14</v>
      </c>
      <c r="F764" s="10">
        <v>4.4</v>
      </c>
      <c r="G764" s="11">
        <v>2866.0</v>
      </c>
    </row>
    <row r="765">
      <c r="A765" s="7" t="s">
        <v>819</v>
      </c>
      <c r="B765" s="7" t="s">
        <v>660</v>
      </c>
      <c r="C765" s="8">
        <v>1299.0</v>
      </c>
      <c r="D765" s="8">
        <v>1599.0</v>
      </c>
      <c r="E765" s="19">
        <v>0.19</v>
      </c>
      <c r="F765" s="10">
        <v>4.3</v>
      </c>
      <c r="G765" s="11">
        <v>27223.0</v>
      </c>
    </row>
    <row r="766">
      <c r="A766" s="7" t="s">
        <v>820</v>
      </c>
      <c r="B766" s="7" t="s">
        <v>622</v>
      </c>
      <c r="C766" s="8">
        <v>729.0</v>
      </c>
      <c r="D766" s="8">
        <v>1650.0</v>
      </c>
      <c r="E766" s="19">
        <v>0.56</v>
      </c>
      <c r="F766" s="10">
        <v>4.3</v>
      </c>
      <c r="G766" s="11">
        <v>82356.0</v>
      </c>
    </row>
    <row r="767">
      <c r="A767" s="7" t="s">
        <v>821</v>
      </c>
      <c r="B767" s="7" t="s">
        <v>822</v>
      </c>
      <c r="C767" s="8">
        <v>480.0</v>
      </c>
      <c r="D767" s="8">
        <v>600.0</v>
      </c>
      <c r="E767" s="19">
        <v>0.2</v>
      </c>
      <c r="F767" s="10">
        <v>4.3</v>
      </c>
      <c r="G767" s="11">
        <v>5719.0</v>
      </c>
    </row>
    <row r="768">
      <c r="A768" s="7" t="s">
        <v>534</v>
      </c>
      <c r="B768" s="7" t="s">
        <v>373</v>
      </c>
      <c r="C768" s="8">
        <v>1799.0</v>
      </c>
      <c r="D768" s="8">
        <v>6990.0</v>
      </c>
      <c r="E768" s="19">
        <v>0.74</v>
      </c>
      <c r="F768" s="10">
        <v>4.0</v>
      </c>
      <c r="G768" s="11">
        <v>26880.0</v>
      </c>
    </row>
    <row r="769">
      <c r="A769" s="7" t="s">
        <v>823</v>
      </c>
      <c r="B769" s="7" t="s">
        <v>631</v>
      </c>
      <c r="C769" s="8">
        <v>999.0</v>
      </c>
      <c r="D769" s="8">
        <v>2499.0</v>
      </c>
      <c r="E769" s="19">
        <v>0.6</v>
      </c>
      <c r="F769" s="10">
        <v>4.3</v>
      </c>
      <c r="G769" s="11">
        <v>1690.0</v>
      </c>
    </row>
    <row r="770">
      <c r="A770" s="7" t="s">
        <v>48</v>
      </c>
      <c r="B770" s="7" t="s">
        <v>15</v>
      </c>
      <c r="C770" s="8">
        <v>299.0</v>
      </c>
      <c r="D770" s="8">
        <v>399.0</v>
      </c>
      <c r="E770" s="19">
        <v>0.25</v>
      </c>
      <c r="F770" s="10">
        <v>4.0</v>
      </c>
      <c r="G770" s="11">
        <v>2766.0</v>
      </c>
    </row>
    <row r="771">
      <c r="A771" s="7" t="s">
        <v>824</v>
      </c>
      <c r="B771" s="7" t="s">
        <v>825</v>
      </c>
      <c r="C771" s="8">
        <v>238.0</v>
      </c>
      <c r="D771" s="8">
        <v>699.0</v>
      </c>
      <c r="E771" s="19">
        <v>0.66</v>
      </c>
      <c r="F771" s="10">
        <v>4.4</v>
      </c>
      <c r="G771" s="11">
        <v>8372.0</v>
      </c>
    </row>
    <row r="772">
      <c r="A772" s="7" t="s">
        <v>826</v>
      </c>
      <c r="B772" s="7" t="s">
        <v>660</v>
      </c>
      <c r="C772" s="8">
        <v>1349.0</v>
      </c>
      <c r="D772" s="8">
        <v>2198.0</v>
      </c>
      <c r="E772" s="19">
        <v>0.39</v>
      </c>
      <c r="F772" s="10">
        <v>4.0</v>
      </c>
      <c r="G772" s="11">
        <v>7113.0</v>
      </c>
    </row>
    <row r="773">
      <c r="A773" s="7" t="s">
        <v>50</v>
      </c>
      <c r="B773" s="7" t="s">
        <v>15</v>
      </c>
      <c r="C773" s="8">
        <v>299.0</v>
      </c>
      <c r="D773" s="8">
        <v>999.0</v>
      </c>
      <c r="E773" s="19">
        <v>0.7</v>
      </c>
      <c r="F773" s="10">
        <v>4.3</v>
      </c>
      <c r="G773" s="11">
        <v>20850.0</v>
      </c>
    </row>
    <row r="774">
      <c r="A774" s="7" t="s">
        <v>827</v>
      </c>
      <c r="B774" s="7" t="s">
        <v>798</v>
      </c>
      <c r="C774" s="8">
        <v>199.0</v>
      </c>
      <c r="D774" s="8">
        <v>499.0</v>
      </c>
      <c r="E774" s="19">
        <v>0.6</v>
      </c>
      <c r="F774" s="10">
        <v>3.3</v>
      </c>
      <c r="G774" s="11">
        <v>2804.0</v>
      </c>
    </row>
    <row r="775">
      <c r="A775" s="7" t="s">
        <v>828</v>
      </c>
      <c r="B775" s="7" t="s">
        <v>393</v>
      </c>
      <c r="C775" s="8">
        <v>1999.0</v>
      </c>
      <c r="D775" s="8">
        <v>9999.0</v>
      </c>
      <c r="E775" s="19">
        <v>0.8</v>
      </c>
      <c r="F775" s="10">
        <v>3.7</v>
      </c>
      <c r="G775" s="11">
        <v>1986.0</v>
      </c>
    </row>
    <row r="776">
      <c r="A776" s="7" t="s">
        <v>829</v>
      </c>
      <c r="B776" s="7" t="s">
        <v>450</v>
      </c>
      <c r="C776" s="8">
        <v>99.0</v>
      </c>
      <c r="D776" s="8">
        <v>499.0</v>
      </c>
      <c r="E776" s="19">
        <v>0.8</v>
      </c>
      <c r="F776" s="10">
        <v>4.1</v>
      </c>
      <c r="G776" s="11">
        <v>2451.0</v>
      </c>
    </row>
    <row r="777">
      <c r="A777" s="7" t="s">
        <v>830</v>
      </c>
      <c r="B777" s="7" t="s">
        <v>625</v>
      </c>
      <c r="C777" s="8">
        <v>499.0</v>
      </c>
      <c r="D777" s="8">
        <v>1000.0</v>
      </c>
      <c r="E777" s="19">
        <v>0.5</v>
      </c>
      <c r="F777" s="10">
        <v>5.0</v>
      </c>
      <c r="G777" s="10">
        <v>23.0</v>
      </c>
    </row>
    <row r="778">
      <c r="A778" s="7" t="s">
        <v>831</v>
      </c>
      <c r="B778" s="7" t="s">
        <v>832</v>
      </c>
      <c r="C778" s="8">
        <v>1792.0</v>
      </c>
      <c r="D778" s="8">
        <v>3500.0</v>
      </c>
      <c r="E778" s="19">
        <v>0.49</v>
      </c>
      <c r="F778" s="10">
        <v>4.5</v>
      </c>
      <c r="G778" s="11">
        <v>26194.0</v>
      </c>
    </row>
    <row r="779">
      <c r="A779" s="7" t="s">
        <v>833</v>
      </c>
      <c r="B779" s="7" t="s">
        <v>834</v>
      </c>
      <c r="C779" s="8">
        <v>3299.0</v>
      </c>
      <c r="D779" s="8">
        <v>4100.0</v>
      </c>
      <c r="E779" s="19">
        <v>0.2</v>
      </c>
      <c r="F779" s="10">
        <v>3.9</v>
      </c>
      <c r="G779" s="11">
        <v>15783.0</v>
      </c>
    </row>
    <row r="780">
      <c r="A780" s="7" t="s">
        <v>835</v>
      </c>
      <c r="B780" s="7" t="s">
        <v>817</v>
      </c>
      <c r="C780" s="8">
        <v>125.0</v>
      </c>
      <c r="D780" s="8">
        <v>180.0</v>
      </c>
      <c r="E780" s="19">
        <v>0.31</v>
      </c>
      <c r="F780" s="10">
        <v>4.4</v>
      </c>
      <c r="G780" s="11">
        <v>8053.0</v>
      </c>
    </row>
    <row r="781">
      <c r="A781" s="7" t="s">
        <v>836</v>
      </c>
      <c r="B781" s="7" t="s">
        <v>625</v>
      </c>
      <c r="C781" s="8">
        <v>399.0</v>
      </c>
      <c r="D781" s="8">
        <v>1190.0</v>
      </c>
      <c r="E781" s="19">
        <v>0.66</v>
      </c>
      <c r="F781" s="10">
        <v>4.1</v>
      </c>
      <c r="G781" s="11">
        <v>2809.0</v>
      </c>
    </row>
    <row r="782">
      <c r="A782" s="7" t="s">
        <v>837</v>
      </c>
      <c r="B782" s="7" t="s">
        <v>393</v>
      </c>
      <c r="C782" s="8">
        <v>1199.0</v>
      </c>
      <c r="D782" s="8">
        <v>7999.0</v>
      </c>
      <c r="E782" s="19">
        <v>0.85</v>
      </c>
      <c r="F782" s="10">
        <v>3.6</v>
      </c>
      <c r="G782" s="11">
        <v>25910.0</v>
      </c>
    </row>
    <row r="783">
      <c r="A783" s="7" t="s">
        <v>838</v>
      </c>
      <c r="B783" s="7" t="s">
        <v>627</v>
      </c>
      <c r="C783" s="8">
        <v>235.0</v>
      </c>
      <c r="D783" s="8">
        <v>1599.0</v>
      </c>
      <c r="E783" s="19">
        <v>0.85</v>
      </c>
      <c r="F783" s="10">
        <v>3.8</v>
      </c>
      <c r="G783" s="11">
        <v>1173.0</v>
      </c>
    </row>
    <row r="784">
      <c r="A784" s="7" t="s">
        <v>839</v>
      </c>
      <c r="B784" s="7" t="s">
        <v>631</v>
      </c>
      <c r="C784" s="8">
        <v>549.0</v>
      </c>
      <c r="D784" s="8">
        <v>1999.0</v>
      </c>
      <c r="E784" s="19">
        <v>0.73</v>
      </c>
      <c r="F784" s="10">
        <v>3.6</v>
      </c>
      <c r="G784" s="11">
        <v>6422.0</v>
      </c>
    </row>
    <row r="785">
      <c r="A785" s="7" t="s">
        <v>840</v>
      </c>
      <c r="B785" s="7" t="s">
        <v>759</v>
      </c>
      <c r="C785" s="8">
        <v>89.0</v>
      </c>
      <c r="D785" s="8">
        <v>99.0</v>
      </c>
      <c r="E785" s="19">
        <v>0.1</v>
      </c>
      <c r="F785" s="10">
        <v>4.2</v>
      </c>
      <c r="G785" s="10">
        <v>241.0</v>
      </c>
    </row>
    <row r="786">
      <c r="A786" s="7" t="s">
        <v>49</v>
      </c>
      <c r="B786" s="7" t="s">
        <v>15</v>
      </c>
      <c r="C786" s="8">
        <v>970.0</v>
      </c>
      <c r="D786" s="8">
        <v>1999.0</v>
      </c>
      <c r="E786" s="19">
        <v>0.51</v>
      </c>
      <c r="F786" s="10">
        <v>4.4</v>
      </c>
      <c r="G786" s="10">
        <v>184.0</v>
      </c>
    </row>
    <row r="787">
      <c r="A787" s="7" t="s">
        <v>841</v>
      </c>
      <c r="B787" s="7" t="s">
        <v>393</v>
      </c>
      <c r="C787" s="8">
        <v>1299.0</v>
      </c>
      <c r="D787" s="8">
        <v>2999.0</v>
      </c>
      <c r="E787" s="19">
        <v>0.57</v>
      </c>
      <c r="F787" s="10">
        <v>3.8</v>
      </c>
      <c r="G787" s="11">
        <v>14629.0</v>
      </c>
    </row>
    <row r="788">
      <c r="A788" s="7" t="s">
        <v>842</v>
      </c>
      <c r="B788" s="7" t="s">
        <v>696</v>
      </c>
      <c r="C788" s="8">
        <v>230.0</v>
      </c>
      <c r="D788" s="8">
        <v>999.0</v>
      </c>
      <c r="E788" s="19">
        <v>0.77</v>
      </c>
      <c r="F788" s="10">
        <v>4.2</v>
      </c>
      <c r="G788" s="11">
        <v>1528.0</v>
      </c>
    </row>
    <row r="789">
      <c r="A789" s="7" t="s">
        <v>843</v>
      </c>
      <c r="B789" s="7" t="s">
        <v>844</v>
      </c>
      <c r="C789" s="8">
        <v>119.0</v>
      </c>
      <c r="D789" s="8">
        <v>499.0</v>
      </c>
      <c r="E789" s="19">
        <v>0.76</v>
      </c>
      <c r="F789" s="10">
        <v>4.3</v>
      </c>
      <c r="G789" s="11">
        <v>15032.0</v>
      </c>
    </row>
    <row r="790">
      <c r="A790" s="7" t="s">
        <v>845</v>
      </c>
      <c r="B790" s="7" t="s">
        <v>846</v>
      </c>
      <c r="C790" s="8">
        <v>449.0</v>
      </c>
      <c r="D790" s="8">
        <v>800.0</v>
      </c>
      <c r="E790" s="19">
        <v>0.44</v>
      </c>
      <c r="F790" s="10">
        <v>4.4</v>
      </c>
      <c r="G790" s="11">
        <v>69585.0</v>
      </c>
    </row>
    <row r="791">
      <c r="A791" s="7" t="s">
        <v>847</v>
      </c>
      <c r="B791" s="7" t="s">
        <v>848</v>
      </c>
      <c r="C791" s="8">
        <v>1699.0</v>
      </c>
      <c r="D791" s="8">
        <v>3495.0</v>
      </c>
      <c r="E791" s="19">
        <v>0.51</v>
      </c>
      <c r="F791" s="10">
        <v>4.1</v>
      </c>
      <c r="G791" s="11">
        <v>14371.0</v>
      </c>
    </row>
    <row r="792">
      <c r="A792" s="7" t="s">
        <v>849</v>
      </c>
      <c r="B792" s="7" t="s">
        <v>817</v>
      </c>
      <c r="C792" s="8">
        <v>561.0</v>
      </c>
      <c r="D792" s="8">
        <v>720.0</v>
      </c>
      <c r="E792" s="19">
        <v>0.22</v>
      </c>
      <c r="F792" s="10">
        <v>4.4</v>
      </c>
      <c r="G792" s="11">
        <v>3182.0</v>
      </c>
    </row>
    <row r="793">
      <c r="A793" s="7" t="s">
        <v>850</v>
      </c>
      <c r="B793" s="7" t="s">
        <v>625</v>
      </c>
      <c r="C793" s="8">
        <v>289.0</v>
      </c>
      <c r="D793" s="8">
        <v>590.0</v>
      </c>
      <c r="E793" s="19">
        <v>0.51</v>
      </c>
      <c r="F793" s="10">
        <v>4.4</v>
      </c>
      <c r="G793" s="11">
        <v>25886.0</v>
      </c>
    </row>
    <row r="794">
      <c r="A794" s="7" t="s">
        <v>851</v>
      </c>
      <c r="B794" s="7" t="s">
        <v>635</v>
      </c>
      <c r="C794" s="8">
        <v>599.0</v>
      </c>
      <c r="D794" s="8">
        <v>1999.0</v>
      </c>
      <c r="E794" s="19">
        <v>0.7</v>
      </c>
      <c r="F794" s="10">
        <v>4.4</v>
      </c>
      <c r="G794" s="11">
        <v>4736.0</v>
      </c>
    </row>
    <row r="795">
      <c r="A795" s="7" t="s">
        <v>852</v>
      </c>
      <c r="B795" s="7" t="s">
        <v>662</v>
      </c>
      <c r="C795" s="8">
        <v>5599.0</v>
      </c>
      <c r="D795" s="8">
        <v>7350.0</v>
      </c>
      <c r="E795" s="19">
        <v>0.24</v>
      </c>
      <c r="F795" s="10">
        <v>4.4</v>
      </c>
      <c r="G795" s="11">
        <v>73005.0</v>
      </c>
    </row>
    <row r="796">
      <c r="A796" s="7" t="s">
        <v>853</v>
      </c>
      <c r="B796" s="7" t="s">
        <v>854</v>
      </c>
      <c r="C796" s="8">
        <v>1990.0</v>
      </c>
      <c r="D796" s="8">
        <v>2595.0</v>
      </c>
      <c r="E796" s="19">
        <v>0.23</v>
      </c>
      <c r="F796" s="10">
        <v>4.3</v>
      </c>
      <c r="G796" s="11">
        <v>20398.0</v>
      </c>
    </row>
    <row r="797">
      <c r="A797" s="7" t="s">
        <v>855</v>
      </c>
      <c r="B797" s="7" t="s">
        <v>793</v>
      </c>
      <c r="C797" s="8">
        <v>499.0</v>
      </c>
      <c r="D797" s="8">
        <v>799.0</v>
      </c>
      <c r="E797" s="19">
        <v>0.38</v>
      </c>
      <c r="F797" s="10">
        <v>4.3</v>
      </c>
      <c r="G797" s="11">
        <v>2125.0</v>
      </c>
    </row>
    <row r="798">
      <c r="A798" s="7" t="s">
        <v>856</v>
      </c>
      <c r="B798" s="7" t="s">
        <v>806</v>
      </c>
      <c r="C798" s="8">
        <v>449.0</v>
      </c>
      <c r="D798" s="8">
        <v>999.0</v>
      </c>
      <c r="E798" s="19">
        <v>0.55</v>
      </c>
      <c r="F798" s="10">
        <v>4.3</v>
      </c>
      <c r="G798" s="11">
        <v>11330.0</v>
      </c>
    </row>
    <row r="799">
      <c r="A799" s="7" t="s">
        <v>857</v>
      </c>
      <c r="B799" s="7" t="s">
        <v>858</v>
      </c>
      <c r="C799" s="8">
        <v>999.0</v>
      </c>
      <c r="D799" s="8">
        <v>1999.0</v>
      </c>
      <c r="E799" s="19">
        <v>0.5</v>
      </c>
      <c r="F799" s="10">
        <v>4.2</v>
      </c>
      <c r="G799" s="11">
        <v>27441.0</v>
      </c>
    </row>
    <row r="800">
      <c r="A800" s="7" t="s">
        <v>859</v>
      </c>
      <c r="B800" s="7" t="s">
        <v>576</v>
      </c>
      <c r="C800" s="8">
        <v>69.0</v>
      </c>
      <c r="D800" s="8">
        <v>299.0</v>
      </c>
      <c r="E800" s="19">
        <v>0.77</v>
      </c>
      <c r="F800" s="10">
        <v>4.3</v>
      </c>
      <c r="G800" s="10">
        <v>255.0</v>
      </c>
    </row>
    <row r="801">
      <c r="A801" s="7" t="s">
        <v>860</v>
      </c>
      <c r="B801" s="7" t="s">
        <v>625</v>
      </c>
      <c r="C801" s="8">
        <v>899.0</v>
      </c>
      <c r="D801" s="8">
        <v>1499.0</v>
      </c>
      <c r="E801" s="19">
        <v>0.4</v>
      </c>
      <c r="F801" s="10">
        <v>4.2</v>
      </c>
      <c r="G801" s="11">
        <v>23174.0</v>
      </c>
    </row>
    <row r="802">
      <c r="A802" s="7" t="s">
        <v>861</v>
      </c>
      <c r="B802" s="7" t="s">
        <v>650</v>
      </c>
      <c r="C802" s="8">
        <v>478.0</v>
      </c>
      <c r="D802" s="8">
        <v>699.0</v>
      </c>
      <c r="E802" s="19">
        <v>0.32</v>
      </c>
      <c r="F802" s="10">
        <v>3.8</v>
      </c>
      <c r="G802" s="11">
        <v>20218.0</v>
      </c>
    </row>
    <row r="803">
      <c r="A803" s="7" t="s">
        <v>862</v>
      </c>
      <c r="B803" s="7" t="s">
        <v>863</v>
      </c>
      <c r="C803" s="8">
        <v>1399.0</v>
      </c>
      <c r="D803" s="8">
        <v>2490.0</v>
      </c>
      <c r="E803" s="19">
        <v>0.44</v>
      </c>
      <c r="F803" s="10">
        <v>4.3</v>
      </c>
      <c r="G803" s="11">
        <v>11074.0</v>
      </c>
    </row>
    <row r="804">
      <c r="A804" s="7" t="s">
        <v>51</v>
      </c>
      <c r="B804" s="7" t="s">
        <v>15</v>
      </c>
      <c r="C804" s="8">
        <v>199.0</v>
      </c>
      <c r="D804" s="8">
        <v>750.0</v>
      </c>
      <c r="E804" s="19">
        <v>0.73</v>
      </c>
      <c r="F804" s="10">
        <v>4.5</v>
      </c>
      <c r="G804" s="11">
        <v>74976.0</v>
      </c>
    </row>
    <row r="805">
      <c r="A805" s="7" t="s">
        <v>864</v>
      </c>
      <c r="B805" s="7" t="s">
        <v>865</v>
      </c>
      <c r="C805" s="8">
        <v>149.0</v>
      </c>
      <c r="D805" s="8">
        <v>499.0</v>
      </c>
      <c r="E805" s="19">
        <v>0.7</v>
      </c>
      <c r="F805" s="10">
        <v>4.1</v>
      </c>
      <c r="G805" s="11">
        <v>25607.0</v>
      </c>
    </row>
    <row r="806">
      <c r="A806" s="7" t="s">
        <v>866</v>
      </c>
      <c r="B806" s="7" t="s">
        <v>719</v>
      </c>
      <c r="C806" s="8">
        <v>1799.0</v>
      </c>
      <c r="D806" s="8">
        <v>4990.0</v>
      </c>
      <c r="E806" s="19">
        <v>0.64</v>
      </c>
      <c r="F806" s="10">
        <v>4.2</v>
      </c>
      <c r="G806" s="11">
        <v>41226.0</v>
      </c>
    </row>
    <row r="807">
      <c r="A807" s="7" t="s">
        <v>867</v>
      </c>
      <c r="B807" s="7" t="s">
        <v>868</v>
      </c>
      <c r="C807" s="8">
        <v>425.0</v>
      </c>
      <c r="D807" s="8">
        <v>999.0</v>
      </c>
      <c r="E807" s="19">
        <v>0.57</v>
      </c>
      <c r="F807" s="10">
        <v>4.0</v>
      </c>
      <c r="G807" s="11">
        <v>2581.0</v>
      </c>
    </row>
    <row r="808">
      <c r="A808" s="7" t="s">
        <v>869</v>
      </c>
      <c r="B808" s="7" t="s">
        <v>804</v>
      </c>
      <c r="C808" s="8">
        <v>999.0</v>
      </c>
      <c r="D808" s="8">
        <v>2490.0</v>
      </c>
      <c r="E808" s="19">
        <v>0.6</v>
      </c>
      <c r="F808" s="10">
        <v>4.1</v>
      </c>
      <c r="G808" s="11">
        <v>18331.0</v>
      </c>
    </row>
    <row r="809">
      <c r="A809" s="7" t="s">
        <v>870</v>
      </c>
      <c r="B809" s="7" t="s">
        <v>627</v>
      </c>
      <c r="C809" s="8">
        <v>378.0</v>
      </c>
      <c r="D809" s="8">
        <v>999.0</v>
      </c>
      <c r="E809" s="19">
        <v>0.62</v>
      </c>
      <c r="F809" s="10">
        <v>4.1</v>
      </c>
      <c r="G809" s="11">
        <v>1779.0</v>
      </c>
    </row>
    <row r="810">
      <c r="A810" s="7" t="s">
        <v>871</v>
      </c>
      <c r="B810" s="7" t="s">
        <v>872</v>
      </c>
      <c r="C810" s="8">
        <v>99.0</v>
      </c>
      <c r="D810" s="8">
        <v>99.0</v>
      </c>
      <c r="E810" s="19">
        <v>0.0</v>
      </c>
      <c r="F810" s="10">
        <v>4.3</v>
      </c>
      <c r="G810" s="10">
        <v>388.0</v>
      </c>
    </row>
    <row r="811">
      <c r="A811" s="7" t="s">
        <v>873</v>
      </c>
      <c r="B811" s="7" t="s">
        <v>709</v>
      </c>
      <c r="C811" s="8">
        <v>1499.0</v>
      </c>
      <c r="D811" s="8">
        <v>2999.0</v>
      </c>
      <c r="E811" s="19">
        <v>0.5</v>
      </c>
      <c r="F811" s="10">
        <v>4.5</v>
      </c>
      <c r="G811" s="11">
        <v>8656.0</v>
      </c>
    </row>
    <row r="812">
      <c r="A812" s="7" t="s">
        <v>874</v>
      </c>
      <c r="B812" s="7" t="s">
        <v>875</v>
      </c>
      <c r="C812" s="8">
        <v>1815.0</v>
      </c>
      <c r="D812" s="8">
        <v>3100.0</v>
      </c>
      <c r="E812" s="19">
        <v>0.41</v>
      </c>
      <c r="F812" s="10">
        <v>4.5</v>
      </c>
      <c r="G812" s="11">
        <v>92925.0</v>
      </c>
    </row>
    <row r="813">
      <c r="A813" s="7" t="s">
        <v>876</v>
      </c>
      <c r="B813" s="7" t="s">
        <v>817</v>
      </c>
      <c r="C813" s="8">
        <v>67.0</v>
      </c>
      <c r="D813" s="8">
        <v>75.0</v>
      </c>
      <c r="E813" s="19">
        <v>0.11</v>
      </c>
      <c r="F813" s="10">
        <v>4.1</v>
      </c>
      <c r="G813" s="11">
        <v>1269.0</v>
      </c>
    </row>
    <row r="814">
      <c r="A814" s="7" t="s">
        <v>877</v>
      </c>
      <c r="B814" s="7" t="s">
        <v>631</v>
      </c>
      <c r="C814" s="8">
        <v>1889.0</v>
      </c>
      <c r="D814" s="8">
        <v>2699.0</v>
      </c>
      <c r="E814" s="19">
        <v>0.3</v>
      </c>
      <c r="F814" s="10">
        <v>4.3</v>
      </c>
      <c r="G814" s="11">
        <v>17394.0</v>
      </c>
    </row>
    <row r="815">
      <c r="A815" s="7" t="s">
        <v>878</v>
      </c>
      <c r="B815" s="7" t="s">
        <v>393</v>
      </c>
      <c r="C815" s="8">
        <v>499.0</v>
      </c>
      <c r="D815" s="8">
        <v>1499.0</v>
      </c>
      <c r="E815" s="19">
        <v>0.67</v>
      </c>
      <c r="F815" s="10">
        <v>3.6</v>
      </c>
      <c r="G815" s="11">
        <v>9169.0</v>
      </c>
    </row>
    <row r="816">
      <c r="A816" s="7" t="s">
        <v>879</v>
      </c>
      <c r="B816" s="7" t="s">
        <v>696</v>
      </c>
      <c r="C816" s="8">
        <v>499.0</v>
      </c>
      <c r="D816" s="8">
        <v>999.0</v>
      </c>
      <c r="E816" s="19">
        <v>0.5</v>
      </c>
      <c r="F816" s="10">
        <v>4.4</v>
      </c>
      <c r="G816" s="11">
        <v>1030.0</v>
      </c>
    </row>
    <row r="817">
      <c r="A817" s="7" t="s">
        <v>880</v>
      </c>
      <c r="B817" s="7" t="s">
        <v>662</v>
      </c>
      <c r="C817" s="8">
        <v>5799.0</v>
      </c>
      <c r="D817" s="8">
        <v>7999.0</v>
      </c>
      <c r="E817" s="19">
        <v>0.28</v>
      </c>
      <c r="F817" s="10">
        <v>4.5</v>
      </c>
      <c r="G817" s="11">
        <v>50273.0</v>
      </c>
    </row>
    <row r="818">
      <c r="A818" s="7" t="s">
        <v>881</v>
      </c>
      <c r="B818" s="7" t="s">
        <v>882</v>
      </c>
      <c r="C818" s="8">
        <v>499.0</v>
      </c>
      <c r="D818" s="8">
        <v>799.0</v>
      </c>
      <c r="E818" s="19">
        <v>0.38</v>
      </c>
      <c r="F818" s="10">
        <v>3.9</v>
      </c>
      <c r="G818" s="11">
        <v>6742.0</v>
      </c>
    </row>
    <row r="819">
      <c r="A819" s="7" t="s">
        <v>883</v>
      </c>
      <c r="B819" s="7" t="s">
        <v>627</v>
      </c>
      <c r="C819" s="8">
        <v>249.0</v>
      </c>
      <c r="D819" s="8">
        <v>600.0</v>
      </c>
      <c r="E819" s="19">
        <v>0.59</v>
      </c>
      <c r="F819" s="10">
        <v>4.0</v>
      </c>
      <c r="G819" s="11">
        <v>1208.0</v>
      </c>
    </row>
    <row r="820">
      <c r="A820" s="7" t="s">
        <v>52</v>
      </c>
      <c r="B820" s="7" t="s">
        <v>15</v>
      </c>
      <c r="C820" s="8">
        <v>179.0</v>
      </c>
      <c r="D820" s="8">
        <v>499.0</v>
      </c>
      <c r="E820" s="19">
        <v>0.64</v>
      </c>
      <c r="F820" s="10">
        <v>4.0</v>
      </c>
      <c r="G820" s="11">
        <v>1933.0</v>
      </c>
    </row>
    <row r="821">
      <c r="A821" s="7" t="s">
        <v>884</v>
      </c>
      <c r="B821" s="7" t="s">
        <v>662</v>
      </c>
      <c r="C821" s="8">
        <v>4449.0</v>
      </c>
      <c r="D821" s="8">
        <v>5734.0</v>
      </c>
      <c r="E821" s="19">
        <v>0.22</v>
      </c>
      <c r="F821" s="10">
        <v>4.4</v>
      </c>
      <c r="G821" s="11">
        <v>25006.0</v>
      </c>
    </row>
    <row r="822">
      <c r="A822" s="7" t="s">
        <v>885</v>
      </c>
      <c r="B822" s="7" t="s">
        <v>781</v>
      </c>
      <c r="C822" s="8">
        <v>299.0</v>
      </c>
      <c r="D822" s="8">
        <v>550.0</v>
      </c>
      <c r="E822" s="19">
        <v>0.46</v>
      </c>
      <c r="F822" s="10">
        <v>4.6</v>
      </c>
      <c r="G822" s="11">
        <v>33434.0</v>
      </c>
    </row>
    <row r="823">
      <c r="A823" s="7" t="s">
        <v>886</v>
      </c>
      <c r="B823" s="7" t="s">
        <v>625</v>
      </c>
      <c r="C823" s="8">
        <v>629.0</v>
      </c>
      <c r="D823" s="8">
        <v>1390.0</v>
      </c>
      <c r="E823" s="19">
        <v>0.55</v>
      </c>
      <c r="F823" s="10">
        <v>4.4</v>
      </c>
      <c r="G823" s="11">
        <v>6301.0</v>
      </c>
    </row>
    <row r="824">
      <c r="A824" s="7" t="s">
        <v>887</v>
      </c>
      <c r="B824" s="7" t="s">
        <v>647</v>
      </c>
      <c r="C824" s="8">
        <v>2595.0</v>
      </c>
      <c r="D824" s="8">
        <v>3295.0</v>
      </c>
      <c r="E824" s="19">
        <v>0.21</v>
      </c>
      <c r="F824" s="10">
        <v>4.4</v>
      </c>
      <c r="G824" s="11">
        <v>22618.0</v>
      </c>
    </row>
    <row r="825">
      <c r="A825" s="7" t="s">
        <v>53</v>
      </c>
      <c r="B825" s="7" t="s">
        <v>15</v>
      </c>
      <c r="C825" s="8">
        <v>389.0</v>
      </c>
      <c r="D825" s="8">
        <v>1099.0</v>
      </c>
      <c r="E825" s="19">
        <v>0.65</v>
      </c>
      <c r="F825" s="10">
        <v>4.3</v>
      </c>
      <c r="G825" s="10">
        <v>974.0</v>
      </c>
    </row>
    <row r="826">
      <c r="A826" s="7" t="s">
        <v>888</v>
      </c>
      <c r="B826" s="7" t="s">
        <v>709</v>
      </c>
      <c r="C826" s="8">
        <v>1799.0</v>
      </c>
      <c r="D826" s="8">
        <v>2911.0</v>
      </c>
      <c r="E826" s="19">
        <v>0.38</v>
      </c>
      <c r="F826" s="10">
        <v>4.3</v>
      </c>
      <c r="G826" s="11">
        <v>20342.0</v>
      </c>
    </row>
    <row r="827">
      <c r="A827" s="7" t="s">
        <v>889</v>
      </c>
      <c r="B827" s="7" t="s">
        <v>749</v>
      </c>
      <c r="C827" s="8">
        <v>90.0</v>
      </c>
      <c r="D827" s="8">
        <v>175.0</v>
      </c>
      <c r="E827" s="19">
        <v>0.49</v>
      </c>
      <c r="F827" s="10">
        <v>4.4</v>
      </c>
      <c r="G827" s="11">
        <v>7429.0</v>
      </c>
    </row>
    <row r="828">
      <c r="A828" s="7" t="s">
        <v>890</v>
      </c>
      <c r="B828" s="7" t="s">
        <v>631</v>
      </c>
      <c r="C828" s="8">
        <v>599.0</v>
      </c>
      <c r="D828" s="8">
        <v>599.0</v>
      </c>
      <c r="E828" s="19">
        <v>0.0</v>
      </c>
      <c r="F828" s="10">
        <v>4.0</v>
      </c>
      <c r="G828" s="11">
        <v>26423.0</v>
      </c>
    </row>
    <row r="829">
      <c r="A829" s="7" t="s">
        <v>891</v>
      </c>
      <c r="B829" s="7" t="s">
        <v>373</v>
      </c>
      <c r="C829" s="8">
        <v>1999.0</v>
      </c>
      <c r="D829" s="8">
        <v>7999.0</v>
      </c>
      <c r="E829" s="19">
        <v>0.75</v>
      </c>
      <c r="F829" s="10">
        <v>4.2</v>
      </c>
      <c r="G829" s="11">
        <v>31305.0</v>
      </c>
    </row>
    <row r="830">
      <c r="A830" s="7" t="s">
        <v>892</v>
      </c>
      <c r="B830" s="7" t="s">
        <v>893</v>
      </c>
      <c r="C830" s="8">
        <v>2099.0</v>
      </c>
      <c r="D830" s="8">
        <v>3250.0</v>
      </c>
      <c r="E830" s="19">
        <v>0.35</v>
      </c>
      <c r="F830" s="10">
        <v>3.8</v>
      </c>
      <c r="G830" s="11">
        <v>11213.0</v>
      </c>
    </row>
    <row r="831">
      <c r="A831" s="7" t="s">
        <v>894</v>
      </c>
      <c r="B831" s="7" t="s">
        <v>895</v>
      </c>
      <c r="C831" s="8">
        <v>179.0</v>
      </c>
      <c r="D831" s="8">
        <v>499.0</v>
      </c>
      <c r="E831" s="19">
        <v>0.64</v>
      </c>
      <c r="F831" s="10">
        <v>4.1</v>
      </c>
      <c r="G831" s="11">
        <v>10174.0</v>
      </c>
    </row>
    <row r="832">
      <c r="A832" s="7" t="s">
        <v>896</v>
      </c>
      <c r="B832" s="7" t="s">
        <v>660</v>
      </c>
      <c r="C832" s="8">
        <v>1345.0</v>
      </c>
      <c r="D832" s="8">
        <v>2295.0</v>
      </c>
      <c r="E832" s="19">
        <v>0.41</v>
      </c>
      <c r="F832" s="10">
        <v>4.2</v>
      </c>
      <c r="G832" s="11">
        <v>17413.0</v>
      </c>
    </row>
    <row r="833">
      <c r="A833" s="7" t="s">
        <v>897</v>
      </c>
      <c r="B833" s="7" t="s">
        <v>680</v>
      </c>
      <c r="C833" s="8">
        <v>349.0</v>
      </c>
      <c r="D833" s="8">
        <v>995.0</v>
      </c>
      <c r="E833" s="19">
        <v>0.65</v>
      </c>
      <c r="F833" s="10">
        <v>4.2</v>
      </c>
      <c r="G833" s="11">
        <v>6676.0</v>
      </c>
    </row>
    <row r="834">
      <c r="A834" s="7" t="s">
        <v>898</v>
      </c>
      <c r="B834" s="7" t="s">
        <v>825</v>
      </c>
      <c r="C834" s="8">
        <v>287.0</v>
      </c>
      <c r="D834" s="8">
        <v>499.0</v>
      </c>
      <c r="E834" s="19">
        <v>0.42</v>
      </c>
      <c r="F834" s="10">
        <v>4.4</v>
      </c>
      <c r="G834" s="11">
        <v>8076.0</v>
      </c>
    </row>
    <row r="835">
      <c r="A835" s="7" t="s">
        <v>54</v>
      </c>
      <c r="B835" s="7" t="s">
        <v>15</v>
      </c>
      <c r="C835" s="8">
        <v>599.0</v>
      </c>
      <c r="D835" s="8">
        <v>599.0</v>
      </c>
      <c r="E835" s="19">
        <v>0.0</v>
      </c>
      <c r="F835" s="10">
        <v>4.3</v>
      </c>
      <c r="G835" s="10">
        <v>355.0</v>
      </c>
    </row>
    <row r="836">
      <c r="A836" s="7" t="s">
        <v>899</v>
      </c>
      <c r="B836" s="7" t="s">
        <v>622</v>
      </c>
      <c r="C836" s="8">
        <v>349.0</v>
      </c>
      <c r="D836" s="8">
        <v>450.0</v>
      </c>
      <c r="E836" s="19">
        <v>0.22</v>
      </c>
      <c r="F836" s="10">
        <v>4.1</v>
      </c>
      <c r="G836" s="11">
        <v>18656.0</v>
      </c>
    </row>
    <row r="837">
      <c r="A837" s="7" t="s">
        <v>900</v>
      </c>
      <c r="B837" s="7" t="s">
        <v>652</v>
      </c>
      <c r="C837" s="8">
        <v>879.0</v>
      </c>
      <c r="D837" s="8">
        <v>1109.0</v>
      </c>
      <c r="E837" s="19">
        <v>0.21</v>
      </c>
      <c r="F837" s="10">
        <v>4.4</v>
      </c>
      <c r="G837" s="11">
        <v>31599.0</v>
      </c>
    </row>
    <row r="838">
      <c r="A838" s="7" t="s">
        <v>55</v>
      </c>
      <c r="B838" s="7" t="s">
        <v>15</v>
      </c>
      <c r="C838" s="8">
        <v>199.0</v>
      </c>
      <c r="D838" s="8">
        <v>999.0</v>
      </c>
      <c r="E838" s="19">
        <v>0.8</v>
      </c>
      <c r="F838" s="10">
        <v>3.9</v>
      </c>
      <c r="G838" s="11">
        <v>1075.0</v>
      </c>
    </row>
    <row r="839">
      <c r="A839" s="7" t="s">
        <v>901</v>
      </c>
      <c r="B839" s="7" t="s">
        <v>735</v>
      </c>
      <c r="C839" s="8">
        <v>250.0</v>
      </c>
      <c r="D839" s="8">
        <v>250.0</v>
      </c>
      <c r="E839" s="19">
        <v>0.0</v>
      </c>
      <c r="F839" s="10">
        <v>3.9</v>
      </c>
      <c r="G839" s="11">
        <v>13971.0</v>
      </c>
    </row>
    <row r="840">
      <c r="A840" s="7" t="s">
        <v>902</v>
      </c>
      <c r="B840" s="7" t="s">
        <v>393</v>
      </c>
      <c r="C840" s="8">
        <v>199.0</v>
      </c>
      <c r="D840" s="8">
        <v>499.0</v>
      </c>
      <c r="E840" s="19">
        <v>0.6</v>
      </c>
      <c r="F840" s="10">
        <v>3.6</v>
      </c>
      <c r="G840" s="11">
        <v>2492.0</v>
      </c>
    </row>
    <row r="841">
      <c r="A841" s="7" t="s">
        <v>57</v>
      </c>
      <c r="B841" s="7" t="s">
        <v>15</v>
      </c>
      <c r="C841" s="8">
        <v>899.0</v>
      </c>
      <c r="D841" s="8">
        <v>1900.0</v>
      </c>
      <c r="E841" s="19">
        <v>0.53</v>
      </c>
      <c r="F841" s="10">
        <v>4.4</v>
      </c>
      <c r="G841" s="11">
        <v>13552.0</v>
      </c>
    </row>
    <row r="842">
      <c r="A842" s="7" t="s">
        <v>58</v>
      </c>
      <c r="B842" s="7" t="s">
        <v>15</v>
      </c>
      <c r="C842" s="8">
        <v>199.0</v>
      </c>
      <c r="D842" s="8">
        <v>999.0</v>
      </c>
      <c r="E842" s="19">
        <v>0.8</v>
      </c>
      <c r="F842" s="10">
        <v>4.0</v>
      </c>
      <c r="G842" s="10">
        <v>575.0</v>
      </c>
    </row>
    <row r="843">
      <c r="A843" s="7" t="s">
        <v>903</v>
      </c>
      <c r="B843" s="7" t="s">
        <v>895</v>
      </c>
      <c r="C843" s="8">
        <v>149.0</v>
      </c>
      <c r="D843" s="8">
        <v>999.0</v>
      </c>
      <c r="E843" s="19">
        <v>0.85</v>
      </c>
      <c r="F843" s="10">
        <v>3.5</v>
      </c>
      <c r="G843" s="11">
        <v>2523.0</v>
      </c>
    </row>
    <row r="844">
      <c r="A844" s="7" t="s">
        <v>904</v>
      </c>
      <c r="B844" s="7" t="s">
        <v>627</v>
      </c>
      <c r="C844" s="8">
        <v>469.0</v>
      </c>
      <c r="D844" s="8">
        <v>1499.0</v>
      </c>
      <c r="E844" s="19">
        <v>0.69</v>
      </c>
      <c r="F844" s="10">
        <v>4.1</v>
      </c>
      <c r="G844" s="10">
        <v>352.0</v>
      </c>
    </row>
    <row r="845">
      <c r="A845" s="7" t="s">
        <v>905</v>
      </c>
      <c r="B845" s="7" t="s">
        <v>793</v>
      </c>
      <c r="C845" s="8">
        <v>1187.0</v>
      </c>
      <c r="D845" s="8">
        <v>1929.0</v>
      </c>
      <c r="E845" s="19">
        <v>0.38</v>
      </c>
      <c r="F845" s="10">
        <v>4.1</v>
      </c>
      <c r="G845" s="11">
        <v>1662.0</v>
      </c>
    </row>
    <row r="846">
      <c r="A846" s="7" t="s">
        <v>906</v>
      </c>
      <c r="B846" s="7" t="s">
        <v>907</v>
      </c>
      <c r="C846" s="8">
        <v>849.0</v>
      </c>
      <c r="D846" s="8">
        <v>1499.0</v>
      </c>
      <c r="E846" s="19">
        <v>0.43</v>
      </c>
      <c r="F846" s="10">
        <v>4.0</v>
      </c>
      <c r="G846" s="11">
        <v>7352.0</v>
      </c>
    </row>
    <row r="847">
      <c r="A847" s="7" t="s">
        <v>908</v>
      </c>
      <c r="B847" s="7" t="s">
        <v>625</v>
      </c>
      <c r="C847" s="8">
        <v>328.0</v>
      </c>
      <c r="D847" s="8">
        <v>399.0</v>
      </c>
      <c r="E847" s="19">
        <v>0.18</v>
      </c>
      <c r="F847" s="10">
        <v>4.1</v>
      </c>
      <c r="G847" s="11">
        <v>3441.0</v>
      </c>
    </row>
    <row r="848">
      <c r="A848" s="7" t="s">
        <v>909</v>
      </c>
      <c r="B848" s="7" t="s">
        <v>631</v>
      </c>
      <c r="C848" s="8">
        <v>269.0</v>
      </c>
      <c r="D848" s="8">
        <v>699.0</v>
      </c>
      <c r="E848" s="19">
        <v>0.62</v>
      </c>
      <c r="F848" s="10">
        <v>4.0</v>
      </c>
      <c r="G848" s="10">
        <v>93.0</v>
      </c>
    </row>
    <row r="849">
      <c r="A849" s="7" t="s">
        <v>910</v>
      </c>
      <c r="B849" s="7" t="s">
        <v>911</v>
      </c>
      <c r="C849" s="8">
        <v>299.0</v>
      </c>
      <c r="D849" s="8">
        <v>400.0</v>
      </c>
      <c r="E849" s="19">
        <v>0.25</v>
      </c>
      <c r="F849" s="10">
        <v>3.8</v>
      </c>
      <c r="G849" s="11">
        <v>40895.0</v>
      </c>
    </row>
    <row r="850">
      <c r="A850" s="7" t="s">
        <v>912</v>
      </c>
      <c r="B850" s="7" t="s">
        <v>913</v>
      </c>
      <c r="C850" s="8">
        <v>549.0</v>
      </c>
      <c r="D850" s="8">
        <v>1499.0</v>
      </c>
      <c r="E850" s="19">
        <v>0.63</v>
      </c>
      <c r="F850" s="10">
        <v>4.3</v>
      </c>
      <c r="G850" s="11">
        <v>11006.0</v>
      </c>
    </row>
    <row r="851">
      <c r="A851" s="7" t="s">
        <v>914</v>
      </c>
      <c r="B851" s="7" t="s">
        <v>732</v>
      </c>
      <c r="C851" s="8">
        <v>114.0</v>
      </c>
      <c r="D851" s="8">
        <v>120.0</v>
      </c>
      <c r="E851" s="19">
        <v>0.05</v>
      </c>
      <c r="F851" s="10">
        <v>4.2</v>
      </c>
      <c r="G851" s="11">
        <v>8938.0</v>
      </c>
    </row>
    <row r="852">
      <c r="A852" s="7" t="s">
        <v>915</v>
      </c>
      <c r="B852" s="7" t="s">
        <v>916</v>
      </c>
      <c r="C852" s="8">
        <v>120.0</v>
      </c>
      <c r="D852" s="8">
        <v>120.0</v>
      </c>
      <c r="E852" s="19">
        <v>0.0</v>
      </c>
      <c r="F852" s="10">
        <v>4.1</v>
      </c>
      <c r="G852" s="11">
        <v>4308.0</v>
      </c>
    </row>
    <row r="853">
      <c r="A853" s="7" t="s">
        <v>60</v>
      </c>
      <c r="B853" s="7" t="s">
        <v>15</v>
      </c>
      <c r="C853" s="8">
        <v>970.0</v>
      </c>
      <c r="D853" s="8">
        <v>1999.0</v>
      </c>
      <c r="E853" s="19">
        <v>0.51</v>
      </c>
      <c r="F853" s="10">
        <v>4.2</v>
      </c>
      <c r="G853" s="10">
        <v>462.0</v>
      </c>
    </row>
    <row r="854">
      <c r="A854" s="7" t="s">
        <v>61</v>
      </c>
      <c r="B854" s="7" t="s">
        <v>15</v>
      </c>
      <c r="C854" s="8">
        <v>209.0</v>
      </c>
      <c r="D854" s="8">
        <v>695.0</v>
      </c>
      <c r="E854" s="19">
        <v>0.7</v>
      </c>
      <c r="F854" s="10">
        <v>4.5</v>
      </c>
      <c r="G854" s="7" t="s">
        <v>917</v>
      </c>
    </row>
    <row r="855">
      <c r="A855" s="7" t="s">
        <v>918</v>
      </c>
      <c r="B855" s="7" t="s">
        <v>625</v>
      </c>
      <c r="C855" s="8">
        <v>1490.0</v>
      </c>
      <c r="D855" s="8">
        <v>2295.0</v>
      </c>
      <c r="E855" s="19">
        <v>0.35</v>
      </c>
      <c r="F855" s="10">
        <v>4.6</v>
      </c>
      <c r="G855" s="11">
        <v>10652.0</v>
      </c>
    </row>
    <row r="856">
      <c r="A856" s="7" t="s">
        <v>919</v>
      </c>
      <c r="B856" s="7" t="s">
        <v>920</v>
      </c>
      <c r="C856" s="8">
        <v>99.0</v>
      </c>
      <c r="D856" s="8">
        <v>99.0</v>
      </c>
      <c r="E856" s="19">
        <v>0.0</v>
      </c>
      <c r="F856" s="10">
        <v>4.3</v>
      </c>
      <c r="G856" s="11">
        <v>5036.0</v>
      </c>
    </row>
    <row r="857">
      <c r="A857" s="7" t="s">
        <v>921</v>
      </c>
      <c r="B857" s="7" t="s">
        <v>625</v>
      </c>
      <c r="C857" s="8">
        <v>149.0</v>
      </c>
      <c r="D857" s="8">
        <v>249.0</v>
      </c>
      <c r="E857" s="19">
        <v>0.4</v>
      </c>
      <c r="F857" s="10">
        <v>4.0</v>
      </c>
      <c r="G857" s="11">
        <v>5057.0</v>
      </c>
    </row>
    <row r="858">
      <c r="A858" s="7" t="s">
        <v>922</v>
      </c>
      <c r="B858" s="7" t="s">
        <v>692</v>
      </c>
      <c r="C858" s="8">
        <v>575.0</v>
      </c>
      <c r="D858" s="8">
        <v>2799.0</v>
      </c>
      <c r="E858" s="19">
        <v>0.79</v>
      </c>
      <c r="F858" s="10">
        <v>4.2</v>
      </c>
      <c r="G858" s="11">
        <v>8537.0</v>
      </c>
    </row>
    <row r="859">
      <c r="A859" s="7" t="s">
        <v>67</v>
      </c>
      <c r="B859" s="7" t="s">
        <v>15</v>
      </c>
      <c r="C859" s="8">
        <v>333.0</v>
      </c>
      <c r="D859" s="8">
        <v>999.0</v>
      </c>
      <c r="E859" s="19">
        <v>0.67</v>
      </c>
      <c r="F859" s="10">
        <v>3.3</v>
      </c>
      <c r="G859" s="11">
        <v>9792.0</v>
      </c>
    </row>
    <row r="860">
      <c r="A860" s="7" t="s">
        <v>923</v>
      </c>
      <c r="B860" s="7" t="s">
        <v>822</v>
      </c>
      <c r="C860" s="8">
        <v>178.0</v>
      </c>
      <c r="D860" s="8">
        <v>210.0</v>
      </c>
      <c r="E860" s="19">
        <v>0.15</v>
      </c>
      <c r="F860" s="10">
        <v>4.3</v>
      </c>
      <c r="G860" s="11">
        <v>2450.0</v>
      </c>
    </row>
    <row r="861">
      <c r="A861" s="7" t="s">
        <v>924</v>
      </c>
      <c r="B861" s="7" t="s">
        <v>393</v>
      </c>
      <c r="C861" s="8">
        <v>1599.0</v>
      </c>
      <c r="D861" s="8">
        <v>3490.0</v>
      </c>
      <c r="E861" s="19">
        <v>0.54</v>
      </c>
      <c r="F861" s="10">
        <v>3.7</v>
      </c>
      <c r="G861" s="10">
        <v>676.0</v>
      </c>
    </row>
    <row r="862">
      <c r="A862" s="7" t="s">
        <v>925</v>
      </c>
      <c r="B862" s="7" t="s">
        <v>393</v>
      </c>
      <c r="C862" s="8">
        <v>499.0</v>
      </c>
      <c r="D862" s="8">
        <v>1299.0</v>
      </c>
      <c r="E862" s="19">
        <v>0.62</v>
      </c>
      <c r="F862" s="10">
        <v>3.9</v>
      </c>
      <c r="G862" s="11">
        <v>1173.0</v>
      </c>
    </row>
    <row r="863">
      <c r="A863" s="7" t="s">
        <v>926</v>
      </c>
      <c r="B863" s="7" t="s">
        <v>696</v>
      </c>
      <c r="C863" s="8">
        <v>199.0</v>
      </c>
      <c r="D863" s="8">
        <v>499.0</v>
      </c>
      <c r="E863" s="19">
        <v>0.6</v>
      </c>
      <c r="F863" s="10">
        <v>4.3</v>
      </c>
      <c r="G863" s="11">
        <v>9998.0</v>
      </c>
    </row>
    <row r="864">
      <c r="A864" s="7" t="s">
        <v>927</v>
      </c>
      <c r="B864" s="7" t="s">
        <v>373</v>
      </c>
      <c r="C864" s="8">
        <v>2499.0</v>
      </c>
      <c r="D864" s="8">
        <v>5999.0</v>
      </c>
      <c r="E864" s="19">
        <v>0.58</v>
      </c>
      <c r="F864" s="10">
        <v>4.1</v>
      </c>
      <c r="G864" s="11">
        <v>5852.0</v>
      </c>
    </row>
    <row r="865">
      <c r="A865" s="7" t="s">
        <v>928</v>
      </c>
      <c r="B865" s="7" t="s">
        <v>929</v>
      </c>
      <c r="C865" s="8">
        <v>199.0</v>
      </c>
      <c r="D865" s="8">
        <v>999.0</v>
      </c>
      <c r="E865" s="19">
        <v>0.8</v>
      </c>
      <c r="F865" s="10">
        <v>4.2</v>
      </c>
      <c r="G865" s="10">
        <v>362.0</v>
      </c>
    </row>
    <row r="866">
      <c r="A866" s="7" t="s">
        <v>930</v>
      </c>
      <c r="B866" s="7" t="s">
        <v>386</v>
      </c>
      <c r="C866" s="8">
        <v>939.0</v>
      </c>
      <c r="D866" s="8">
        <v>1800.0</v>
      </c>
      <c r="E866" s="19">
        <v>0.48</v>
      </c>
      <c r="F866" s="10">
        <v>4.5</v>
      </c>
      <c r="G866" s="7" t="s">
        <v>931</v>
      </c>
    </row>
    <row r="867">
      <c r="A867" s="7" t="s">
        <v>932</v>
      </c>
      <c r="B867" s="7" t="s">
        <v>373</v>
      </c>
      <c r="C867" s="8">
        <v>2499.0</v>
      </c>
      <c r="D867" s="8">
        <v>9999.0</v>
      </c>
      <c r="E867" s="19">
        <v>0.75</v>
      </c>
      <c r="F867" s="10">
        <v>4.0</v>
      </c>
      <c r="G867" s="11">
        <v>9090.0</v>
      </c>
    </row>
    <row r="868">
      <c r="A868" s="7" t="s">
        <v>933</v>
      </c>
      <c r="B868" s="7" t="s">
        <v>625</v>
      </c>
      <c r="C868" s="8">
        <v>1439.0</v>
      </c>
      <c r="D868" s="8">
        <v>2890.0</v>
      </c>
      <c r="E868" s="19">
        <v>0.5</v>
      </c>
      <c r="F868" s="10">
        <v>4.5</v>
      </c>
      <c r="G868" s="11">
        <v>4099.0</v>
      </c>
    </row>
    <row r="869">
      <c r="A869" s="7" t="s">
        <v>934</v>
      </c>
      <c r="B869" s="7" t="s">
        <v>393</v>
      </c>
      <c r="C869" s="8">
        <v>1099.0</v>
      </c>
      <c r="D869" s="8">
        <v>5999.0</v>
      </c>
      <c r="E869" s="19">
        <v>0.82</v>
      </c>
      <c r="F869" s="10">
        <v>3.5</v>
      </c>
      <c r="G869" s="11">
        <v>12966.0</v>
      </c>
    </row>
    <row r="870">
      <c r="A870" s="7" t="s">
        <v>935</v>
      </c>
      <c r="B870" s="7" t="s">
        <v>732</v>
      </c>
      <c r="C870" s="8">
        <v>157.0</v>
      </c>
      <c r="D870" s="8">
        <v>160.0</v>
      </c>
      <c r="E870" s="19">
        <v>0.02</v>
      </c>
      <c r="F870" s="10">
        <v>4.5</v>
      </c>
      <c r="G870" s="11">
        <v>4428.0</v>
      </c>
    </row>
    <row r="871">
      <c r="A871" s="7" t="s">
        <v>65</v>
      </c>
      <c r="B871" s="7" t="s">
        <v>25</v>
      </c>
      <c r="C871" s="8">
        <v>999.0</v>
      </c>
      <c r="D871" s="8">
        <v>1599.0</v>
      </c>
      <c r="E871" s="19">
        <v>0.38</v>
      </c>
      <c r="F871" s="10">
        <v>4.3</v>
      </c>
      <c r="G871" s="11">
        <v>12093.0</v>
      </c>
    </row>
    <row r="872">
      <c r="A872" s="7" t="s">
        <v>936</v>
      </c>
      <c r="B872" s="7" t="s">
        <v>685</v>
      </c>
      <c r="C872" s="8">
        <v>115.0</v>
      </c>
      <c r="D872" s="8">
        <v>999.0</v>
      </c>
      <c r="E872" s="19">
        <v>0.88</v>
      </c>
      <c r="F872" s="10">
        <v>3.3</v>
      </c>
      <c r="G872" s="11">
        <v>5692.0</v>
      </c>
    </row>
    <row r="873">
      <c r="A873" s="7" t="s">
        <v>937</v>
      </c>
      <c r="B873" s="7" t="s">
        <v>627</v>
      </c>
      <c r="C873" s="8">
        <v>175.0</v>
      </c>
      <c r="D873" s="8">
        <v>499.0</v>
      </c>
      <c r="E873" s="19">
        <v>0.65</v>
      </c>
      <c r="F873" s="10">
        <v>4.1</v>
      </c>
      <c r="G873" s="10">
        <v>21.0</v>
      </c>
    </row>
    <row r="874">
      <c r="A874" s="7" t="s">
        <v>938</v>
      </c>
      <c r="B874" s="7" t="s">
        <v>769</v>
      </c>
      <c r="C874" s="8">
        <v>1999.0</v>
      </c>
      <c r="D874" s="8">
        <v>4700.0</v>
      </c>
      <c r="E874" s="19">
        <v>0.57</v>
      </c>
      <c r="F874" s="10">
        <v>3.8</v>
      </c>
      <c r="G874" s="11">
        <v>1880.0</v>
      </c>
    </row>
    <row r="875">
      <c r="A875" s="7" t="s">
        <v>939</v>
      </c>
      <c r="B875" s="7" t="s">
        <v>940</v>
      </c>
      <c r="C875" s="8">
        <v>3999.0</v>
      </c>
      <c r="D875" s="8">
        <v>4332.96</v>
      </c>
      <c r="E875" s="19">
        <v>0.08</v>
      </c>
      <c r="F875" s="10">
        <v>3.5</v>
      </c>
      <c r="G875" s="11">
        <v>21762.0</v>
      </c>
    </row>
    <row r="876">
      <c r="A876" s="7" t="s">
        <v>941</v>
      </c>
      <c r="B876" s="7" t="s">
        <v>709</v>
      </c>
      <c r="C876" s="8">
        <v>899.0</v>
      </c>
      <c r="D876" s="8">
        <v>1800.0</v>
      </c>
      <c r="E876" s="19">
        <v>0.5</v>
      </c>
      <c r="F876" s="10">
        <v>4.1</v>
      </c>
      <c r="G876" s="11">
        <v>22375.0</v>
      </c>
    </row>
    <row r="877">
      <c r="A877" s="7" t="s">
        <v>942</v>
      </c>
      <c r="B877" s="7" t="s">
        <v>696</v>
      </c>
      <c r="C877" s="8">
        <v>299.0</v>
      </c>
      <c r="D877" s="8">
        <v>990.0</v>
      </c>
      <c r="E877" s="19">
        <v>0.7</v>
      </c>
      <c r="F877" s="10">
        <v>4.5</v>
      </c>
      <c r="G877" s="11">
        <v>2453.0</v>
      </c>
    </row>
    <row r="878">
      <c r="A878" s="7" t="s">
        <v>943</v>
      </c>
      <c r="B878" s="7" t="s">
        <v>627</v>
      </c>
      <c r="C878" s="8">
        <v>3303.0</v>
      </c>
      <c r="D878" s="8">
        <v>4699.0</v>
      </c>
      <c r="E878" s="19">
        <v>0.3</v>
      </c>
      <c r="F878" s="10">
        <v>4.4</v>
      </c>
      <c r="G878" s="11">
        <v>13544.0</v>
      </c>
    </row>
    <row r="879">
      <c r="A879" s="7" t="s">
        <v>944</v>
      </c>
      <c r="B879" s="7" t="s">
        <v>854</v>
      </c>
      <c r="C879" s="8">
        <v>1890.0</v>
      </c>
      <c r="D879" s="8">
        <v>5490.0</v>
      </c>
      <c r="E879" s="19">
        <v>0.66</v>
      </c>
      <c r="F879" s="10">
        <v>4.1</v>
      </c>
      <c r="G879" s="11">
        <v>10976.0</v>
      </c>
    </row>
    <row r="880">
      <c r="A880" s="7" t="s">
        <v>945</v>
      </c>
      <c r="B880" s="7" t="s">
        <v>811</v>
      </c>
      <c r="C880" s="8">
        <v>90.0</v>
      </c>
      <c r="D880" s="8">
        <v>100.0</v>
      </c>
      <c r="E880" s="19">
        <v>0.1</v>
      </c>
      <c r="F880" s="10">
        <v>4.3</v>
      </c>
      <c r="G880" s="11">
        <v>3061.0</v>
      </c>
    </row>
    <row r="881">
      <c r="A881" s="7" t="s">
        <v>946</v>
      </c>
      <c r="B881" s="7" t="s">
        <v>393</v>
      </c>
      <c r="C881" s="8">
        <v>1599.0</v>
      </c>
      <c r="D881" s="8">
        <v>2790.0</v>
      </c>
      <c r="E881" s="19">
        <v>0.43</v>
      </c>
      <c r="F881" s="10">
        <v>3.6</v>
      </c>
      <c r="G881" s="11">
        <v>2272.0</v>
      </c>
    </row>
    <row r="882">
      <c r="A882" s="7" t="s">
        <v>947</v>
      </c>
      <c r="B882" s="7" t="s">
        <v>858</v>
      </c>
      <c r="C882" s="8">
        <v>599.0</v>
      </c>
      <c r="D882" s="8">
        <v>999.0</v>
      </c>
      <c r="E882" s="19">
        <v>0.4</v>
      </c>
      <c r="F882" s="10">
        <v>4.0</v>
      </c>
      <c r="G882" s="11">
        <v>7601.0</v>
      </c>
    </row>
    <row r="883">
      <c r="A883" s="7" t="s">
        <v>68</v>
      </c>
      <c r="B883" s="7" t="s">
        <v>25</v>
      </c>
      <c r="C883" s="8">
        <v>507.0</v>
      </c>
      <c r="D883" s="8">
        <v>1208.0</v>
      </c>
      <c r="E883" s="19">
        <v>0.58</v>
      </c>
      <c r="F883" s="10">
        <v>4.1</v>
      </c>
      <c r="G883" s="11">
        <v>8131.0</v>
      </c>
    </row>
    <row r="884">
      <c r="A884" s="7" t="s">
        <v>948</v>
      </c>
      <c r="B884" s="7" t="s">
        <v>696</v>
      </c>
      <c r="C884" s="8">
        <v>425.0</v>
      </c>
      <c r="D884" s="8">
        <v>899.0</v>
      </c>
      <c r="E884" s="19">
        <v>0.53</v>
      </c>
      <c r="F884" s="10">
        <v>4.5</v>
      </c>
      <c r="G884" s="11">
        <v>4219.0</v>
      </c>
    </row>
    <row r="885">
      <c r="A885" s="7" t="s">
        <v>949</v>
      </c>
      <c r="B885" s="7" t="s">
        <v>572</v>
      </c>
      <c r="C885" s="8">
        <v>1499.0</v>
      </c>
      <c r="D885" s="8">
        <v>3999.0</v>
      </c>
      <c r="E885" s="19">
        <v>0.63</v>
      </c>
      <c r="F885" s="10">
        <v>4.2</v>
      </c>
      <c r="G885" s="11">
        <v>42775.0</v>
      </c>
    </row>
    <row r="886">
      <c r="A886" s="7" t="s">
        <v>950</v>
      </c>
      <c r="B886" s="7" t="s">
        <v>913</v>
      </c>
      <c r="C886" s="8">
        <v>549.0</v>
      </c>
      <c r="D886" s="8">
        <v>2499.0</v>
      </c>
      <c r="E886" s="19">
        <v>0.78</v>
      </c>
      <c r="F886" s="10">
        <v>4.3</v>
      </c>
      <c r="G886" s="11">
        <v>5556.0</v>
      </c>
    </row>
    <row r="887">
      <c r="A887" s="7" t="s">
        <v>72</v>
      </c>
      <c r="B887" s="7" t="s">
        <v>15</v>
      </c>
      <c r="C887" s="8">
        <v>199.0</v>
      </c>
      <c r="D887" s="8">
        <v>395.0</v>
      </c>
      <c r="E887" s="19">
        <v>0.5</v>
      </c>
      <c r="F887" s="10">
        <v>4.2</v>
      </c>
      <c r="G887" s="11">
        <v>92595.0</v>
      </c>
    </row>
    <row r="888">
      <c r="A888" s="7" t="s">
        <v>951</v>
      </c>
      <c r="B888" s="7" t="s">
        <v>625</v>
      </c>
      <c r="C888" s="8">
        <v>1295.0</v>
      </c>
      <c r="D888" s="8">
        <v>1645.0</v>
      </c>
      <c r="E888" s="19">
        <v>0.21</v>
      </c>
      <c r="F888" s="10">
        <v>4.6</v>
      </c>
      <c r="G888" s="11">
        <v>12375.0</v>
      </c>
    </row>
    <row r="889">
      <c r="A889" s="7" t="s">
        <v>952</v>
      </c>
      <c r="B889" s="7" t="s">
        <v>694</v>
      </c>
      <c r="C889" s="8">
        <v>310.0</v>
      </c>
      <c r="D889" s="8">
        <v>310.0</v>
      </c>
      <c r="E889" s="19">
        <v>0.0</v>
      </c>
      <c r="F889" s="10">
        <v>4.5</v>
      </c>
      <c r="G889" s="11">
        <v>5882.0</v>
      </c>
    </row>
    <row r="890">
      <c r="A890" s="7" t="s">
        <v>575</v>
      </c>
      <c r="B890" s="7" t="s">
        <v>576</v>
      </c>
      <c r="C890" s="8">
        <v>149.0</v>
      </c>
      <c r="D890" s="8">
        <v>149.0</v>
      </c>
      <c r="E890" s="19">
        <v>0.0</v>
      </c>
      <c r="F890" s="10">
        <v>4.3</v>
      </c>
      <c r="G890" s="11">
        <v>10833.0</v>
      </c>
    </row>
    <row r="891">
      <c r="A891" s="7" t="s">
        <v>953</v>
      </c>
      <c r="B891" s="7" t="s">
        <v>660</v>
      </c>
      <c r="C891" s="8">
        <v>1149.0</v>
      </c>
      <c r="D891" s="8">
        <v>1499.0</v>
      </c>
      <c r="E891" s="19">
        <v>0.23</v>
      </c>
      <c r="F891" s="10">
        <v>4.1</v>
      </c>
      <c r="G891" s="11">
        <v>10443.0</v>
      </c>
    </row>
    <row r="892">
      <c r="A892" s="7" t="s">
        <v>954</v>
      </c>
      <c r="B892" s="7" t="s">
        <v>631</v>
      </c>
      <c r="C892" s="8">
        <v>499.0</v>
      </c>
      <c r="D892" s="8">
        <v>1299.0</v>
      </c>
      <c r="E892" s="19">
        <v>0.62</v>
      </c>
      <c r="F892" s="10">
        <v>4.5</v>
      </c>
      <c r="G892" s="10">
        <v>434.0</v>
      </c>
    </row>
    <row r="893">
      <c r="A893" s="7" t="s">
        <v>955</v>
      </c>
      <c r="B893" s="7" t="s">
        <v>393</v>
      </c>
      <c r="C893" s="8">
        <v>999.0</v>
      </c>
      <c r="D893" s="8">
        <v>4199.0</v>
      </c>
      <c r="E893" s="19">
        <v>0.76</v>
      </c>
      <c r="F893" s="10">
        <v>3.5</v>
      </c>
      <c r="G893" s="11">
        <v>1913.0</v>
      </c>
    </row>
    <row r="894">
      <c r="A894" s="7" t="s">
        <v>956</v>
      </c>
      <c r="B894" s="7" t="s">
        <v>875</v>
      </c>
      <c r="C894" s="8">
        <v>1709.0</v>
      </c>
      <c r="D894" s="8">
        <v>4000.0</v>
      </c>
      <c r="E894" s="19">
        <v>0.57</v>
      </c>
      <c r="F894" s="10">
        <v>4.4</v>
      </c>
      <c r="G894" s="11">
        <v>3029.0</v>
      </c>
    </row>
    <row r="895">
      <c r="A895" s="7" t="s">
        <v>957</v>
      </c>
      <c r="B895" s="7" t="s">
        <v>654</v>
      </c>
      <c r="C895" s="8">
        <v>250.0</v>
      </c>
      <c r="D895" s="8">
        <v>250.0</v>
      </c>
      <c r="E895" s="19">
        <v>0.0</v>
      </c>
      <c r="F895" s="10">
        <v>4.2</v>
      </c>
      <c r="G895" s="11">
        <v>2628.0</v>
      </c>
    </row>
    <row r="896">
      <c r="A896" s="7" t="s">
        <v>73</v>
      </c>
      <c r="B896" s="7" t="s">
        <v>25</v>
      </c>
      <c r="C896" s="8">
        <v>1199.0</v>
      </c>
      <c r="D896" s="8">
        <v>2199.0</v>
      </c>
      <c r="E896" s="19">
        <v>0.45</v>
      </c>
      <c r="F896" s="10">
        <v>4.4</v>
      </c>
      <c r="G896" s="11">
        <v>24780.0</v>
      </c>
    </row>
    <row r="897">
      <c r="A897" s="7" t="s">
        <v>958</v>
      </c>
      <c r="B897" s="7" t="s">
        <v>959</v>
      </c>
      <c r="C897" s="8">
        <v>90.0</v>
      </c>
      <c r="D897" s="8">
        <v>100.0</v>
      </c>
      <c r="E897" s="19">
        <v>0.1</v>
      </c>
      <c r="F897" s="10">
        <v>4.4</v>
      </c>
      <c r="G897" s="11">
        <v>10718.0</v>
      </c>
    </row>
    <row r="898">
      <c r="A898" s="7" t="s">
        <v>960</v>
      </c>
      <c r="B898" s="7" t="s">
        <v>502</v>
      </c>
      <c r="C898" s="8">
        <v>2025.0</v>
      </c>
      <c r="D898" s="8">
        <v>5999.0</v>
      </c>
      <c r="E898" s="19">
        <v>0.66</v>
      </c>
      <c r="F898" s="10">
        <v>4.2</v>
      </c>
      <c r="G898" s="11">
        <v>6233.0</v>
      </c>
    </row>
    <row r="899">
      <c r="A899" s="7" t="s">
        <v>961</v>
      </c>
      <c r="B899" s="7" t="s">
        <v>692</v>
      </c>
      <c r="C899" s="8">
        <v>1495.0</v>
      </c>
      <c r="D899" s="8">
        <v>1995.0</v>
      </c>
      <c r="E899" s="19">
        <v>0.25</v>
      </c>
      <c r="F899" s="10">
        <v>4.5</v>
      </c>
      <c r="G899" s="11">
        <v>10541.0</v>
      </c>
    </row>
    <row r="900">
      <c r="A900" s="7" t="s">
        <v>75</v>
      </c>
      <c r="B900" s="7" t="s">
        <v>15</v>
      </c>
      <c r="C900" s="8">
        <v>799.0</v>
      </c>
      <c r="D900" s="8">
        <v>2100.0</v>
      </c>
      <c r="E900" s="19">
        <v>0.62</v>
      </c>
      <c r="F900" s="10">
        <v>4.3</v>
      </c>
      <c r="G900" s="11">
        <v>8188.0</v>
      </c>
    </row>
    <row r="901">
      <c r="A901" s="7" t="s">
        <v>962</v>
      </c>
      <c r="B901" s="7" t="s">
        <v>719</v>
      </c>
      <c r="C901" s="8">
        <v>899.0</v>
      </c>
      <c r="D901" s="8">
        <v>1199.0</v>
      </c>
      <c r="E901" s="19">
        <v>0.25</v>
      </c>
      <c r="F901" s="10">
        <v>3.8</v>
      </c>
      <c r="G901" s="11">
        <v>10751.0</v>
      </c>
    </row>
    <row r="902">
      <c r="A902" s="7" t="s">
        <v>963</v>
      </c>
      <c r="B902" s="7" t="s">
        <v>964</v>
      </c>
      <c r="C902" s="8">
        <v>349.0</v>
      </c>
      <c r="D902" s="8">
        <v>999.0</v>
      </c>
      <c r="E902" s="19">
        <v>0.65</v>
      </c>
      <c r="F902" s="10">
        <v>3.9</v>
      </c>
      <c r="G902" s="10">
        <v>817.0</v>
      </c>
    </row>
    <row r="903">
      <c r="A903" s="7" t="s">
        <v>965</v>
      </c>
      <c r="B903" s="7" t="s">
        <v>377</v>
      </c>
      <c r="C903" s="8">
        <v>900.0</v>
      </c>
      <c r="D903" s="8">
        <v>2499.0</v>
      </c>
      <c r="E903" s="19">
        <v>0.64</v>
      </c>
      <c r="F903" s="10">
        <v>4.0</v>
      </c>
      <c r="G903" s="11">
        <v>36384.0</v>
      </c>
    </row>
    <row r="904">
      <c r="A904" s="7" t="s">
        <v>966</v>
      </c>
      <c r="B904" s="7" t="s">
        <v>769</v>
      </c>
      <c r="C904" s="8">
        <v>2490.0</v>
      </c>
      <c r="D904" s="8">
        <v>3990.0</v>
      </c>
      <c r="E904" s="19">
        <v>0.38</v>
      </c>
      <c r="F904" s="10">
        <v>4.1</v>
      </c>
      <c r="G904" s="11">
        <v>3606.0</v>
      </c>
    </row>
    <row r="905">
      <c r="A905" s="7" t="s">
        <v>967</v>
      </c>
      <c r="B905" s="7" t="s">
        <v>721</v>
      </c>
      <c r="C905" s="8">
        <v>116.0</v>
      </c>
      <c r="D905" s="8">
        <v>200.0</v>
      </c>
      <c r="E905" s="19">
        <v>0.42</v>
      </c>
      <c r="F905" s="10">
        <v>4.4</v>
      </c>
      <c r="G905" s="10">
        <v>357.0</v>
      </c>
    </row>
    <row r="906">
      <c r="A906" s="7" t="s">
        <v>968</v>
      </c>
      <c r="B906" s="7" t="s">
        <v>694</v>
      </c>
      <c r="C906" s="8">
        <v>200.0</v>
      </c>
      <c r="D906" s="8">
        <v>230.0</v>
      </c>
      <c r="E906" s="19">
        <v>0.13</v>
      </c>
      <c r="F906" s="10">
        <v>4.4</v>
      </c>
      <c r="G906" s="11">
        <v>10170.0</v>
      </c>
    </row>
    <row r="907">
      <c r="A907" s="7" t="s">
        <v>969</v>
      </c>
      <c r="B907" s="7" t="s">
        <v>895</v>
      </c>
      <c r="C907" s="8">
        <v>1249.0</v>
      </c>
      <c r="D907" s="8">
        <v>2796.0</v>
      </c>
      <c r="E907" s="19">
        <v>0.55</v>
      </c>
      <c r="F907" s="10">
        <v>4.4</v>
      </c>
      <c r="G907" s="11">
        <v>4598.0</v>
      </c>
    </row>
    <row r="908">
      <c r="A908" s="7" t="s">
        <v>970</v>
      </c>
      <c r="B908" s="7" t="s">
        <v>971</v>
      </c>
      <c r="C908" s="8">
        <v>649.0</v>
      </c>
      <c r="D908" s="8">
        <v>999.0</v>
      </c>
      <c r="E908" s="19">
        <v>0.35</v>
      </c>
      <c r="F908" s="10">
        <v>3.5</v>
      </c>
      <c r="G908" s="11">
        <v>7222.0</v>
      </c>
    </row>
    <row r="909">
      <c r="A909" s="7" t="s">
        <v>972</v>
      </c>
      <c r="B909" s="7" t="s">
        <v>973</v>
      </c>
      <c r="C909" s="8">
        <v>2649.0</v>
      </c>
      <c r="D909" s="8">
        <v>3499.0</v>
      </c>
      <c r="E909" s="19">
        <v>0.24</v>
      </c>
      <c r="F909" s="10">
        <v>4.5</v>
      </c>
      <c r="G909" s="11">
        <v>1271.0</v>
      </c>
    </row>
    <row r="910">
      <c r="A910" s="7" t="s">
        <v>78</v>
      </c>
      <c r="B910" s="7" t="s">
        <v>15</v>
      </c>
      <c r="C910" s="8">
        <v>199.0</v>
      </c>
      <c r="D910" s="8">
        <v>349.0</v>
      </c>
      <c r="E910" s="19">
        <v>0.43</v>
      </c>
      <c r="F910" s="10">
        <v>4.1</v>
      </c>
      <c r="G910" s="10">
        <v>314.0</v>
      </c>
    </row>
    <row r="911">
      <c r="A911" s="7" t="s">
        <v>974</v>
      </c>
      <c r="B911" s="7" t="s">
        <v>683</v>
      </c>
      <c r="C911" s="8">
        <v>596.0</v>
      </c>
      <c r="D911" s="8">
        <v>723.0</v>
      </c>
      <c r="E911" s="19">
        <v>0.18</v>
      </c>
      <c r="F911" s="10">
        <v>4.4</v>
      </c>
      <c r="G911" s="11">
        <v>3219.0</v>
      </c>
    </row>
    <row r="912">
      <c r="A912" s="7" t="s">
        <v>975</v>
      </c>
      <c r="B912" s="7" t="s">
        <v>373</v>
      </c>
      <c r="C912" s="8">
        <v>2499.0</v>
      </c>
      <c r="D912" s="8">
        <v>5999.0</v>
      </c>
      <c r="E912" s="19">
        <v>0.58</v>
      </c>
      <c r="F912" s="10">
        <v>4.1</v>
      </c>
      <c r="G912" s="11">
        <v>38879.0</v>
      </c>
    </row>
    <row r="913">
      <c r="A913" s="7" t="s">
        <v>976</v>
      </c>
      <c r="B913" s="7" t="s">
        <v>977</v>
      </c>
      <c r="C913" s="8">
        <v>4999.0</v>
      </c>
      <c r="D913" s="8">
        <v>12499.0</v>
      </c>
      <c r="E913" s="19">
        <v>0.6</v>
      </c>
      <c r="F913" s="10">
        <v>4.2</v>
      </c>
      <c r="G913" s="11">
        <v>4541.0</v>
      </c>
    </row>
    <row r="914">
      <c r="A914" s="7" t="s">
        <v>978</v>
      </c>
      <c r="B914" s="7" t="s">
        <v>393</v>
      </c>
      <c r="C914" s="8">
        <v>399.0</v>
      </c>
      <c r="D914" s="8">
        <v>1290.0</v>
      </c>
      <c r="E914" s="19">
        <v>0.69</v>
      </c>
      <c r="F914" s="10">
        <v>4.2</v>
      </c>
      <c r="G914" s="11">
        <v>76042.0</v>
      </c>
    </row>
    <row r="915">
      <c r="A915" s="7" t="s">
        <v>979</v>
      </c>
      <c r="B915" s="7" t="s">
        <v>721</v>
      </c>
      <c r="C915" s="8">
        <v>116.0</v>
      </c>
      <c r="D915" s="8">
        <v>200.0</v>
      </c>
      <c r="E915" s="19">
        <v>0.42</v>
      </c>
      <c r="F915" s="10">
        <v>4.3</v>
      </c>
      <c r="G915" s="10">
        <v>485.0</v>
      </c>
    </row>
    <row r="916">
      <c r="A916" s="7" t="s">
        <v>980</v>
      </c>
      <c r="B916" s="7" t="s">
        <v>769</v>
      </c>
      <c r="C916" s="8">
        <v>4499.0</v>
      </c>
      <c r="D916" s="8">
        <v>5999.0</v>
      </c>
      <c r="E916" s="19">
        <v>0.25</v>
      </c>
      <c r="F916" s="10">
        <v>4.3</v>
      </c>
      <c r="G916" s="11">
        <v>44696.0</v>
      </c>
    </row>
    <row r="917">
      <c r="A917" s="7" t="s">
        <v>981</v>
      </c>
      <c r="B917" s="7" t="s">
        <v>793</v>
      </c>
      <c r="C917" s="8">
        <v>330.0</v>
      </c>
      <c r="D917" s="8">
        <v>499.0</v>
      </c>
      <c r="E917" s="19">
        <v>0.34</v>
      </c>
      <c r="F917" s="10">
        <v>3.7</v>
      </c>
      <c r="G917" s="11">
        <v>8566.0</v>
      </c>
    </row>
    <row r="918">
      <c r="A918" s="7" t="s">
        <v>982</v>
      </c>
      <c r="B918" s="7" t="s">
        <v>711</v>
      </c>
      <c r="C918" s="8">
        <v>649.0</v>
      </c>
      <c r="D918" s="8">
        <v>2499.0</v>
      </c>
      <c r="E918" s="19">
        <v>0.74</v>
      </c>
      <c r="F918" s="10">
        <v>3.9</v>
      </c>
      <c r="G918" s="11">
        <v>13049.0</v>
      </c>
    </row>
    <row r="919">
      <c r="A919" s="7" t="s">
        <v>983</v>
      </c>
      <c r="B919" s="7" t="s">
        <v>779</v>
      </c>
      <c r="C919" s="8">
        <v>1234.0</v>
      </c>
      <c r="D919" s="8">
        <v>1599.0</v>
      </c>
      <c r="E919" s="19">
        <v>0.23</v>
      </c>
      <c r="F919" s="10">
        <v>4.5</v>
      </c>
      <c r="G919" s="11">
        <v>16680.0</v>
      </c>
    </row>
    <row r="920">
      <c r="A920" s="7" t="s">
        <v>571</v>
      </c>
      <c r="B920" s="7" t="s">
        <v>572</v>
      </c>
      <c r="C920" s="8">
        <v>1399.0</v>
      </c>
      <c r="D920" s="8">
        <v>2990.0</v>
      </c>
      <c r="E920" s="19">
        <v>0.53</v>
      </c>
      <c r="F920" s="10">
        <v>4.1</v>
      </c>
      <c r="G920" s="11">
        <v>97174.0</v>
      </c>
    </row>
    <row r="921">
      <c r="A921" s="7" t="s">
        <v>984</v>
      </c>
      <c r="B921" s="7" t="s">
        <v>916</v>
      </c>
      <c r="C921" s="8">
        <v>272.0</v>
      </c>
      <c r="D921" s="8">
        <v>320.0</v>
      </c>
      <c r="E921" s="19">
        <v>0.15</v>
      </c>
      <c r="F921" s="10">
        <v>4.0</v>
      </c>
      <c r="G921" s="11">
        <v>3686.0</v>
      </c>
    </row>
    <row r="922">
      <c r="A922" s="7" t="s">
        <v>985</v>
      </c>
      <c r="B922" s="7" t="s">
        <v>986</v>
      </c>
      <c r="C922" s="8">
        <v>99.0</v>
      </c>
      <c r="D922" s="8">
        <v>999.0</v>
      </c>
      <c r="E922" s="19">
        <v>0.9</v>
      </c>
      <c r="F922" s="10">
        <v>3.8</v>
      </c>
      <c r="G922" s="10">
        <v>594.0</v>
      </c>
    </row>
    <row r="923">
      <c r="A923" s="7" t="s">
        <v>987</v>
      </c>
      <c r="B923" s="7" t="s">
        <v>988</v>
      </c>
      <c r="C923" s="8">
        <v>3498.0</v>
      </c>
      <c r="D923" s="8">
        <v>3875.0</v>
      </c>
      <c r="E923" s="19">
        <v>0.1</v>
      </c>
      <c r="F923" s="10">
        <v>3.4</v>
      </c>
      <c r="G923" s="11">
        <v>12185.0</v>
      </c>
    </row>
    <row r="924">
      <c r="A924" s="7" t="s">
        <v>989</v>
      </c>
      <c r="B924" s="7" t="s">
        <v>757</v>
      </c>
      <c r="C924" s="8">
        <v>10099.0</v>
      </c>
      <c r="D924" s="8">
        <v>19110.0</v>
      </c>
      <c r="E924" s="19">
        <v>0.47</v>
      </c>
      <c r="F924" s="10">
        <v>4.3</v>
      </c>
      <c r="G924" s="11">
        <v>2623.0</v>
      </c>
    </row>
    <row r="925">
      <c r="A925" s="7" t="s">
        <v>990</v>
      </c>
      <c r="B925" s="7" t="s">
        <v>806</v>
      </c>
      <c r="C925" s="8">
        <v>449.0</v>
      </c>
      <c r="D925" s="8">
        <v>999.0</v>
      </c>
      <c r="E925" s="19">
        <v>0.55</v>
      </c>
      <c r="F925" s="10">
        <v>4.3</v>
      </c>
      <c r="G925" s="11">
        <v>9701.0</v>
      </c>
    </row>
    <row r="926">
      <c r="A926" s="7" t="s">
        <v>991</v>
      </c>
      <c r="B926" s="7" t="s">
        <v>992</v>
      </c>
      <c r="C926" s="8">
        <v>150.0</v>
      </c>
      <c r="D926" s="8">
        <v>150.0</v>
      </c>
      <c r="E926" s="19">
        <v>0.0</v>
      </c>
      <c r="F926" s="10">
        <v>4.3</v>
      </c>
      <c r="G926" s="11">
        <v>15867.0</v>
      </c>
    </row>
    <row r="927">
      <c r="A927" s="7" t="s">
        <v>82</v>
      </c>
      <c r="B927" s="7" t="s">
        <v>15</v>
      </c>
      <c r="C927" s="8">
        <v>348.0</v>
      </c>
      <c r="D927" s="8">
        <v>1499.0</v>
      </c>
      <c r="E927" s="19">
        <v>0.77</v>
      </c>
      <c r="F927" s="10">
        <v>4.2</v>
      </c>
      <c r="G927" s="10">
        <v>656.0</v>
      </c>
    </row>
    <row r="928">
      <c r="A928" s="7" t="s">
        <v>993</v>
      </c>
      <c r="B928" s="7" t="s">
        <v>709</v>
      </c>
      <c r="C928" s="8">
        <v>1199.0</v>
      </c>
      <c r="D928" s="8">
        <v>2999.0</v>
      </c>
      <c r="E928" s="19">
        <v>0.6</v>
      </c>
      <c r="F928" s="10">
        <v>4.1</v>
      </c>
      <c r="G928" s="11">
        <v>10725.0</v>
      </c>
    </row>
    <row r="929">
      <c r="A929" s="7" t="s">
        <v>994</v>
      </c>
      <c r="B929" s="7" t="s">
        <v>698</v>
      </c>
      <c r="C929" s="8">
        <v>397.0</v>
      </c>
      <c r="D929" s="8">
        <v>899.0</v>
      </c>
      <c r="E929" s="19">
        <v>0.56</v>
      </c>
      <c r="F929" s="10">
        <v>4.0</v>
      </c>
      <c r="G929" s="11">
        <v>3025.0</v>
      </c>
    </row>
    <row r="930">
      <c r="A930" s="7" t="s">
        <v>83</v>
      </c>
      <c r="B930" s="7" t="s">
        <v>15</v>
      </c>
      <c r="C930" s="8">
        <v>154.0</v>
      </c>
      <c r="D930" s="8">
        <v>349.0</v>
      </c>
      <c r="E930" s="19">
        <v>0.56</v>
      </c>
      <c r="F930" s="10">
        <v>4.3</v>
      </c>
      <c r="G930" s="11">
        <v>7064.0</v>
      </c>
    </row>
    <row r="931">
      <c r="A931" s="7" t="s">
        <v>995</v>
      </c>
      <c r="B931" s="7" t="s">
        <v>781</v>
      </c>
      <c r="C931" s="8">
        <v>699.0</v>
      </c>
      <c r="D931" s="8">
        <v>1490.0</v>
      </c>
      <c r="E931" s="19">
        <v>0.53</v>
      </c>
      <c r="F931" s="10">
        <v>4.0</v>
      </c>
      <c r="G931" s="11">
        <v>5736.0</v>
      </c>
    </row>
    <row r="932">
      <c r="A932" s="7" t="s">
        <v>996</v>
      </c>
      <c r="B932" s="7" t="s">
        <v>393</v>
      </c>
      <c r="C932" s="8">
        <v>1679.0</v>
      </c>
      <c r="D932" s="8">
        <v>1999.0</v>
      </c>
      <c r="E932" s="19">
        <v>0.16</v>
      </c>
      <c r="F932" s="10">
        <v>4.1</v>
      </c>
      <c r="G932" s="11">
        <v>72563.0</v>
      </c>
    </row>
    <row r="933">
      <c r="A933" s="7" t="s">
        <v>997</v>
      </c>
      <c r="B933" s="7" t="s">
        <v>627</v>
      </c>
      <c r="C933" s="8">
        <v>354.0</v>
      </c>
      <c r="D933" s="8">
        <v>1500.0</v>
      </c>
      <c r="E933" s="19">
        <v>0.76</v>
      </c>
      <c r="F933" s="10">
        <v>4.0</v>
      </c>
      <c r="G933" s="11">
        <v>1026.0</v>
      </c>
    </row>
    <row r="934">
      <c r="A934" s="7" t="s">
        <v>998</v>
      </c>
      <c r="B934" s="7" t="s">
        <v>999</v>
      </c>
      <c r="C934" s="8">
        <v>1199.0</v>
      </c>
      <c r="D934" s="8">
        <v>5499.0</v>
      </c>
      <c r="E934" s="19">
        <v>0.78</v>
      </c>
      <c r="F934" s="10">
        <v>3.8</v>
      </c>
      <c r="G934" s="11">
        <v>2043.0</v>
      </c>
    </row>
    <row r="935">
      <c r="A935" s="7" t="s">
        <v>1000</v>
      </c>
      <c r="B935" s="7" t="s">
        <v>779</v>
      </c>
      <c r="C935" s="8">
        <v>379.0</v>
      </c>
      <c r="D935" s="8">
        <v>1499.0</v>
      </c>
      <c r="E935" s="19">
        <v>0.75</v>
      </c>
      <c r="F935" s="10">
        <v>4.2</v>
      </c>
      <c r="G935" s="11">
        <v>4149.0</v>
      </c>
    </row>
    <row r="936">
      <c r="A936" s="7" t="s">
        <v>1001</v>
      </c>
      <c r="B936" s="7" t="s">
        <v>662</v>
      </c>
      <c r="C936" s="8">
        <v>499.0</v>
      </c>
      <c r="D936" s="8">
        <v>775.0</v>
      </c>
      <c r="E936" s="19">
        <v>0.36</v>
      </c>
      <c r="F936" s="10">
        <v>4.3</v>
      </c>
      <c r="G936" s="10">
        <v>74.0</v>
      </c>
    </row>
    <row r="937">
      <c r="A937" s="7" t="s">
        <v>1002</v>
      </c>
      <c r="B937" s="7" t="s">
        <v>1003</v>
      </c>
      <c r="C937" s="8">
        <v>10389.0</v>
      </c>
      <c r="D937" s="8">
        <v>32000.0</v>
      </c>
      <c r="E937" s="19">
        <v>0.68</v>
      </c>
      <c r="F937" s="10">
        <v>4.4</v>
      </c>
      <c r="G937" s="11">
        <v>41398.0</v>
      </c>
    </row>
    <row r="938">
      <c r="A938" s="7" t="s">
        <v>1004</v>
      </c>
      <c r="B938" s="7" t="s">
        <v>907</v>
      </c>
      <c r="C938" s="8">
        <v>649.0</v>
      </c>
      <c r="D938" s="8">
        <v>1300.0</v>
      </c>
      <c r="E938" s="19">
        <v>0.5</v>
      </c>
      <c r="F938" s="10">
        <v>4.1</v>
      </c>
      <c r="G938" s="11">
        <v>5195.0</v>
      </c>
    </row>
    <row r="939">
      <c r="A939" s="7" t="s">
        <v>1005</v>
      </c>
      <c r="B939" s="7" t="s">
        <v>1006</v>
      </c>
      <c r="C939" s="8">
        <v>1199.0</v>
      </c>
      <c r="D939" s="8">
        <v>1999.0</v>
      </c>
      <c r="E939" s="19">
        <v>0.4</v>
      </c>
      <c r="F939" s="10">
        <v>4.5</v>
      </c>
      <c r="G939" s="11">
        <v>22420.0</v>
      </c>
    </row>
    <row r="940">
      <c r="A940" s="7" t="s">
        <v>86</v>
      </c>
      <c r="B940" s="7" t="s">
        <v>15</v>
      </c>
      <c r="C940" s="8">
        <v>139.0</v>
      </c>
      <c r="D940" s="8">
        <v>999.0</v>
      </c>
      <c r="E940" s="19">
        <v>0.86</v>
      </c>
      <c r="F940" s="10">
        <v>4.0</v>
      </c>
      <c r="G940" s="11">
        <v>1313.0</v>
      </c>
    </row>
    <row r="941">
      <c r="A941" s="7" t="s">
        <v>1007</v>
      </c>
      <c r="B941" s="7" t="s">
        <v>393</v>
      </c>
      <c r="C941" s="8">
        <v>889.0</v>
      </c>
      <c r="D941" s="8">
        <v>1999.0</v>
      </c>
      <c r="E941" s="19">
        <v>0.56</v>
      </c>
      <c r="F941" s="10">
        <v>4.2</v>
      </c>
      <c r="G941" s="11">
        <v>2284.0</v>
      </c>
    </row>
    <row r="942">
      <c r="A942" s="7" t="s">
        <v>1008</v>
      </c>
      <c r="B942" s="7" t="s">
        <v>660</v>
      </c>
      <c r="C942" s="8">
        <v>1409.0</v>
      </c>
      <c r="D942" s="8">
        <v>2199.0</v>
      </c>
      <c r="E942" s="19">
        <v>0.36</v>
      </c>
      <c r="F942" s="10">
        <v>3.9</v>
      </c>
      <c r="G942" s="10">
        <v>427.0</v>
      </c>
    </row>
    <row r="943">
      <c r="A943" s="7" t="s">
        <v>1009</v>
      </c>
      <c r="B943" s="7" t="s">
        <v>1010</v>
      </c>
      <c r="C943" s="8">
        <v>549.0</v>
      </c>
      <c r="D943" s="8">
        <v>1999.0</v>
      </c>
      <c r="E943" s="19">
        <v>0.73</v>
      </c>
      <c r="F943" s="10">
        <v>4.3</v>
      </c>
      <c r="G943" s="11">
        <v>1367.0</v>
      </c>
    </row>
    <row r="944">
      <c r="A944" s="7" t="s">
        <v>1011</v>
      </c>
      <c r="B944" s="7" t="s">
        <v>999</v>
      </c>
      <c r="C944" s="8">
        <v>749.0</v>
      </c>
      <c r="D944" s="8">
        <v>1799.0</v>
      </c>
      <c r="E944" s="19">
        <v>0.58</v>
      </c>
      <c r="F944" s="10">
        <v>4.0</v>
      </c>
      <c r="G944" s="11">
        <v>13199.0</v>
      </c>
    </row>
    <row r="945">
      <c r="A945" s="7" t="s">
        <v>87</v>
      </c>
      <c r="B945" s="7" t="s">
        <v>15</v>
      </c>
      <c r="C945" s="8">
        <v>329.0</v>
      </c>
      <c r="D945" s="8">
        <v>845.0</v>
      </c>
      <c r="E945" s="19">
        <v>0.61</v>
      </c>
      <c r="F945" s="10">
        <v>4.2</v>
      </c>
      <c r="G945" s="11">
        <v>29746.0</v>
      </c>
    </row>
    <row r="946">
      <c r="A946" s="7" t="s">
        <v>1012</v>
      </c>
      <c r="B946" s="7" t="s">
        <v>15</v>
      </c>
      <c r="C946" s="8">
        <v>379.0</v>
      </c>
      <c r="D946" s="8">
        <v>1099.0</v>
      </c>
      <c r="E946" s="19">
        <v>0.66</v>
      </c>
      <c r="F946" s="10">
        <v>4.3</v>
      </c>
      <c r="G946" s="11">
        <v>2806.0</v>
      </c>
    </row>
    <row r="947">
      <c r="A947" s="7" t="s">
        <v>1013</v>
      </c>
      <c r="B947" s="7" t="s">
        <v>373</v>
      </c>
      <c r="C947" s="8">
        <v>5998.0</v>
      </c>
      <c r="D947" s="8">
        <v>7999.0</v>
      </c>
      <c r="E947" s="19">
        <v>0.25</v>
      </c>
      <c r="F947" s="10">
        <v>4.2</v>
      </c>
      <c r="G947" s="11">
        <v>30355.0</v>
      </c>
    </row>
    <row r="948">
      <c r="A948" s="7" t="s">
        <v>1014</v>
      </c>
      <c r="B948" s="7" t="s">
        <v>806</v>
      </c>
      <c r="C948" s="8">
        <v>299.0</v>
      </c>
      <c r="D948" s="8">
        <v>1499.0</v>
      </c>
      <c r="E948" s="19">
        <v>0.8</v>
      </c>
      <c r="F948" s="10">
        <v>4.2</v>
      </c>
      <c r="G948" s="11">
        <v>2868.0</v>
      </c>
    </row>
    <row r="949">
      <c r="A949" s="7" t="s">
        <v>1015</v>
      </c>
      <c r="B949" s="7" t="s">
        <v>779</v>
      </c>
      <c r="C949" s="8">
        <v>379.0</v>
      </c>
      <c r="D949" s="8">
        <v>1499.0</v>
      </c>
      <c r="E949" s="19">
        <v>0.75</v>
      </c>
      <c r="F949" s="10">
        <v>4.1</v>
      </c>
      <c r="G949" s="10">
        <v>670.0</v>
      </c>
    </row>
    <row r="950">
      <c r="A950" s="7" t="s">
        <v>1016</v>
      </c>
      <c r="B950" s="7" t="s">
        <v>1017</v>
      </c>
      <c r="C950" s="8">
        <v>1399.0</v>
      </c>
      <c r="D950" s="8">
        <v>2999.0</v>
      </c>
      <c r="E950" s="19">
        <v>0.53</v>
      </c>
      <c r="F950" s="10">
        <v>4.3</v>
      </c>
      <c r="G950" s="11">
        <v>3530.0</v>
      </c>
    </row>
    <row r="951">
      <c r="A951" s="7" t="s">
        <v>1018</v>
      </c>
      <c r="B951" s="7" t="s">
        <v>1019</v>
      </c>
      <c r="C951" s="8">
        <v>699.0</v>
      </c>
      <c r="D951" s="8">
        <v>1299.0</v>
      </c>
      <c r="E951" s="19">
        <v>0.46</v>
      </c>
      <c r="F951" s="10">
        <v>4.3</v>
      </c>
      <c r="G951" s="11">
        <v>6183.0</v>
      </c>
    </row>
    <row r="952">
      <c r="A952" s="7" t="s">
        <v>1020</v>
      </c>
      <c r="B952" s="7" t="s">
        <v>817</v>
      </c>
      <c r="C952" s="8">
        <v>300.0</v>
      </c>
      <c r="D952" s="8">
        <v>300.0</v>
      </c>
      <c r="E952" s="19">
        <v>0.0</v>
      </c>
      <c r="F952" s="10">
        <v>4.2</v>
      </c>
      <c r="G952" s="10">
        <v>419.0</v>
      </c>
    </row>
    <row r="953">
      <c r="A953" s="7" t="s">
        <v>1021</v>
      </c>
      <c r="B953" s="7" t="s">
        <v>696</v>
      </c>
      <c r="C953" s="8">
        <v>999.0</v>
      </c>
      <c r="D953" s="8">
        <v>1995.0</v>
      </c>
      <c r="E953" s="19">
        <v>0.5</v>
      </c>
      <c r="F953" s="10">
        <v>4.5</v>
      </c>
      <c r="G953" s="11">
        <v>7317.0</v>
      </c>
    </row>
    <row r="954">
      <c r="A954" s="7" t="s">
        <v>1022</v>
      </c>
      <c r="B954" s="7" t="s">
        <v>1023</v>
      </c>
      <c r="C954" s="8">
        <v>535.0</v>
      </c>
      <c r="D954" s="8">
        <v>535.0</v>
      </c>
      <c r="E954" s="19">
        <v>0.0</v>
      </c>
      <c r="F954" s="10">
        <v>4.4</v>
      </c>
      <c r="G954" s="11">
        <v>4426.0</v>
      </c>
    </row>
    <row r="955">
      <c r="A955" s="7" t="s">
        <v>88</v>
      </c>
      <c r="B955" s="7" t="s">
        <v>37</v>
      </c>
      <c r="C955" s="8">
        <v>13999.0</v>
      </c>
      <c r="D955" s="8">
        <v>24999.0</v>
      </c>
      <c r="E955" s="19">
        <v>0.44</v>
      </c>
      <c r="F955" s="10">
        <v>4.2</v>
      </c>
      <c r="G955" s="11">
        <v>45237.0</v>
      </c>
    </row>
    <row r="956">
      <c r="A956" s="7" t="s">
        <v>1024</v>
      </c>
      <c r="B956" s="7" t="s">
        <v>806</v>
      </c>
      <c r="C956" s="8">
        <v>269.0</v>
      </c>
      <c r="D956" s="8">
        <v>1099.0</v>
      </c>
      <c r="E956" s="19">
        <v>0.76</v>
      </c>
      <c r="F956" s="10">
        <v>4.1</v>
      </c>
      <c r="G956" s="11">
        <v>1092.0</v>
      </c>
    </row>
    <row r="957">
      <c r="A957" s="7" t="s">
        <v>1025</v>
      </c>
      <c r="B957" s="7" t="s">
        <v>916</v>
      </c>
      <c r="C957" s="8">
        <v>341.0</v>
      </c>
      <c r="D957" s="8">
        <v>450.0</v>
      </c>
      <c r="E957" s="19">
        <v>0.24</v>
      </c>
      <c r="F957" s="10">
        <v>4.3</v>
      </c>
      <c r="G957" s="11">
        <v>2493.0</v>
      </c>
    </row>
    <row r="958">
      <c r="A958" s="7" t="s">
        <v>1026</v>
      </c>
      <c r="B958" s="7" t="s">
        <v>709</v>
      </c>
      <c r="C958" s="8">
        <v>2499.0</v>
      </c>
      <c r="D958" s="8">
        <v>3999.0</v>
      </c>
      <c r="E958" s="19">
        <v>0.38</v>
      </c>
      <c r="F958" s="10">
        <v>4.4</v>
      </c>
      <c r="G958" s="11">
        <v>12679.0</v>
      </c>
    </row>
    <row r="959">
      <c r="A959" s="7" t="s">
        <v>96</v>
      </c>
      <c r="B959" s="7" t="s">
        <v>15</v>
      </c>
      <c r="C959" s="8">
        <v>349.0</v>
      </c>
      <c r="D959" s="8">
        <v>599.0</v>
      </c>
      <c r="E959" s="19">
        <v>0.42</v>
      </c>
      <c r="F959" s="10">
        <v>4.1</v>
      </c>
      <c r="G959" s="10">
        <v>210.0</v>
      </c>
    </row>
    <row r="960">
      <c r="A960" s="7" t="s">
        <v>1027</v>
      </c>
      <c r="B960" s="7" t="s">
        <v>940</v>
      </c>
      <c r="C960" s="8">
        <v>5899.0</v>
      </c>
      <c r="D960" s="8">
        <v>7005.0</v>
      </c>
      <c r="E960" s="19">
        <v>0.16</v>
      </c>
      <c r="F960" s="10">
        <v>3.6</v>
      </c>
      <c r="G960" s="11">
        <v>4199.0</v>
      </c>
    </row>
    <row r="961">
      <c r="A961" s="7" t="s">
        <v>592</v>
      </c>
      <c r="B961" s="7" t="s">
        <v>409</v>
      </c>
      <c r="C961" s="8">
        <v>699.0</v>
      </c>
      <c r="D961" s="8">
        <v>1199.0</v>
      </c>
      <c r="E961" s="19">
        <v>0.42</v>
      </c>
      <c r="F961" s="10">
        <v>4.0</v>
      </c>
      <c r="G961" s="11">
        <v>14403.0</v>
      </c>
    </row>
    <row r="962">
      <c r="A962" s="7" t="s">
        <v>1028</v>
      </c>
      <c r="B962" s="7" t="s">
        <v>709</v>
      </c>
      <c r="C962" s="8">
        <v>1565.0</v>
      </c>
      <c r="D962" s="8">
        <v>2999.0</v>
      </c>
      <c r="E962" s="19">
        <v>0.48</v>
      </c>
      <c r="F962" s="10">
        <v>4.0</v>
      </c>
      <c r="G962" s="11">
        <v>11113.0</v>
      </c>
    </row>
    <row r="963">
      <c r="A963" s="7" t="s">
        <v>1029</v>
      </c>
      <c r="B963" s="7" t="s">
        <v>668</v>
      </c>
      <c r="C963" s="8">
        <v>326.0</v>
      </c>
      <c r="D963" s="8">
        <v>799.0</v>
      </c>
      <c r="E963" s="19">
        <v>0.59</v>
      </c>
      <c r="F963" s="10">
        <v>4.4</v>
      </c>
      <c r="G963" s="11">
        <v>10773.0</v>
      </c>
    </row>
    <row r="964">
      <c r="A964" s="7" t="s">
        <v>588</v>
      </c>
      <c r="B964" s="7" t="s">
        <v>589</v>
      </c>
      <c r="C964" s="8">
        <v>120.0</v>
      </c>
      <c r="D964" s="8">
        <v>999.0</v>
      </c>
      <c r="E964" s="19">
        <v>0.88</v>
      </c>
      <c r="F964" s="10">
        <v>3.9</v>
      </c>
      <c r="G964" s="11">
        <v>6491.0</v>
      </c>
    </row>
    <row r="965">
      <c r="A965" s="7" t="s">
        <v>1030</v>
      </c>
      <c r="B965" s="7" t="s">
        <v>662</v>
      </c>
      <c r="C965" s="8">
        <v>657.0</v>
      </c>
      <c r="D965" s="8">
        <v>999.0</v>
      </c>
      <c r="E965" s="19">
        <v>0.34</v>
      </c>
      <c r="F965" s="10">
        <v>4.3</v>
      </c>
      <c r="G965" s="11">
        <v>13944.0</v>
      </c>
    </row>
    <row r="966">
      <c r="A966" s="7" t="s">
        <v>1031</v>
      </c>
      <c r="B966" s="7" t="s">
        <v>692</v>
      </c>
      <c r="C966" s="8">
        <v>1995.0</v>
      </c>
      <c r="D966" s="8">
        <v>2895.0</v>
      </c>
      <c r="E966" s="19">
        <v>0.31</v>
      </c>
      <c r="F966" s="10">
        <v>4.6</v>
      </c>
      <c r="G966" s="11">
        <v>10760.0</v>
      </c>
    </row>
    <row r="967">
      <c r="A967" s="7" t="s">
        <v>1032</v>
      </c>
      <c r="B967" s="7" t="s">
        <v>721</v>
      </c>
      <c r="C967" s="8">
        <v>1500.0</v>
      </c>
      <c r="D967" s="8">
        <v>1500.0</v>
      </c>
      <c r="E967" s="19">
        <v>0.0</v>
      </c>
      <c r="F967" s="10">
        <v>4.4</v>
      </c>
      <c r="G967" s="11">
        <v>25996.0</v>
      </c>
    </row>
    <row r="968">
      <c r="A968" s="7" t="s">
        <v>1033</v>
      </c>
      <c r="B968" s="7" t="s">
        <v>647</v>
      </c>
      <c r="C968" s="8">
        <v>2640.0</v>
      </c>
      <c r="D968" s="8">
        <v>3195.0</v>
      </c>
      <c r="E968" s="19">
        <v>0.17</v>
      </c>
      <c r="F968" s="10">
        <v>4.5</v>
      </c>
      <c r="G968" s="11">
        <v>16146.0</v>
      </c>
    </row>
    <row r="969">
      <c r="A969" s="7" t="s">
        <v>1034</v>
      </c>
      <c r="B969" s="7" t="s">
        <v>940</v>
      </c>
      <c r="C969" s="8">
        <v>5299.0</v>
      </c>
      <c r="D969" s="8">
        <v>6355.0</v>
      </c>
      <c r="E969" s="19">
        <v>0.17</v>
      </c>
      <c r="F969" s="10">
        <v>3.9</v>
      </c>
      <c r="G969" s="11">
        <v>8280.0</v>
      </c>
    </row>
    <row r="970">
      <c r="A970" s="7" t="s">
        <v>90</v>
      </c>
      <c r="B970" s="7" t="s">
        <v>15</v>
      </c>
      <c r="C970" s="8">
        <v>263.0</v>
      </c>
      <c r="D970" s="8">
        <v>699.0</v>
      </c>
      <c r="E970" s="19">
        <v>0.62</v>
      </c>
      <c r="F970" s="10">
        <v>4.1</v>
      </c>
      <c r="G970" s="10">
        <v>450.0</v>
      </c>
    </row>
    <row r="971">
      <c r="A971" s="7" t="s">
        <v>1035</v>
      </c>
      <c r="B971" s="7" t="s">
        <v>999</v>
      </c>
      <c r="C971" s="8">
        <v>1990.0</v>
      </c>
      <c r="D971" s="8">
        <v>2999.0</v>
      </c>
      <c r="E971" s="19">
        <v>0.34</v>
      </c>
      <c r="F971" s="10">
        <v>4.3</v>
      </c>
      <c r="G971" s="11">
        <v>14237.0</v>
      </c>
    </row>
    <row r="972">
      <c r="A972" s="7" t="s">
        <v>1036</v>
      </c>
      <c r="B972" s="7" t="s">
        <v>1037</v>
      </c>
      <c r="C972" s="8">
        <v>1289.0</v>
      </c>
      <c r="D972" s="8">
        <v>1499.0</v>
      </c>
      <c r="E972" s="19">
        <v>0.14</v>
      </c>
      <c r="F972" s="10">
        <v>4.5</v>
      </c>
      <c r="G972" s="11">
        <v>20668.0</v>
      </c>
    </row>
    <row r="973">
      <c r="A973" s="7" t="s">
        <v>1038</v>
      </c>
      <c r="B973" s="7" t="s">
        <v>817</v>
      </c>
      <c r="C973" s="8">
        <v>165.0</v>
      </c>
      <c r="D973" s="8">
        <v>165.0</v>
      </c>
      <c r="E973" s="19">
        <v>0.0</v>
      </c>
      <c r="F973" s="10">
        <v>4.5</v>
      </c>
      <c r="G973" s="11">
        <v>1674.0</v>
      </c>
    </row>
    <row r="974">
      <c r="A974" s="7" t="s">
        <v>1039</v>
      </c>
      <c r="B974" s="7" t="s">
        <v>895</v>
      </c>
      <c r="C974" s="8">
        <v>1699.0</v>
      </c>
      <c r="D974" s="8">
        <v>3499.0</v>
      </c>
      <c r="E974" s="19">
        <v>0.51</v>
      </c>
      <c r="F974" s="10">
        <v>3.6</v>
      </c>
      <c r="G974" s="11">
        <v>7689.0</v>
      </c>
    </row>
    <row r="975">
      <c r="A975" s="7" t="s">
        <v>1040</v>
      </c>
      <c r="B975" s="7" t="s">
        <v>769</v>
      </c>
      <c r="C975" s="8">
        <v>2299.0</v>
      </c>
      <c r="D975" s="8">
        <v>7500.0</v>
      </c>
      <c r="E975" s="19">
        <v>0.69</v>
      </c>
      <c r="F975" s="10">
        <v>4.1</v>
      </c>
      <c r="G975" s="11">
        <v>5554.0</v>
      </c>
    </row>
    <row r="976">
      <c r="A976" s="7" t="s">
        <v>94</v>
      </c>
      <c r="B976" s="7" t="s">
        <v>15</v>
      </c>
      <c r="C976" s="8">
        <v>219.0</v>
      </c>
      <c r="D976" s="8">
        <v>700.0</v>
      </c>
      <c r="E976" s="19">
        <v>0.69</v>
      </c>
      <c r="F976" s="10">
        <v>4.3</v>
      </c>
      <c r="G976" s="11">
        <v>20053.0</v>
      </c>
    </row>
    <row r="977">
      <c r="A977" s="7" t="s">
        <v>1041</v>
      </c>
      <c r="B977" s="7" t="s">
        <v>759</v>
      </c>
      <c r="C977" s="8">
        <v>39.0</v>
      </c>
      <c r="D977" s="8">
        <v>39.0</v>
      </c>
      <c r="E977" s="19">
        <v>0.0</v>
      </c>
      <c r="F977" s="10">
        <v>3.8</v>
      </c>
      <c r="G977" s="11">
        <v>3344.0</v>
      </c>
    </row>
    <row r="978">
      <c r="A978" s="7" t="s">
        <v>1042</v>
      </c>
      <c r="B978" s="7" t="s">
        <v>1043</v>
      </c>
      <c r="C978" s="8">
        <v>26999.0</v>
      </c>
      <c r="D978" s="8">
        <v>37999.0</v>
      </c>
      <c r="E978" s="19">
        <v>0.29</v>
      </c>
      <c r="F978" s="10">
        <v>4.6</v>
      </c>
      <c r="G978" s="11">
        <v>2886.0</v>
      </c>
    </row>
    <row r="979">
      <c r="A979" s="7" t="s">
        <v>1044</v>
      </c>
      <c r="B979" s="7" t="s">
        <v>393</v>
      </c>
      <c r="C979" s="8">
        <v>1490.0</v>
      </c>
      <c r="D979" s="8">
        <v>1990.0</v>
      </c>
      <c r="E979" s="19">
        <v>0.25</v>
      </c>
      <c r="F979" s="10">
        <v>4.1</v>
      </c>
      <c r="G979" s="11">
        <v>98250.0</v>
      </c>
    </row>
    <row r="980">
      <c r="A980" s="7" t="s">
        <v>1045</v>
      </c>
      <c r="B980" s="7" t="s">
        <v>631</v>
      </c>
      <c r="C980" s="8">
        <v>398.0</v>
      </c>
      <c r="D980" s="8">
        <v>1949.0</v>
      </c>
      <c r="E980" s="19">
        <v>0.8</v>
      </c>
      <c r="F980" s="10">
        <v>4.0</v>
      </c>
      <c r="G980" s="10">
        <v>75.0</v>
      </c>
    </row>
    <row r="981">
      <c r="A981" s="7" t="s">
        <v>95</v>
      </c>
      <c r="B981" s="7" t="s">
        <v>15</v>
      </c>
      <c r="C981" s="8">
        <v>349.0</v>
      </c>
      <c r="D981" s="8">
        <v>899.0</v>
      </c>
      <c r="E981" s="19">
        <v>0.61</v>
      </c>
      <c r="F981" s="10">
        <v>4.5</v>
      </c>
      <c r="G981" s="10">
        <v>149.0</v>
      </c>
    </row>
    <row r="982">
      <c r="A982" s="7" t="s">
        <v>1046</v>
      </c>
      <c r="B982" s="7" t="s">
        <v>895</v>
      </c>
      <c r="C982" s="8">
        <v>770.0</v>
      </c>
      <c r="D982" s="8">
        <v>1547.0</v>
      </c>
      <c r="E982" s="19">
        <v>0.5</v>
      </c>
      <c r="F982" s="10">
        <v>4.3</v>
      </c>
      <c r="G982" s="11">
        <v>2585.0</v>
      </c>
    </row>
    <row r="983">
      <c r="A983" s="7" t="s">
        <v>1047</v>
      </c>
      <c r="B983" s="7" t="s">
        <v>450</v>
      </c>
      <c r="C983" s="8">
        <v>279.0</v>
      </c>
      <c r="D983" s="8">
        <v>1299.0</v>
      </c>
      <c r="E983" s="19">
        <v>0.79</v>
      </c>
      <c r="F983" s="10">
        <v>4.0</v>
      </c>
      <c r="G983" s="11">
        <v>5072.0</v>
      </c>
    </row>
    <row r="984">
      <c r="A984" s="7" t="s">
        <v>1048</v>
      </c>
      <c r="B984" s="7" t="s">
        <v>1049</v>
      </c>
      <c r="C984" s="8">
        <v>249.0</v>
      </c>
      <c r="D984" s="8">
        <v>599.0</v>
      </c>
      <c r="E984" s="19">
        <v>0.58</v>
      </c>
      <c r="F984" s="10">
        <v>4.5</v>
      </c>
      <c r="G984" s="11">
        <v>5985.0</v>
      </c>
    </row>
    <row r="985">
      <c r="A985" s="7" t="s">
        <v>98</v>
      </c>
      <c r="B985" s="7" t="s">
        <v>15</v>
      </c>
      <c r="C985" s="8">
        <v>115.0</v>
      </c>
      <c r="D985" s="8">
        <v>499.0</v>
      </c>
      <c r="E985" s="19">
        <v>0.77</v>
      </c>
      <c r="F985" s="10">
        <v>4.0</v>
      </c>
      <c r="G985" s="11">
        <v>7732.0</v>
      </c>
    </row>
    <row r="986">
      <c r="A986" s="7" t="s">
        <v>1050</v>
      </c>
      <c r="B986" s="7" t="s">
        <v>1051</v>
      </c>
      <c r="C986" s="8">
        <v>230.0</v>
      </c>
      <c r="D986" s="8">
        <v>230.0</v>
      </c>
      <c r="E986" s="19">
        <v>0.0</v>
      </c>
      <c r="F986" s="10">
        <v>4.5</v>
      </c>
      <c r="G986" s="11">
        <v>9427.0</v>
      </c>
    </row>
    <row r="987">
      <c r="A987" s="7" t="s">
        <v>99</v>
      </c>
      <c r="B987" s="7" t="s">
        <v>15</v>
      </c>
      <c r="C987" s="8">
        <v>399.0</v>
      </c>
      <c r="D987" s="8">
        <v>999.0</v>
      </c>
      <c r="E987" s="19">
        <v>0.6</v>
      </c>
      <c r="F987" s="10">
        <v>4.1</v>
      </c>
      <c r="G987" s="11">
        <v>1780.0</v>
      </c>
    </row>
    <row r="988">
      <c r="A988" s="7" t="s">
        <v>1052</v>
      </c>
      <c r="B988" s="7" t="s">
        <v>692</v>
      </c>
      <c r="C988" s="8">
        <v>599.0</v>
      </c>
      <c r="D988" s="8">
        <v>700.0</v>
      </c>
      <c r="E988" s="19">
        <v>0.14</v>
      </c>
      <c r="F988" s="10">
        <v>4.3</v>
      </c>
      <c r="G988" s="11">
        <v>2301.0</v>
      </c>
    </row>
    <row r="989">
      <c r="A989" s="7" t="s">
        <v>1053</v>
      </c>
      <c r="B989" s="7" t="s">
        <v>1054</v>
      </c>
      <c r="C989" s="8">
        <v>598.0</v>
      </c>
      <c r="D989" s="8">
        <v>1150.0</v>
      </c>
      <c r="E989" s="19">
        <v>0.48</v>
      </c>
      <c r="F989" s="10">
        <v>4.1</v>
      </c>
      <c r="G989" s="11">
        <v>2535.0</v>
      </c>
    </row>
    <row r="990">
      <c r="A990" s="7" t="s">
        <v>1055</v>
      </c>
      <c r="B990" s="7" t="s">
        <v>779</v>
      </c>
      <c r="C990" s="8">
        <v>399.0</v>
      </c>
      <c r="D990" s="8">
        <v>1499.0</v>
      </c>
      <c r="E990" s="19">
        <v>0.73</v>
      </c>
      <c r="F990" s="10">
        <v>4.0</v>
      </c>
      <c r="G990" s="10">
        <v>691.0</v>
      </c>
    </row>
    <row r="991">
      <c r="A991" s="7" t="s">
        <v>1056</v>
      </c>
      <c r="B991" s="7" t="s">
        <v>631</v>
      </c>
      <c r="C991" s="8">
        <v>499.0</v>
      </c>
      <c r="D991" s="8">
        <v>1299.0</v>
      </c>
      <c r="E991" s="19">
        <v>0.62</v>
      </c>
      <c r="F991" s="10">
        <v>4.1</v>
      </c>
      <c r="G991" s="11">
        <v>2740.0</v>
      </c>
    </row>
    <row r="992">
      <c r="A992" s="7" t="s">
        <v>100</v>
      </c>
      <c r="B992" s="7" t="s">
        <v>15</v>
      </c>
      <c r="C992" s="8">
        <v>199.0</v>
      </c>
      <c r="D992" s="8">
        <v>499.0</v>
      </c>
      <c r="E992" s="19">
        <v>0.6</v>
      </c>
      <c r="F992" s="10">
        <v>4.1</v>
      </c>
      <c r="G992" s="10">
        <v>602.0</v>
      </c>
    </row>
    <row r="993">
      <c r="A993" s="7" t="s">
        <v>1057</v>
      </c>
      <c r="B993" s="7" t="s">
        <v>625</v>
      </c>
      <c r="C993" s="8">
        <v>579.0</v>
      </c>
      <c r="D993" s="8">
        <v>1090.0</v>
      </c>
      <c r="E993" s="19">
        <v>0.47</v>
      </c>
      <c r="F993" s="10">
        <v>4.4</v>
      </c>
      <c r="G993" s="11">
        <v>3482.0</v>
      </c>
    </row>
    <row r="994">
      <c r="A994" s="7" t="s">
        <v>101</v>
      </c>
      <c r="B994" s="7" t="s">
        <v>15</v>
      </c>
      <c r="C994" s="8">
        <v>179.0</v>
      </c>
      <c r="D994" s="8">
        <v>399.0</v>
      </c>
      <c r="E994" s="19">
        <v>0.55</v>
      </c>
      <c r="F994" s="10">
        <v>4.0</v>
      </c>
      <c r="G994" s="11">
        <v>1423.0</v>
      </c>
    </row>
    <row r="995">
      <c r="A995" s="7" t="s">
        <v>1058</v>
      </c>
      <c r="B995" s="7" t="s">
        <v>1059</v>
      </c>
      <c r="C995" s="8">
        <v>90.0</v>
      </c>
      <c r="D995" s="8">
        <v>100.0</v>
      </c>
      <c r="E995" s="19">
        <v>0.1</v>
      </c>
      <c r="F995" s="10">
        <v>4.1</v>
      </c>
      <c r="G995" s="11">
        <v>6199.0</v>
      </c>
    </row>
    <row r="996">
      <c r="A996" s="7" t="s">
        <v>1060</v>
      </c>
      <c r="B996" s="7" t="s">
        <v>631</v>
      </c>
      <c r="C996" s="8">
        <v>899.0</v>
      </c>
      <c r="D996" s="8">
        <v>1999.0</v>
      </c>
      <c r="E996" s="19">
        <v>0.55</v>
      </c>
      <c r="F996" s="10">
        <v>4.4</v>
      </c>
      <c r="G996" s="11">
        <v>1667.0</v>
      </c>
    </row>
    <row r="997">
      <c r="A997" s="7" t="s">
        <v>1061</v>
      </c>
      <c r="B997" s="7" t="s">
        <v>973</v>
      </c>
      <c r="C997" s="8">
        <v>1149.0</v>
      </c>
      <c r="D997" s="8">
        <v>1800.0</v>
      </c>
      <c r="E997" s="19">
        <v>0.36</v>
      </c>
      <c r="F997" s="10">
        <v>4.3</v>
      </c>
      <c r="G997" s="11">
        <v>4723.0</v>
      </c>
    </row>
    <row r="998">
      <c r="A998" s="7" t="s">
        <v>1062</v>
      </c>
      <c r="B998" s="7" t="s">
        <v>806</v>
      </c>
      <c r="C998" s="8">
        <v>249.0</v>
      </c>
      <c r="D998" s="8">
        <v>499.0</v>
      </c>
      <c r="E998" s="19">
        <v>0.5</v>
      </c>
      <c r="F998" s="10">
        <v>4.2</v>
      </c>
      <c r="G998" s="11">
        <v>22860.0</v>
      </c>
    </row>
    <row r="999">
      <c r="A999" s="7" t="s">
        <v>1063</v>
      </c>
      <c r="B999" s="7" t="s">
        <v>759</v>
      </c>
      <c r="C999" s="8">
        <v>39.0</v>
      </c>
      <c r="D999" s="8">
        <v>39.0</v>
      </c>
      <c r="E999" s="19">
        <v>0.0</v>
      </c>
      <c r="F999" s="10">
        <v>3.6</v>
      </c>
      <c r="G999" s="11">
        <v>13572.0</v>
      </c>
    </row>
    <row r="1000">
      <c r="A1000" s="7" t="s">
        <v>1064</v>
      </c>
      <c r="B1000" s="7" t="s">
        <v>676</v>
      </c>
      <c r="C1000" s="8">
        <v>1599.0</v>
      </c>
      <c r="D1000" s="8">
        <v>3599.0</v>
      </c>
      <c r="E1000" s="19">
        <v>0.56</v>
      </c>
      <c r="F1000" s="10">
        <v>4.2</v>
      </c>
      <c r="G1000" s="11">
        <v>16182.0</v>
      </c>
    </row>
    <row r="1001">
      <c r="A1001" s="7" t="s">
        <v>1065</v>
      </c>
      <c r="B1001" s="7" t="s">
        <v>719</v>
      </c>
      <c r="C1001" s="8">
        <v>1199.0</v>
      </c>
      <c r="D1001" s="8">
        <v>3990.0</v>
      </c>
      <c r="E1001" s="19">
        <v>0.7</v>
      </c>
      <c r="F1001" s="10">
        <v>4.2</v>
      </c>
      <c r="G1001" s="11">
        <v>2908.0</v>
      </c>
    </row>
    <row r="1002">
      <c r="A1002" s="7" t="s">
        <v>103</v>
      </c>
      <c r="B1002" s="7" t="s">
        <v>15</v>
      </c>
      <c r="C1002" s="8">
        <v>209.0</v>
      </c>
      <c r="D1002" s="8">
        <v>499.0</v>
      </c>
      <c r="E1002" s="19">
        <v>0.58</v>
      </c>
      <c r="F1002" s="10">
        <v>3.9</v>
      </c>
      <c r="G1002" s="10">
        <v>536.0</v>
      </c>
    </row>
    <row r="1003">
      <c r="A1003" s="7" t="s">
        <v>1066</v>
      </c>
      <c r="B1003" s="7" t="s">
        <v>625</v>
      </c>
      <c r="C1003" s="8">
        <v>1099.0</v>
      </c>
      <c r="D1003" s="8">
        <v>1499.0</v>
      </c>
      <c r="E1003" s="19">
        <v>0.27</v>
      </c>
      <c r="F1003" s="10">
        <v>4.2</v>
      </c>
      <c r="G1003" s="11">
        <v>2375.0</v>
      </c>
    </row>
    <row r="1004">
      <c r="A1004" s="7" t="s">
        <v>1067</v>
      </c>
      <c r="B1004" s="7" t="s">
        <v>817</v>
      </c>
      <c r="C1004" s="8">
        <v>120.0</v>
      </c>
      <c r="D1004" s="8">
        <v>120.0</v>
      </c>
      <c r="E1004" s="19">
        <v>0.0</v>
      </c>
      <c r="F1004" s="10">
        <v>4.5</v>
      </c>
      <c r="G1004" s="11">
        <v>4951.0</v>
      </c>
    </row>
    <row r="1005">
      <c r="A1005" s="7" t="s">
        <v>1068</v>
      </c>
      <c r="B1005" s="7" t="s">
        <v>973</v>
      </c>
      <c r="C1005" s="8">
        <v>1519.0</v>
      </c>
      <c r="D1005" s="8">
        <v>3499.0</v>
      </c>
      <c r="E1005" s="19">
        <v>0.57</v>
      </c>
      <c r="F1005" s="10">
        <v>4.3</v>
      </c>
      <c r="G1005" s="10">
        <v>408.0</v>
      </c>
    </row>
    <row r="1006">
      <c r="A1006" s="7" t="s">
        <v>1069</v>
      </c>
      <c r="B1006" s="7" t="s">
        <v>1059</v>
      </c>
      <c r="C1006" s="8">
        <v>420.0</v>
      </c>
      <c r="D1006" s="8">
        <v>420.0</v>
      </c>
      <c r="E1006" s="19">
        <v>0.0</v>
      </c>
      <c r="F1006" s="10">
        <v>4.2</v>
      </c>
      <c r="G1006" s="11">
        <v>1926.0</v>
      </c>
    </row>
    <row r="1007">
      <c r="A1007" s="7" t="s">
        <v>1070</v>
      </c>
      <c r="B1007" s="7" t="s">
        <v>1071</v>
      </c>
      <c r="C1007" s="8">
        <v>225.0</v>
      </c>
      <c r="D1007" s="8">
        <v>225.0</v>
      </c>
      <c r="E1007" s="19">
        <v>0.0</v>
      </c>
      <c r="F1007" s="10">
        <v>4.1</v>
      </c>
      <c r="G1007" s="11">
        <v>4798.0</v>
      </c>
    </row>
    <row r="1008">
      <c r="A1008" s="7" t="s">
        <v>1072</v>
      </c>
      <c r="B1008" s="7" t="s">
        <v>1073</v>
      </c>
      <c r="C1008" s="8">
        <v>199.0</v>
      </c>
      <c r="D1008" s="8">
        <v>799.0</v>
      </c>
      <c r="E1008" s="19">
        <v>0.75</v>
      </c>
      <c r="F1008" s="10">
        <v>4.1</v>
      </c>
      <c r="G1008" s="11">
        <v>7333.0</v>
      </c>
    </row>
    <row r="1009">
      <c r="A1009" s="7" t="s">
        <v>604</v>
      </c>
      <c r="B1009" s="7" t="s">
        <v>441</v>
      </c>
      <c r="C1009" s="8">
        <v>1799.0</v>
      </c>
      <c r="D1009" s="8">
        <v>3999.0</v>
      </c>
      <c r="E1009" s="19">
        <v>0.55</v>
      </c>
      <c r="F1009" s="10">
        <v>4.6</v>
      </c>
      <c r="G1009" s="10">
        <v>245.0</v>
      </c>
    </row>
    <row r="1010">
      <c r="A1010" s="7" t="s">
        <v>1074</v>
      </c>
      <c r="B1010" s="7" t="s">
        <v>988</v>
      </c>
      <c r="C1010" s="8">
        <v>8349.0</v>
      </c>
      <c r="D1010" s="8">
        <v>9625.0</v>
      </c>
      <c r="E1010" s="19">
        <v>0.13</v>
      </c>
      <c r="F1010" s="10">
        <v>3.8</v>
      </c>
      <c r="G1010" s="11">
        <v>3652.0</v>
      </c>
    </row>
    <row r="1011">
      <c r="A1011" s="7" t="s">
        <v>1075</v>
      </c>
      <c r="B1011" s="7" t="s">
        <v>875</v>
      </c>
      <c r="C1011" s="8">
        <v>3307.0</v>
      </c>
      <c r="D1011" s="8">
        <v>6100.0</v>
      </c>
      <c r="E1011" s="19">
        <v>0.46</v>
      </c>
      <c r="F1011" s="10">
        <v>4.3</v>
      </c>
      <c r="G1011" s="11">
        <v>2515.0</v>
      </c>
    </row>
    <row r="1012">
      <c r="A1012" s="7" t="s">
        <v>109</v>
      </c>
      <c r="B1012" s="7" t="s">
        <v>15</v>
      </c>
      <c r="C1012" s="8">
        <v>325.0</v>
      </c>
      <c r="D1012" s="8">
        <v>1299.0</v>
      </c>
      <c r="E1012" s="19">
        <v>0.75</v>
      </c>
      <c r="F1012" s="10">
        <v>4.2</v>
      </c>
      <c r="G1012" s="11">
        <v>10576.0</v>
      </c>
    </row>
    <row r="1013">
      <c r="A1013" s="7" t="s">
        <v>1076</v>
      </c>
      <c r="B1013" s="7" t="s">
        <v>622</v>
      </c>
      <c r="C1013" s="8">
        <v>449.0</v>
      </c>
      <c r="D1013" s="8">
        <v>1300.0</v>
      </c>
      <c r="E1013" s="19">
        <v>0.65</v>
      </c>
      <c r="F1013" s="10">
        <v>4.2</v>
      </c>
      <c r="G1013" s="11">
        <v>4959.0</v>
      </c>
    </row>
    <row r="1014">
      <c r="A1014" s="7" t="s">
        <v>1077</v>
      </c>
      <c r="B1014" s="7" t="s">
        <v>652</v>
      </c>
      <c r="C1014" s="8">
        <v>380.0</v>
      </c>
      <c r="D1014" s="8">
        <v>400.0</v>
      </c>
      <c r="E1014" s="19">
        <v>0.05</v>
      </c>
      <c r="F1014" s="10">
        <v>4.4</v>
      </c>
      <c r="G1014" s="11">
        <v>2111.0</v>
      </c>
    </row>
    <row r="1015">
      <c r="A1015" s="7" t="s">
        <v>1078</v>
      </c>
      <c r="B1015" s="7" t="s">
        <v>627</v>
      </c>
      <c r="C1015" s="8">
        <v>499.0</v>
      </c>
      <c r="D1015" s="8">
        <v>1399.0</v>
      </c>
      <c r="E1015" s="19">
        <v>0.64</v>
      </c>
      <c r="F1015" s="10">
        <v>3.9</v>
      </c>
      <c r="G1015" s="11">
        <v>1462.0</v>
      </c>
    </row>
    <row r="1016">
      <c r="A1016" s="7" t="s">
        <v>1079</v>
      </c>
      <c r="B1016" s="7" t="s">
        <v>1080</v>
      </c>
      <c r="C1016" s="8">
        <v>37247.0</v>
      </c>
      <c r="D1016" s="8">
        <v>59890.0</v>
      </c>
      <c r="E1016" s="19">
        <v>0.38</v>
      </c>
      <c r="F1016" s="10">
        <v>4.0</v>
      </c>
      <c r="G1016" s="10">
        <v>323.0</v>
      </c>
    </row>
    <row r="1017">
      <c r="A1017" s="7" t="s">
        <v>1081</v>
      </c>
      <c r="B1017" s="7" t="s">
        <v>572</v>
      </c>
      <c r="C1017" s="8">
        <v>849.0</v>
      </c>
      <c r="D1017" s="8">
        <v>2490.0</v>
      </c>
      <c r="E1017" s="19">
        <v>0.66</v>
      </c>
      <c r="F1017" s="10">
        <v>4.2</v>
      </c>
      <c r="G1017" s="11">
        <v>91188.0</v>
      </c>
    </row>
    <row r="1018">
      <c r="A1018" s="7" t="s">
        <v>1082</v>
      </c>
      <c r="B1018" s="7" t="s">
        <v>804</v>
      </c>
      <c r="C1018" s="8">
        <v>799.0</v>
      </c>
      <c r="D1018" s="8">
        <v>1999.0</v>
      </c>
      <c r="E1018" s="19">
        <v>0.6</v>
      </c>
      <c r="F1018" s="10">
        <v>3.7</v>
      </c>
      <c r="G1018" s="10">
        <v>418.0</v>
      </c>
    </row>
    <row r="1019">
      <c r="A1019" s="7" t="s">
        <v>616</v>
      </c>
      <c r="B1019" s="7" t="s">
        <v>502</v>
      </c>
      <c r="C1019" s="8">
        <v>2599.0</v>
      </c>
      <c r="D1019" s="8">
        <v>6999.0</v>
      </c>
      <c r="E1019" s="19">
        <v>0.63</v>
      </c>
      <c r="F1019" s="10">
        <v>4.5</v>
      </c>
      <c r="G1019" s="11">
        <v>1526.0</v>
      </c>
    </row>
    <row r="1020">
      <c r="A1020" s="7" t="s">
        <v>113</v>
      </c>
      <c r="B1020" s="7" t="s">
        <v>15</v>
      </c>
      <c r="C1020" s="8">
        <v>199.0</v>
      </c>
      <c r="D1020" s="8">
        <v>999.0</v>
      </c>
      <c r="E1020" s="19">
        <v>0.8</v>
      </c>
      <c r="F1020" s="10">
        <v>4.5</v>
      </c>
      <c r="G1020" s="10">
        <v>127.0</v>
      </c>
    </row>
    <row r="1021">
      <c r="A1021" s="7" t="s">
        <v>115</v>
      </c>
      <c r="B1021" s="7" t="s">
        <v>25</v>
      </c>
      <c r="C1021" s="8">
        <v>269.0</v>
      </c>
      <c r="D1021" s="8">
        <v>800.0</v>
      </c>
      <c r="E1021" s="19">
        <v>0.66</v>
      </c>
      <c r="F1021" s="10">
        <v>3.6</v>
      </c>
      <c r="G1021" s="11">
        <v>10134.0</v>
      </c>
    </row>
    <row r="1022">
      <c r="A1022" s="7" t="s">
        <v>1083</v>
      </c>
      <c r="B1022" s="7" t="s">
        <v>759</v>
      </c>
      <c r="C1022" s="8">
        <v>298.0</v>
      </c>
      <c r="D1022" s="8">
        <v>999.0</v>
      </c>
      <c r="E1022" s="19">
        <v>0.7</v>
      </c>
      <c r="F1022" s="10">
        <v>4.3</v>
      </c>
      <c r="G1022" s="11">
        <v>1552.0</v>
      </c>
    </row>
    <row r="1023">
      <c r="A1023" s="7" t="s">
        <v>1084</v>
      </c>
      <c r="B1023" s="7" t="s">
        <v>804</v>
      </c>
      <c r="C1023" s="8">
        <v>1499.0</v>
      </c>
      <c r="D1023" s="8">
        <v>2999.0</v>
      </c>
      <c r="E1023" s="19">
        <v>0.5</v>
      </c>
      <c r="F1023" s="10">
        <v>4.1</v>
      </c>
      <c r="G1023" s="11">
        <v>25262.0</v>
      </c>
    </row>
    <row r="1024">
      <c r="A1024" s="7" t="s">
        <v>1085</v>
      </c>
      <c r="B1024" s="7" t="s">
        <v>1086</v>
      </c>
      <c r="C1024" s="8">
        <v>649.0</v>
      </c>
      <c r="D1024" s="8">
        <v>1245.0</v>
      </c>
      <c r="E1024" s="19">
        <v>0.48</v>
      </c>
      <c r="F1024" s="10">
        <v>3.9</v>
      </c>
      <c r="G1024" s="7" t="s">
        <v>1087</v>
      </c>
    </row>
    <row r="1025">
      <c r="A1025" s="7" t="s">
        <v>1088</v>
      </c>
      <c r="B1025" s="7" t="s">
        <v>1089</v>
      </c>
      <c r="C1025" s="8">
        <v>1199.0</v>
      </c>
      <c r="D1025" s="8">
        <v>1695.0</v>
      </c>
      <c r="E1025" s="19">
        <v>0.29</v>
      </c>
      <c r="F1025" s="10">
        <v>3.6</v>
      </c>
      <c r="G1025" s="11">
        <v>13300.0</v>
      </c>
    </row>
    <row r="1026">
      <c r="A1026" s="7" t="s">
        <v>1090</v>
      </c>
      <c r="B1026" s="7" t="s">
        <v>1091</v>
      </c>
      <c r="C1026" s="8">
        <v>1199.0</v>
      </c>
      <c r="D1026" s="8">
        <v>2000.0</v>
      </c>
      <c r="E1026" s="19">
        <v>0.4</v>
      </c>
      <c r="F1026" s="10">
        <v>4.0</v>
      </c>
      <c r="G1026" s="11">
        <v>18543.0</v>
      </c>
    </row>
    <row r="1027">
      <c r="A1027" s="7" t="s">
        <v>1092</v>
      </c>
      <c r="B1027" s="7" t="s">
        <v>1093</v>
      </c>
      <c r="C1027" s="8">
        <v>455.0</v>
      </c>
      <c r="D1027" s="8">
        <v>999.0</v>
      </c>
      <c r="E1027" s="19">
        <v>0.54</v>
      </c>
      <c r="F1027" s="10">
        <v>4.1</v>
      </c>
      <c r="G1027" s="11">
        <v>3578.0</v>
      </c>
    </row>
    <row r="1028">
      <c r="A1028" s="7" t="s">
        <v>1094</v>
      </c>
      <c r="B1028" s="7" t="s">
        <v>1095</v>
      </c>
      <c r="C1028" s="8">
        <v>199.0</v>
      </c>
      <c r="D1028" s="8">
        <v>1999.0</v>
      </c>
      <c r="E1028" s="19">
        <v>0.9</v>
      </c>
      <c r="F1028" s="10">
        <v>3.7</v>
      </c>
      <c r="G1028" s="11">
        <v>2031.0</v>
      </c>
    </row>
    <row r="1029">
      <c r="A1029" s="7" t="s">
        <v>1096</v>
      </c>
      <c r="B1029" s="7" t="s">
        <v>1095</v>
      </c>
      <c r="C1029" s="8">
        <v>293.0</v>
      </c>
      <c r="D1029" s="8">
        <v>499.0</v>
      </c>
      <c r="E1029" s="19">
        <v>0.41</v>
      </c>
      <c r="F1029" s="10">
        <v>3.9</v>
      </c>
      <c r="G1029" s="11">
        <v>44994.0</v>
      </c>
    </row>
    <row r="1030">
      <c r="A1030" s="7" t="s">
        <v>1097</v>
      </c>
      <c r="B1030" s="7" t="s">
        <v>1098</v>
      </c>
      <c r="C1030" s="8">
        <v>199.0</v>
      </c>
      <c r="D1030" s="8">
        <v>495.0</v>
      </c>
      <c r="E1030" s="19">
        <v>0.6</v>
      </c>
      <c r="F1030" s="10">
        <v>4.1</v>
      </c>
      <c r="G1030" s="7" t="s">
        <v>1099</v>
      </c>
    </row>
    <row r="1031">
      <c r="A1031" s="7" t="s">
        <v>1100</v>
      </c>
      <c r="B1031" s="7" t="s">
        <v>1086</v>
      </c>
      <c r="C1031" s="8">
        <v>749.0</v>
      </c>
      <c r="D1031" s="8">
        <v>1245.0</v>
      </c>
      <c r="E1031" s="19">
        <v>0.4</v>
      </c>
      <c r="F1031" s="10">
        <v>3.9</v>
      </c>
      <c r="G1031" s="11">
        <v>31783.0</v>
      </c>
    </row>
    <row r="1032">
      <c r="A1032" s="7" t="s">
        <v>1101</v>
      </c>
      <c r="B1032" s="7" t="s">
        <v>1089</v>
      </c>
      <c r="C1032" s="8">
        <v>1399.0</v>
      </c>
      <c r="D1032" s="8">
        <v>1549.0</v>
      </c>
      <c r="E1032" s="19">
        <v>0.1</v>
      </c>
      <c r="F1032" s="10">
        <v>3.9</v>
      </c>
      <c r="G1032" s="11">
        <v>2602.0</v>
      </c>
    </row>
    <row r="1033">
      <c r="A1033" s="7" t="s">
        <v>1102</v>
      </c>
      <c r="B1033" s="7" t="s">
        <v>1086</v>
      </c>
      <c r="C1033" s="8">
        <v>749.0</v>
      </c>
      <c r="D1033" s="8">
        <v>1445.0</v>
      </c>
      <c r="E1033" s="19">
        <v>0.48</v>
      </c>
      <c r="F1033" s="10">
        <v>3.9</v>
      </c>
      <c r="G1033" s="11">
        <v>63350.0</v>
      </c>
    </row>
    <row r="1034">
      <c r="A1034" s="7" t="s">
        <v>1103</v>
      </c>
      <c r="B1034" s="7" t="s">
        <v>1104</v>
      </c>
      <c r="C1034" s="8">
        <v>1699.0</v>
      </c>
      <c r="D1034" s="8">
        <v>3193.0</v>
      </c>
      <c r="E1034" s="19">
        <v>0.47</v>
      </c>
      <c r="F1034" s="10">
        <v>3.8</v>
      </c>
      <c r="G1034" s="11">
        <v>54032.0</v>
      </c>
    </row>
    <row r="1035">
      <c r="A1035" s="7" t="s">
        <v>1105</v>
      </c>
      <c r="B1035" s="7" t="s">
        <v>1086</v>
      </c>
      <c r="C1035" s="8">
        <v>1043.0</v>
      </c>
      <c r="D1035" s="8">
        <v>1345.0</v>
      </c>
      <c r="E1035" s="19">
        <v>0.22</v>
      </c>
      <c r="F1035" s="10">
        <v>3.8</v>
      </c>
      <c r="G1035" s="11">
        <v>15592.0</v>
      </c>
    </row>
    <row r="1036">
      <c r="A1036" s="7" t="s">
        <v>1106</v>
      </c>
      <c r="B1036" s="7" t="s">
        <v>1093</v>
      </c>
      <c r="C1036" s="8">
        <v>499.0</v>
      </c>
      <c r="D1036" s="8">
        <v>999.0</v>
      </c>
      <c r="E1036" s="19">
        <v>0.5</v>
      </c>
      <c r="F1036" s="10">
        <v>4.1</v>
      </c>
      <c r="G1036" s="11">
        <v>4859.0</v>
      </c>
    </row>
    <row r="1037">
      <c r="A1037" s="7" t="s">
        <v>1107</v>
      </c>
      <c r="B1037" s="7" t="s">
        <v>1091</v>
      </c>
      <c r="C1037" s="8">
        <v>1464.0</v>
      </c>
      <c r="D1037" s="8">
        <v>1650.0</v>
      </c>
      <c r="E1037" s="19">
        <v>0.11</v>
      </c>
      <c r="F1037" s="10">
        <v>4.1</v>
      </c>
      <c r="G1037" s="11">
        <v>14120.0</v>
      </c>
    </row>
    <row r="1038">
      <c r="A1038" s="7" t="s">
        <v>1108</v>
      </c>
      <c r="B1038" s="7" t="s">
        <v>1109</v>
      </c>
      <c r="C1038" s="8">
        <v>249.0</v>
      </c>
      <c r="D1038" s="8">
        <v>499.0</v>
      </c>
      <c r="E1038" s="19">
        <v>0.5</v>
      </c>
      <c r="F1038" s="10">
        <v>3.3</v>
      </c>
      <c r="G1038" s="11">
        <v>8427.0</v>
      </c>
    </row>
    <row r="1039">
      <c r="A1039" s="7" t="s">
        <v>1110</v>
      </c>
      <c r="B1039" s="7" t="s">
        <v>1111</v>
      </c>
      <c r="C1039" s="8">
        <v>625.0</v>
      </c>
      <c r="D1039" s="8">
        <v>1400.0</v>
      </c>
      <c r="E1039" s="19">
        <v>0.55</v>
      </c>
      <c r="F1039" s="10">
        <v>4.2</v>
      </c>
      <c r="G1039" s="11">
        <v>23316.0</v>
      </c>
    </row>
    <row r="1040">
      <c r="A1040" s="7" t="s">
        <v>1112</v>
      </c>
      <c r="B1040" s="7" t="s">
        <v>1113</v>
      </c>
      <c r="C1040" s="8">
        <v>1290.0</v>
      </c>
      <c r="D1040" s="8">
        <v>2500.0</v>
      </c>
      <c r="E1040" s="19">
        <v>0.48</v>
      </c>
      <c r="F1040" s="10">
        <v>4.0</v>
      </c>
      <c r="G1040" s="11">
        <v>6530.0</v>
      </c>
    </row>
    <row r="1041">
      <c r="A1041" s="7" t="s">
        <v>1114</v>
      </c>
      <c r="B1041" s="7" t="s">
        <v>1115</v>
      </c>
      <c r="C1041" s="8">
        <v>3600.0</v>
      </c>
      <c r="D1041" s="8">
        <v>6190.0</v>
      </c>
      <c r="E1041" s="19">
        <v>0.42</v>
      </c>
      <c r="F1041" s="10">
        <v>4.3</v>
      </c>
      <c r="G1041" s="11">
        <v>11924.0</v>
      </c>
    </row>
    <row r="1042">
      <c r="A1042" s="7" t="s">
        <v>1116</v>
      </c>
      <c r="B1042" s="7" t="s">
        <v>1117</v>
      </c>
      <c r="C1042" s="8">
        <v>6549.0</v>
      </c>
      <c r="D1042" s="8">
        <v>13999.0</v>
      </c>
      <c r="E1042" s="19">
        <v>0.53</v>
      </c>
      <c r="F1042" s="10">
        <v>4.0</v>
      </c>
      <c r="G1042" s="11">
        <v>2961.0</v>
      </c>
    </row>
    <row r="1043">
      <c r="A1043" s="7" t="s">
        <v>1118</v>
      </c>
      <c r="B1043" s="7" t="s">
        <v>1086</v>
      </c>
      <c r="C1043" s="8">
        <v>1625.0</v>
      </c>
      <c r="D1043" s="8">
        <v>2995.0</v>
      </c>
      <c r="E1043" s="19">
        <v>0.46</v>
      </c>
      <c r="F1043" s="10">
        <v>4.5</v>
      </c>
      <c r="G1043" s="11">
        <v>23484.0</v>
      </c>
    </row>
    <row r="1044">
      <c r="A1044" s="7" t="s">
        <v>1119</v>
      </c>
      <c r="B1044" s="7" t="s">
        <v>1115</v>
      </c>
      <c r="C1044" s="8">
        <v>2599.0</v>
      </c>
      <c r="D1044" s="8">
        <v>5890.0</v>
      </c>
      <c r="E1044" s="19">
        <v>0.56</v>
      </c>
      <c r="F1044" s="10">
        <v>4.1</v>
      </c>
      <c r="G1044" s="11">
        <v>21783.0</v>
      </c>
    </row>
    <row r="1045">
      <c r="A1045" s="7" t="s">
        <v>1120</v>
      </c>
      <c r="B1045" s="7" t="s">
        <v>1121</v>
      </c>
      <c r="C1045" s="8">
        <v>1199.0</v>
      </c>
      <c r="D1045" s="8">
        <v>2000.0</v>
      </c>
      <c r="E1045" s="19">
        <v>0.4</v>
      </c>
      <c r="F1045" s="10">
        <v>4.0</v>
      </c>
      <c r="G1045" s="11">
        <v>14030.0</v>
      </c>
    </row>
    <row r="1046">
      <c r="A1046" s="7" t="s">
        <v>1122</v>
      </c>
      <c r="B1046" s="7" t="s">
        <v>1123</v>
      </c>
      <c r="C1046" s="8">
        <v>5499.0</v>
      </c>
      <c r="D1046" s="8">
        <v>13150.0</v>
      </c>
      <c r="E1046" s="19">
        <v>0.58</v>
      </c>
      <c r="F1046" s="10">
        <v>4.2</v>
      </c>
      <c r="G1046" s="11">
        <v>6398.0</v>
      </c>
    </row>
    <row r="1047">
      <c r="A1047" s="7" t="s">
        <v>1124</v>
      </c>
      <c r="B1047" s="7" t="s">
        <v>1113</v>
      </c>
      <c r="C1047" s="8">
        <v>1299.0</v>
      </c>
      <c r="D1047" s="8">
        <v>3500.0</v>
      </c>
      <c r="E1047" s="19">
        <v>0.63</v>
      </c>
      <c r="F1047" s="10">
        <v>3.8</v>
      </c>
      <c r="G1047" s="11">
        <v>44050.0</v>
      </c>
    </row>
    <row r="1048">
      <c r="A1048" s="7" t="s">
        <v>1125</v>
      </c>
      <c r="B1048" s="7" t="s">
        <v>1111</v>
      </c>
      <c r="C1048" s="8">
        <v>599.0</v>
      </c>
      <c r="D1048" s="8">
        <v>785.0</v>
      </c>
      <c r="E1048" s="19">
        <v>0.24</v>
      </c>
      <c r="F1048" s="10">
        <v>4.2</v>
      </c>
      <c r="G1048" s="11">
        <v>24247.0</v>
      </c>
    </row>
    <row r="1049">
      <c r="A1049" s="7" t="s">
        <v>1126</v>
      </c>
      <c r="B1049" s="7" t="s">
        <v>1113</v>
      </c>
      <c r="C1049" s="8">
        <v>1999.0</v>
      </c>
      <c r="D1049" s="8">
        <v>3210.0</v>
      </c>
      <c r="E1049" s="19">
        <v>0.38</v>
      </c>
      <c r="F1049" s="10">
        <v>4.2</v>
      </c>
      <c r="G1049" s="11">
        <v>41349.0</v>
      </c>
    </row>
    <row r="1050">
      <c r="A1050" s="7" t="s">
        <v>1127</v>
      </c>
      <c r="B1050" s="7" t="s">
        <v>1121</v>
      </c>
      <c r="C1050" s="8">
        <v>549.0</v>
      </c>
      <c r="D1050" s="8">
        <v>1000.0</v>
      </c>
      <c r="E1050" s="19">
        <v>0.45</v>
      </c>
      <c r="F1050" s="10">
        <v>3.6</v>
      </c>
      <c r="G1050" s="11">
        <v>1074.0</v>
      </c>
    </row>
    <row r="1051">
      <c r="A1051" s="7" t="s">
        <v>1128</v>
      </c>
      <c r="B1051" s="7" t="s">
        <v>1089</v>
      </c>
      <c r="C1051" s="8">
        <v>999.0</v>
      </c>
      <c r="D1051" s="8">
        <v>2000.0</v>
      </c>
      <c r="E1051" s="19">
        <v>0.5</v>
      </c>
      <c r="F1051" s="10">
        <v>3.8</v>
      </c>
      <c r="G1051" s="11">
        <v>1163.0</v>
      </c>
    </row>
    <row r="1052">
      <c r="A1052" s="7" t="s">
        <v>1129</v>
      </c>
      <c r="B1052" s="7" t="s">
        <v>1093</v>
      </c>
      <c r="C1052" s="8">
        <v>398.0</v>
      </c>
      <c r="D1052" s="8">
        <v>1999.0</v>
      </c>
      <c r="E1052" s="19">
        <v>0.8</v>
      </c>
      <c r="F1052" s="10">
        <v>4.1</v>
      </c>
      <c r="G1052" s="10">
        <v>257.0</v>
      </c>
    </row>
    <row r="1053">
      <c r="A1053" s="7" t="s">
        <v>1130</v>
      </c>
      <c r="B1053" s="7" t="s">
        <v>1131</v>
      </c>
      <c r="C1053" s="8">
        <v>539.0</v>
      </c>
      <c r="D1053" s="8">
        <v>720.0</v>
      </c>
      <c r="E1053" s="19">
        <v>0.25</v>
      </c>
      <c r="F1053" s="10">
        <v>4.1</v>
      </c>
      <c r="G1053" s="11">
        <v>36017.0</v>
      </c>
    </row>
    <row r="1054">
      <c r="A1054" s="7" t="s">
        <v>1132</v>
      </c>
      <c r="B1054" s="7" t="s">
        <v>1086</v>
      </c>
      <c r="C1054" s="8">
        <v>699.0</v>
      </c>
      <c r="D1054" s="8">
        <v>1595.0</v>
      </c>
      <c r="E1054" s="19">
        <v>0.56</v>
      </c>
      <c r="F1054" s="10">
        <v>4.1</v>
      </c>
      <c r="G1054" s="11">
        <v>8090.0</v>
      </c>
    </row>
    <row r="1055">
      <c r="A1055" s="7" t="s">
        <v>1133</v>
      </c>
      <c r="B1055" s="7" t="s">
        <v>1104</v>
      </c>
      <c r="C1055" s="8">
        <v>2148.0</v>
      </c>
      <c r="D1055" s="8">
        <v>3645.0</v>
      </c>
      <c r="E1055" s="19">
        <v>0.41</v>
      </c>
      <c r="F1055" s="10">
        <v>4.1</v>
      </c>
      <c r="G1055" s="11">
        <v>31388.0</v>
      </c>
    </row>
    <row r="1056">
      <c r="A1056" s="7" t="s">
        <v>1134</v>
      </c>
      <c r="B1056" s="7" t="s">
        <v>1135</v>
      </c>
      <c r="C1056" s="8">
        <v>3599.0</v>
      </c>
      <c r="D1056" s="8">
        <v>7950.0</v>
      </c>
      <c r="E1056" s="19">
        <v>0.55</v>
      </c>
      <c r="F1056" s="10">
        <v>4.2</v>
      </c>
      <c r="G1056" s="10">
        <v>136.0</v>
      </c>
    </row>
    <row r="1057">
      <c r="A1057" s="7" t="s">
        <v>1136</v>
      </c>
      <c r="B1057" s="7" t="s">
        <v>1137</v>
      </c>
      <c r="C1057" s="8">
        <v>351.0</v>
      </c>
      <c r="D1057" s="8">
        <v>999.0</v>
      </c>
      <c r="E1057" s="19">
        <v>0.65</v>
      </c>
      <c r="F1057" s="10">
        <v>4.0</v>
      </c>
      <c r="G1057" s="11">
        <v>5380.0</v>
      </c>
    </row>
    <row r="1058">
      <c r="A1058" s="7" t="s">
        <v>1138</v>
      </c>
      <c r="B1058" s="7" t="s">
        <v>1139</v>
      </c>
      <c r="C1058" s="8">
        <v>1614.0</v>
      </c>
      <c r="D1058" s="8">
        <v>1745.0</v>
      </c>
      <c r="E1058" s="19">
        <v>0.08</v>
      </c>
      <c r="F1058" s="10">
        <v>4.3</v>
      </c>
      <c r="G1058" s="11">
        <v>37974.0</v>
      </c>
    </row>
    <row r="1059">
      <c r="A1059" s="7" t="s">
        <v>1140</v>
      </c>
      <c r="B1059" s="7" t="s">
        <v>1131</v>
      </c>
      <c r="C1059" s="8">
        <v>719.0</v>
      </c>
      <c r="D1059" s="8">
        <v>1295.0</v>
      </c>
      <c r="E1059" s="19">
        <v>0.44</v>
      </c>
      <c r="F1059" s="10">
        <v>4.2</v>
      </c>
      <c r="G1059" s="11">
        <v>17218.0</v>
      </c>
    </row>
    <row r="1060">
      <c r="A1060" s="7" t="s">
        <v>1141</v>
      </c>
      <c r="B1060" s="7" t="s">
        <v>1093</v>
      </c>
      <c r="C1060" s="8">
        <v>678.0</v>
      </c>
      <c r="D1060" s="8">
        <v>1499.0</v>
      </c>
      <c r="E1060" s="19">
        <v>0.55</v>
      </c>
      <c r="F1060" s="10">
        <v>4.2</v>
      </c>
      <c r="G1060" s="10">
        <v>900.0</v>
      </c>
    </row>
    <row r="1061">
      <c r="A1061" s="7" t="s">
        <v>1142</v>
      </c>
      <c r="B1061" s="7" t="s">
        <v>1121</v>
      </c>
      <c r="C1061" s="8">
        <v>809.0</v>
      </c>
      <c r="D1061" s="8">
        <v>1545.0</v>
      </c>
      <c r="E1061" s="19">
        <v>0.48</v>
      </c>
      <c r="F1061" s="10">
        <v>3.7</v>
      </c>
      <c r="G1061" s="10">
        <v>976.0</v>
      </c>
    </row>
    <row r="1062">
      <c r="A1062" s="7" t="s">
        <v>1143</v>
      </c>
      <c r="B1062" s="7" t="s">
        <v>1144</v>
      </c>
      <c r="C1062" s="8">
        <v>1969.0</v>
      </c>
      <c r="D1062" s="8">
        <v>5000.0</v>
      </c>
      <c r="E1062" s="19">
        <v>0.61</v>
      </c>
      <c r="F1062" s="10">
        <v>4.1</v>
      </c>
      <c r="G1062" s="11">
        <v>4927.0</v>
      </c>
    </row>
    <row r="1063">
      <c r="A1063" s="7" t="s">
        <v>1145</v>
      </c>
      <c r="B1063" s="7" t="s">
        <v>1093</v>
      </c>
      <c r="C1063" s="8">
        <v>1490.0</v>
      </c>
      <c r="D1063" s="8">
        <v>1695.0</v>
      </c>
      <c r="E1063" s="19">
        <v>0.12</v>
      </c>
      <c r="F1063" s="10">
        <v>4.4</v>
      </c>
      <c r="G1063" s="11">
        <v>3543.0</v>
      </c>
    </row>
    <row r="1064">
      <c r="A1064" s="7" t="s">
        <v>1146</v>
      </c>
      <c r="B1064" s="7" t="s">
        <v>1089</v>
      </c>
      <c r="C1064" s="8">
        <v>2499.0</v>
      </c>
      <c r="D1064" s="8">
        <v>3945.0</v>
      </c>
      <c r="E1064" s="19">
        <v>0.37</v>
      </c>
      <c r="F1064" s="10">
        <v>3.8</v>
      </c>
      <c r="G1064" s="11">
        <v>2732.0</v>
      </c>
    </row>
    <row r="1065">
      <c r="A1065" s="7" t="s">
        <v>1147</v>
      </c>
      <c r="B1065" s="7" t="s">
        <v>1148</v>
      </c>
      <c r="C1065" s="8">
        <v>1665.0</v>
      </c>
      <c r="D1065" s="8">
        <v>2099.0</v>
      </c>
      <c r="E1065" s="19">
        <v>0.21</v>
      </c>
      <c r="F1065" s="10">
        <v>4.0</v>
      </c>
      <c r="G1065" s="11">
        <v>14368.0</v>
      </c>
    </row>
    <row r="1066">
      <c r="A1066" s="7" t="s">
        <v>1149</v>
      </c>
      <c r="B1066" s="7" t="s">
        <v>1104</v>
      </c>
      <c r="C1066" s="8">
        <v>3229.0</v>
      </c>
      <c r="D1066" s="8">
        <v>5295.0</v>
      </c>
      <c r="E1066" s="19">
        <v>0.39</v>
      </c>
      <c r="F1066" s="10">
        <v>4.2</v>
      </c>
      <c r="G1066" s="11">
        <v>39724.0</v>
      </c>
    </row>
    <row r="1067">
      <c r="A1067" s="7" t="s">
        <v>1150</v>
      </c>
      <c r="B1067" s="7" t="s">
        <v>1104</v>
      </c>
      <c r="C1067" s="8">
        <v>1799.0</v>
      </c>
      <c r="D1067" s="8">
        <v>3595.0</v>
      </c>
      <c r="E1067" s="19">
        <v>0.5</v>
      </c>
      <c r="F1067" s="10">
        <v>3.8</v>
      </c>
      <c r="G1067" s="11">
        <v>9791.0</v>
      </c>
    </row>
    <row r="1068">
      <c r="A1068" s="7" t="s">
        <v>1151</v>
      </c>
      <c r="B1068" s="7" t="s">
        <v>1086</v>
      </c>
      <c r="C1068" s="8">
        <v>1260.0</v>
      </c>
      <c r="D1068" s="8">
        <v>1699.0</v>
      </c>
      <c r="E1068" s="19">
        <v>0.26</v>
      </c>
      <c r="F1068" s="10">
        <v>4.2</v>
      </c>
      <c r="G1068" s="11">
        <v>2891.0</v>
      </c>
    </row>
    <row r="1069">
      <c r="A1069" s="7" t="s">
        <v>1152</v>
      </c>
      <c r="B1069" s="7" t="s">
        <v>1089</v>
      </c>
      <c r="C1069" s="8">
        <v>749.0</v>
      </c>
      <c r="D1069" s="8">
        <v>1129.0</v>
      </c>
      <c r="E1069" s="19">
        <v>0.34</v>
      </c>
      <c r="F1069" s="10">
        <v>4.0</v>
      </c>
      <c r="G1069" s="11">
        <v>2446.0</v>
      </c>
    </row>
    <row r="1070">
      <c r="A1070" s="7" t="s">
        <v>1153</v>
      </c>
      <c r="B1070" s="7" t="s">
        <v>1113</v>
      </c>
      <c r="C1070" s="8">
        <v>3499.0</v>
      </c>
      <c r="D1070" s="8">
        <v>5795.0</v>
      </c>
      <c r="E1070" s="19">
        <v>0.4</v>
      </c>
      <c r="F1070" s="10">
        <v>3.9</v>
      </c>
      <c r="G1070" s="11">
        <v>25340.0</v>
      </c>
    </row>
    <row r="1071">
      <c r="A1071" s="7" t="s">
        <v>1154</v>
      </c>
      <c r="B1071" s="7" t="s">
        <v>1155</v>
      </c>
      <c r="C1071" s="8">
        <v>379.0</v>
      </c>
      <c r="D1071" s="8">
        <v>999.0</v>
      </c>
      <c r="E1071" s="19">
        <v>0.62</v>
      </c>
      <c r="F1071" s="10">
        <v>4.3</v>
      </c>
      <c r="G1071" s="11">
        <v>3096.0</v>
      </c>
    </row>
    <row r="1072">
      <c r="A1072" s="7" t="s">
        <v>1156</v>
      </c>
      <c r="B1072" s="7" t="s">
        <v>1089</v>
      </c>
      <c r="C1072" s="8">
        <v>1099.0</v>
      </c>
      <c r="D1072" s="8">
        <v>2400.0</v>
      </c>
      <c r="E1072" s="19">
        <v>0.54</v>
      </c>
      <c r="F1072" s="10">
        <v>3.8</v>
      </c>
      <c r="G1072" s="10">
        <v>4.0</v>
      </c>
    </row>
    <row r="1073">
      <c r="A1073" s="7" t="s">
        <v>1157</v>
      </c>
      <c r="B1073" s="7" t="s">
        <v>1121</v>
      </c>
      <c r="C1073" s="8">
        <v>749.0</v>
      </c>
      <c r="D1073" s="8">
        <v>1299.0</v>
      </c>
      <c r="E1073" s="19">
        <v>0.42</v>
      </c>
      <c r="F1073" s="10">
        <v>4.0</v>
      </c>
      <c r="G1073" s="10">
        <v>119.0</v>
      </c>
    </row>
    <row r="1074">
      <c r="A1074" s="7" t="s">
        <v>1158</v>
      </c>
      <c r="B1074" s="7" t="s">
        <v>1159</v>
      </c>
      <c r="C1074" s="8">
        <v>1299.0</v>
      </c>
      <c r="D1074" s="8">
        <v>1299.0</v>
      </c>
      <c r="E1074" s="19">
        <v>0.0</v>
      </c>
      <c r="F1074" s="10">
        <v>4.2</v>
      </c>
      <c r="G1074" s="11">
        <v>40106.0</v>
      </c>
    </row>
    <row r="1075">
      <c r="A1075" s="7" t="s">
        <v>1160</v>
      </c>
      <c r="B1075" s="7" t="s">
        <v>1111</v>
      </c>
      <c r="C1075" s="8">
        <v>549.0</v>
      </c>
      <c r="D1075" s="8">
        <v>1090.0</v>
      </c>
      <c r="E1075" s="19">
        <v>0.5</v>
      </c>
      <c r="F1075" s="10">
        <v>4.2</v>
      </c>
      <c r="G1075" s="11">
        <v>13029.0</v>
      </c>
    </row>
    <row r="1076">
      <c r="A1076" s="7" t="s">
        <v>1161</v>
      </c>
      <c r="B1076" s="7" t="s">
        <v>1091</v>
      </c>
      <c r="C1076" s="8">
        <v>899.0</v>
      </c>
      <c r="D1076" s="8">
        <v>2000.0</v>
      </c>
      <c r="E1076" s="19">
        <v>0.55</v>
      </c>
      <c r="F1076" s="10">
        <v>3.6</v>
      </c>
      <c r="G1076" s="10">
        <v>291.0</v>
      </c>
    </row>
    <row r="1077">
      <c r="A1077" s="7" t="s">
        <v>1162</v>
      </c>
      <c r="B1077" s="7" t="s">
        <v>1111</v>
      </c>
      <c r="C1077" s="8">
        <v>1321.0</v>
      </c>
      <c r="D1077" s="8">
        <v>1545.0</v>
      </c>
      <c r="E1077" s="19">
        <v>0.14</v>
      </c>
      <c r="F1077" s="10">
        <v>4.3</v>
      </c>
      <c r="G1077" s="11">
        <v>15453.0</v>
      </c>
    </row>
    <row r="1078">
      <c r="A1078" s="7" t="s">
        <v>1163</v>
      </c>
      <c r="B1078" s="7" t="s">
        <v>1093</v>
      </c>
      <c r="C1078" s="8">
        <v>1099.0</v>
      </c>
      <c r="D1078" s="8">
        <v>1999.0</v>
      </c>
      <c r="E1078" s="19">
        <v>0.45</v>
      </c>
      <c r="F1078" s="10">
        <v>4.0</v>
      </c>
      <c r="G1078" s="10">
        <v>604.0</v>
      </c>
    </row>
    <row r="1079">
      <c r="A1079" s="7" t="s">
        <v>1164</v>
      </c>
      <c r="B1079" s="7" t="s">
        <v>1111</v>
      </c>
      <c r="C1079" s="8">
        <v>775.0</v>
      </c>
      <c r="D1079" s="8">
        <v>875.0</v>
      </c>
      <c r="E1079" s="19">
        <v>0.11</v>
      </c>
      <c r="F1079" s="10">
        <v>4.2</v>
      </c>
      <c r="G1079" s="11">
        <v>46647.0</v>
      </c>
    </row>
    <row r="1080">
      <c r="A1080" s="7" t="s">
        <v>1165</v>
      </c>
      <c r="B1080" s="7" t="s">
        <v>1123</v>
      </c>
      <c r="C1080" s="8">
        <v>6299.0</v>
      </c>
      <c r="D1080" s="8">
        <v>15270.0</v>
      </c>
      <c r="E1080" s="19">
        <v>0.59</v>
      </c>
      <c r="F1080" s="10">
        <v>4.1</v>
      </c>
      <c r="G1080" s="11">
        <v>3233.0</v>
      </c>
    </row>
    <row r="1081">
      <c r="A1081" s="7" t="s">
        <v>1166</v>
      </c>
      <c r="B1081" s="7" t="s">
        <v>1139</v>
      </c>
      <c r="C1081" s="8">
        <v>3190.0</v>
      </c>
      <c r="D1081" s="8">
        <v>4195.0</v>
      </c>
      <c r="E1081" s="19">
        <v>0.24</v>
      </c>
      <c r="F1081" s="10">
        <v>4.0</v>
      </c>
      <c r="G1081" s="11">
        <v>1282.0</v>
      </c>
    </row>
    <row r="1082">
      <c r="A1082" s="7" t="s">
        <v>1167</v>
      </c>
      <c r="B1082" s="7" t="s">
        <v>1089</v>
      </c>
      <c r="C1082" s="8">
        <v>799.0</v>
      </c>
      <c r="D1082" s="8">
        <v>1989.0</v>
      </c>
      <c r="E1082" s="19">
        <v>0.6</v>
      </c>
      <c r="F1082" s="10">
        <v>4.3</v>
      </c>
      <c r="G1082" s="10">
        <v>70.0</v>
      </c>
    </row>
    <row r="1083">
      <c r="A1083" s="7" t="s">
        <v>1168</v>
      </c>
      <c r="B1083" s="7" t="s">
        <v>1144</v>
      </c>
      <c r="C1083" s="8">
        <v>2699.0</v>
      </c>
      <c r="D1083" s="8">
        <v>5000.0</v>
      </c>
      <c r="E1083" s="19">
        <v>0.46</v>
      </c>
      <c r="F1083" s="10">
        <v>4.0</v>
      </c>
      <c r="G1083" s="11">
        <v>26164.0</v>
      </c>
    </row>
    <row r="1084">
      <c r="A1084" s="7" t="s">
        <v>1169</v>
      </c>
      <c r="B1084" s="7" t="s">
        <v>1111</v>
      </c>
      <c r="C1084" s="8">
        <v>599.0</v>
      </c>
      <c r="D1084" s="8">
        <v>990.0</v>
      </c>
      <c r="E1084" s="19">
        <v>0.39</v>
      </c>
      <c r="F1084" s="10">
        <v>3.9</v>
      </c>
      <c r="G1084" s="11">
        <v>16166.0</v>
      </c>
    </row>
    <row r="1085">
      <c r="A1085" s="7" t="s">
        <v>1170</v>
      </c>
      <c r="B1085" s="7" t="s">
        <v>1121</v>
      </c>
      <c r="C1085" s="8">
        <v>749.0</v>
      </c>
      <c r="D1085" s="8">
        <v>1111.0</v>
      </c>
      <c r="E1085" s="19">
        <v>0.33</v>
      </c>
      <c r="F1085" s="10">
        <v>4.2</v>
      </c>
      <c r="G1085" s="11">
        <v>35693.0</v>
      </c>
    </row>
    <row r="1086">
      <c r="A1086" s="7" t="s">
        <v>1171</v>
      </c>
      <c r="B1086" s="7" t="s">
        <v>1123</v>
      </c>
      <c r="C1086" s="8">
        <v>6199.0</v>
      </c>
      <c r="D1086" s="8">
        <v>10400.0</v>
      </c>
      <c r="E1086" s="19">
        <v>0.4</v>
      </c>
      <c r="F1086" s="10">
        <v>4.1</v>
      </c>
      <c r="G1086" s="11">
        <v>14391.0</v>
      </c>
    </row>
    <row r="1087">
      <c r="A1087" s="7" t="s">
        <v>1172</v>
      </c>
      <c r="B1087" s="7" t="s">
        <v>1173</v>
      </c>
      <c r="C1087" s="8">
        <v>1819.0</v>
      </c>
      <c r="D1087" s="8">
        <v>2490.0</v>
      </c>
      <c r="E1087" s="19">
        <v>0.27</v>
      </c>
      <c r="F1087" s="10">
        <v>4.4</v>
      </c>
      <c r="G1087" s="11">
        <v>7946.0</v>
      </c>
    </row>
    <row r="1088">
      <c r="A1088" s="7" t="s">
        <v>1174</v>
      </c>
      <c r="B1088" s="7" t="s">
        <v>1121</v>
      </c>
      <c r="C1088" s="8">
        <v>1199.0</v>
      </c>
      <c r="D1088" s="8">
        <v>1900.0</v>
      </c>
      <c r="E1088" s="19">
        <v>0.37</v>
      </c>
      <c r="F1088" s="10">
        <v>4.0</v>
      </c>
      <c r="G1088" s="11">
        <v>1765.0</v>
      </c>
    </row>
    <row r="1089">
      <c r="A1089" s="7" t="s">
        <v>1175</v>
      </c>
      <c r="B1089" s="7" t="s">
        <v>1113</v>
      </c>
      <c r="C1089" s="8">
        <v>3249.0</v>
      </c>
      <c r="D1089" s="8">
        <v>6295.0</v>
      </c>
      <c r="E1089" s="19">
        <v>0.48</v>
      </c>
      <c r="F1089" s="10">
        <v>3.8</v>
      </c>
      <c r="G1089" s="11">
        <v>14062.0</v>
      </c>
    </row>
    <row r="1090">
      <c r="A1090" s="7" t="s">
        <v>1176</v>
      </c>
      <c r="B1090" s="7" t="s">
        <v>1155</v>
      </c>
      <c r="C1090" s="8">
        <v>349.0</v>
      </c>
      <c r="D1090" s="8">
        <v>999.0</v>
      </c>
      <c r="E1090" s="19">
        <v>0.65</v>
      </c>
      <c r="F1090" s="10">
        <v>4.0</v>
      </c>
      <c r="G1090" s="11">
        <v>15646.0</v>
      </c>
    </row>
    <row r="1091">
      <c r="A1091" s="7" t="s">
        <v>1177</v>
      </c>
      <c r="B1091" s="7" t="s">
        <v>1091</v>
      </c>
      <c r="C1091" s="8">
        <v>1049.0</v>
      </c>
      <c r="D1091" s="8">
        <v>1699.0</v>
      </c>
      <c r="E1091" s="19">
        <v>0.38</v>
      </c>
      <c r="F1091" s="10">
        <v>3.1</v>
      </c>
      <c r="G1091" s="10">
        <v>111.0</v>
      </c>
    </row>
    <row r="1092">
      <c r="A1092" s="7" t="s">
        <v>1178</v>
      </c>
      <c r="B1092" s="7" t="s">
        <v>1179</v>
      </c>
      <c r="C1092" s="8">
        <v>799.0</v>
      </c>
      <c r="D1092" s="8">
        <v>1500.0</v>
      </c>
      <c r="E1092" s="19">
        <v>0.47</v>
      </c>
      <c r="F1092" s="10">
        <v>4.3</v>
      </c>
      <c r="G1092" s="11">
        <v>9695.0</v>
      </c>
    </row>
    <row r="1093">
      <c r="A1093" s="7" t="s">
        <v>1180</v>
      </c>
      <c r="B1093" s="7" t="s">
        <v>1123</v>
      </c>
      <c r="C1093" s="8">
        <v>4999.0</v>
      </c>
      <c r="D1093" s="8">
        <v>9650.0</v>
      </c>
      <c r="E1093" s="19">
        <v>0.48</v>
      </c>
      <c r="F1093" s="10">
        <v>4.2</v>
      </c>
      <c r="G1093" s="11">
        <v>1772.0</v>
      </c>
    </row>
    <row r="1094">
      <c r="A1094" s="7" t="s">
        <v>1181</v>
      </c>
      <c r="B1094" s="7" t="s">
        <v>1113</v>
      </c>
      <c r="C1094" s="8">
        <v>6999.0</v>
      </c>
      <c r="D1094" s="8">
        <v>10590.0</v>
      </c>
      <c r="E1094" s="19">
        <v>0.34</v>
      </c>
      <c r="F1094" s="10">
        <v>4.4</v>
      </c>
      <c r="G1094" s="11">
        <v>11499.0</v>
      </c>
    </row>
    <row r="1095">
      <c r="A1095" s="7" t="s">
        <v>1182</v>
      </c>
      <c r="B1095" s="7" t="s">
        <v>1095</v>
      </c>
      <c r="C1095" s="8">
        <v>799.0</v>
      </c>
      <c r="D1095" s="8">
        <v>1999.0</v>
      </c>
      <c r="E1095" s="19">
        <v>0.6</v>
      </c>
      <c r="F1095" s="10">
        <v>4.1</v>
      </c>
      <c r="G1095" s="11">
        <v>2162.0</v>
      </c>
    </row>
    <row r="1096">
      <c r="A1096" s="7" t="s">
        <v>1183</v>
      </c>
      <c r="B1096" s="7" t="s">
        <v>1184</v>
      </c>
      <c r="C1096" s="8">
        <v>89.0</v>
      </c>
      <c r="D1096" s="8">
        <v>89.0</v>
      </c>
      <c r="E1096" s="19">
        <v>0.0</v>
      </c>
      <c r="F1096" s="10">
        <v>4.2</v>
      </c>
      <c r="G1096" s="11">
        <v>19621.0</v>
      </c>
    </row>
    <row r="1097">
      <c r="A1097" s="7" t="s">
        <v>1185</v>
      </c>
      <c r="B1097" s="7" t="s">
        <v>1186</v>
      </c>
      <c r="C1097" s="8">
        <v>1400.0</v>
      </c>
      <c r="D1097" s="8">
        <v>2485.0</v>
      </c>
      <c r="E1097" s="19">
        <v>0.44</v>
      </c>
      <c r="F1097" s="10">
        <v>4.1</v>
      </c>
      <c r="G1097" s="11">
        <v>19998.0</v>
      </c>
    </row>
    <row r="1098">
      <c r="A1098" s="7" t="s">
        <v>1187</v>
      </c>
      <c r="B1098" s="7" t="s">
        <v>1137</v>
      </c>
      <c r="C1098" s="8">
        <v>355.0</v>
      </c>
      <c r="D1098" s="8">
        <v>899.0</v>
      </c>
      <c r="E1098" s="19">
        <v>0.61</v>
      </c>
      <c r="F1098" s="10">
        <v>4.1</v>
      </c>
      <c r="G1098" s="11">
        <v>1051.0</v>
      </c>
    </row>
    <row r="1099">
      <c r="A1099" s="7" t="s">
        <v>1188</v>
      </c>
      <c r="B1099" s="7" t="s">
        <v>1089</v>
      </c>
      <c r="C1099" s="8">
        <v>2169.0</v>
      </c>
      <c r="D1099" s="8">
        <v>3279.0</v>
      </c>
      <c r="E1099" s="19">
        <v>0.34</v>
      </c>
      <c r="F1099" s="10">
        <v>4.1</v>
      </c>
      <c r="G1099" s="11">
        <v>1716.0</v>
      </c>
    </row>
    <row r="1100">
      <c r="A1100" s="7" t="s">
        <v>1189</v>
      </c>
      <c r="B1100" s="7" t="s">
        <v>1190</v>
      </c>
      <c r="C1100" s="8">
        <v>2799.0</v>
      </c>
      <c r="D1100" s="8">
        <v>3799.0</v>
      </c>
      <c r="E1100" s="19">
        <v>0.26</v>
      </c>
      <c r="F1100" s="10">
        <v>3.9</v>
      </c>
      <c r="G1100" s="11">
        <v>32931.0</v>
      </c>
    </row>
    <row r="1101">
      <c r="A1101" s="7" t="s">
        <v>1191</v>
      </c>
      <c r="B1101" s="7" t="s">
        <v>1086</v>
      </c>
      <c r="C1101" s="8">
        <v>899.0</v>
      </c>
      <c r="D1101" s="8">
        <v>1249.0</v>
      </c>
      <c r="E1101" s="19">
        <v>0.28</v>
      </c>
      <c r="F1101" s="10">
        <v>3.9</v>
      </c>
      <c r="G1101" s="11">
        <v>17424.0</v>
      </c>
    </row>
    <row r="1102">
      <c r="A1102" s="7" t="s">
        <v>1192</v>
      </c>
      <c r="B1102" s="7" t="s">
        <v>1117</v>
      </c>
      <c r="C1102" s="8">
        <v>2499.0</v>
      </c>
      <c r="D1102" s="8">
        <v>5000.0</v>
      </c>
      <c r="E1102" s="19">
        <v>0.5</v>
      </c>
      <c r="F1102" s="10">
        <v>3.8</v>
      </c>
      <c r="G1102" s="11">
        <v>1889.0</v>
      </c>
    </row>
    <row r="1103">
      <c r="A1103" s="7" t="s">
        <v>1193</v>
      </c>
      <c r="B1103" s="7" t="s">
        <v>1115</v>
      </c>
      <c r="C1103" s="8">
        <v>3599.0</v>
      </c>
      <c r="D1103" s="8">
        <v>7299.0</v>
      </c>
      <c r="E1103" s="19">
        <v>0.51</v>
      </c>
      <c r="F1103" s="10">
        <v>4.0</v>
      </c>
      <c r="G1103" s="11">
        <v>10324.0</v>
      </c>
    </row>
    <row r="1104">
      <c r="A1104" s="7" t="s">
        <v>1194</v>
      </c>
      <c r="B1104" s="7" t="s">
        <v>1111</v>
      </c>
      <c r="C1104" s="8">
        <v>499.0</v>
      </c>
      <c r="D1104" s="8">
        <v>625.0</v>
      </c>
      <c r="E1104" s="19">
        <v>0.2</v>
      </c>
      <c r="F1104" s="10">
        <v>4.2</v>
      </c>
      <c r="G1104" s="11">
        <v>5355.0</v>
      </c>
    </row>
    <row r="1105">
      <c r="A1105" s="7" t="s">
        <v>1195</v>
      </c>
      <c r="B1105" s="7" t="s">
        <v>1131</v>
      </c>
      <c r="C1105" s="8">
        <v>653.0</v>
      </c>
      <c r="D1105" s="8">
        <v>1020.0</v>
      </c>
      <c r="E1105" s="19">
        <v>0.36</v>
      </c>
      <c r="F1105" s="10">
        <v>4.1</v>
      </c>
      <c r="G1105" s="11">
        <v>3366.0</v>
      </c>
    </row>
    <row r="1106">
      <c r="A1106" s="7" t="s">
        <v>1196</v>
      </c>
      <c r="B1106" s="7" t="s">
        <v>1197</v>
      </c>
      <c r="C1106" s="8">
        <v>4789.0</v>
      </c>
      <c r="D1106" s="8">
        <v>8990.0</v>
      </c>
      <c r="E1106" s="19">
        <v>0.47</v>
      </c>
      <c r="F1106" s="10">
        <v>4.3</v>
      </c>
      <c r="G1106" s="11">
        <v>1017.0</v>
      </c>
    </row>
    <row r="1107">
      <c r="A1107" s="7" t="s">
        <v>1198</v>
      </c>
      <c r="B1107" s="7" t="s">
        <v>1199</v>
      </c>
      <c r="C1107" s="8">
        <v>1409.0</v>
      </c>
      <c r="D1107" s="8">
        <v>1639.0</v>
      </c>
      <c r="E1107" s="19">
        <v>0.14</v>
      </c>
      <c r="F1107" s="10">
        <v>3.7</v>
      </c>
      <c r="G1107" s="10">
        <v>787.0</v>
      </c>
    </row>
    <row r="1108">
      <c r="A1108" s="7" t="s">
        <v>1200</v>
      </c>
      <c r="B1108" s="7" t="s">
        <v>1109</v>
      </c>
      <c r="C1108" s="8">
        <v>753.0</v>
      </c>
      <c r="D1108" s="8">
        <v>899.0</v>
      </c>
      <c r="E1108" s="19">
        <v>0.16</v>
      </c>
      <c r="F1108" s="10">
        <v>4.2</v>
      </c>
      <c r="G1108" s="11">
        <v>18462.0</v>
      </c>
    </row>
    <row r="1109">
      <c r="A1109" s="7" t="s">
        <v>1201</v>
      </c>
      <c r="B1109" s="7" t="s">
        <v>1155</v>
      </c>
      <c r="C1109" s="8">
        <v>353.0</v>
      </c>
      <c r="D1109" s="8">
        <v>1199.0</v>
      </c>
      <c r="E1109" s="19">
        <v>0.71</v>
      </c>
      <c r="F1109" s="10">
        <v>4.3</v>
      </c>
      <c r="G1109" s="10">
        <v>629.0</v>
      </c>
    </row>
    <row r="1110">
      <c r="A1110" s="7" t="s">
        <v>1202</v>
      </c>
      <c r="B1110" s="7" t="s">
        <v>1095</v>
      </c>
      <c r="C1110" s="8">
        <v>1099.0</v>
      </c>
      <c r="D1110" s="8">
        <v>1899.0</v>
      </c>
      <c r="E1110" s="19">
        <v>0.42</v>
      </c>
      <c r="F1110" s="10">
        <v>4.3</v>
      </c>
      <c r="G1110" s="11">
        <v>15276.0</v>
      </c>
    </row>
    <row r="1111">
      <c r="A1111" s="7" t="s">
        <v>1203</v>
      </c>
      <c r="B1111" s="7" t="s">
        <v>1135</v>
      </c>
      <c r="C1111" s="8">
        <v>8799.0</v>
      </c>
      <c r="D1111" s="8">
        <v>11595.0</v>
      </c>
      <c r="E1111" s="19">
        <v>0.24</v>
      </c>
      <c r="F1111" s="10">
        <v>4.4</v>
      </c>
      <c r="G1111" s="11">
        <v>2981.0</v>
      </c>
    </row>
    <row r="1112">
      <c r="A1112" s="7" t="s">
        <v>1204</v>
      </c>
      <c r="B1112" s="7" t="s">
        <v>1086</v>
      </c>
      <c r="C1112" s="8">
        <v>1345.0</v>
      </c>
      <c r="D1112" s="8">
        <v>1750.0</v>
      </c>
      <c r="E1112" s="19">
        <v>0.23</v>
      </c>
      <c r="F1112" s="10">
        <v>3.8</v>
      </c>
      <c r="G1112" s="11">
        <v>2466.0</v>
      </c>
    </row>
    <row r="1113">
      <c r="A1113" s="7" t="s">
        <v>1205</v>
      </c>
      <c r="B1113" s="7" t="s">
        <v>1206</v>
      </c>
      <c r="C1113" s="8">
        <v>2095.0</v>
      </c>
      <c r="D1113" s="8">
        <v>2095.0</v>
      </c>
      <c r="E1113" s="19">
        <v>0.0</v>
      </c>
      <c r="F1113" s="10">
        <v>4.5</v>
      </c>
      <c r="G1113" s="11">
        <v>7949.0</v>
      </c>
    </row>
    <row r="1114">
      <c r="A1114" s="7" t="s">
        <v>1207</v>
      </c>
      <c r="B1114" s="7" t="s">
        <v>1089</v>
      </c>
      <c r="C1114" s="8">
        <v>1498.0</v>
      </c>
      <c r="D1114" s="8">
        <v>2300.0</v>
      </c>
      <c r="E1114" s="19">
        <v>0.35</v>
      </c>
      <c r="F1114" s="10">
        <v>3.8</v>
      </c>
      <c r="G1114" s="10">
        <v>95.0</v>
      </c>
    </row>
    <row r="1115">
      <c r="A1115" s="7" t="s">
        <v>1208</v>
      </c>
      <c r="B1115" s="7" t="s">
        <v>1209</v>
      </c>
      <c r="C1115" s="8">
        <v>2199.0</v>
      </c>
      <c r="D1115" s="8">
        <v>2990.0</v>
      </c>
      <c r="E1115" s="19">
        <v>0.26</v>
      </c>
      <c r="F1115" s="10">
        <v>3.8</v>
      </c>
      <c r="G1115" s="11">
        <v>1558.0</v>
      </c>
    </row>
    <row r="1116">
      <c r="A1116" s="7" t="s">
        <v>1210</v>
      </c>
      <c r="B1116" s="7" t="s">
        <v>1113</v>
      </c>
      <c r="C1116" s="8">
        <v>3699.0</v>
      </c>
      <c r="D1116" s="8">
        <v>4295.0</v>
      </c>
      <c r="E1116" s="19">
        <v>0.14</v>
      </c>
      <c r="F1116" s="10">
        <v>4.1</v>
      </c>
      <c r="G1116" s="11">
        <v>26543.0</v>
      </c>
    </row>
    <row r="1117">
      <c r="A1117" s="7" t="s">
        <v>1211</v>
      </c>
      <c r="B1117" s="7" t="s">
        <v>1137</v>
      </c>
      <c r="C1117" s="8">
        <v>177.0</v>
      </c>
      <c r="D1117" s="8">
        <v>199.0</v>
      </c>
      <c r="E1117" s="19">
        <v>0.11</v>
      </c>
      <c r="F1117" s="10">
        <v>4.1</v>
      </c>
      <c r="G1117" s="11">
        <v>3688.0</v>
      </c>
    </row>
    <row r="1118">
      <c r="A1118" s="7" t="s">
        <v>1212</v>
      </c>
      <c r="B1118" s="7" t="s">
        <v>1113</v>
      </c>
      <c r="C1118" s="8">
        <v>1149.0</v>
      </c>
      <c r="D1118" s="8">
        <v>2499.0</v>
      </c>
      <c r="E1118" s="19">
        <v>0.54</v>
      </c>
      <c r="F1118" s="10">
        <v>3.8</v>
      </c>
      <c r="G1118" s="11">
        <v>4383.0</v>
      </c>
    </row>
    <row r="1119">
      <c r="A1119" s="7" t="s">
        <v>1213</v>
      </c>
      <c r="B1119" s="7" t="s">
        <v>1214</v>
      </c>
      <c r="C1119" s="8">
        <v>244.0</v>
      </c>
      <c r="D1119" s="8">
        <v>499.0</v>
      </c>
      <c r="E1119" s="19">
        <v>0.51</v>
      </c>
      <c r="F1119" s="10">
        <v>3.3</v>
      </c>
      <c r="G1119" s="10">
        <v>478.0</v>
      </c>
    </row>
    <row r="1120">
      <c r="A1120" s="7" t="s">
        <v>1215</v>
      </c>
      <c r="B1120" s="7" t="s">
        <v>1089</v>
      </c>
      <c r="C1120" s="8">
        <v>1959.0</v>
      </c>
      <c r="D1120" s="8">
        <v>2400.0</v>
      </c>
      <c r="E1120" s="19">
        <v>0.18</v>
      </c>
      <c r="F1120" s="10">
        <v>4.0</v>
      </c>
      <c r="G1120" s="10">
        <v>237.0</v>
      </c>
    </row>
    <row r="1121">
      <c r="A1121" s="7" t="s">
        <v>1216</v>
      </c>
      <c r="B1121" s="7" t="s">
        <v>1093</v>
      </c>
      <c r="C1121" s="8">
        <v>319.0</v>
      </c>
      <c r="D1121" s="8">
        <v>749.0</v>
      </c>
      <c r="E1121" s="19">
        <v>0.57</v>
      </c>
      <c r="F1121" s="10">
        <v>4.6</v>
      </c>
      <c r="G1121" s="10">
        <v>124.0</v>
      </c>
    </row>
    <row r="1122">
      <c r="A1122" s="7" t="s">
        <v>1217</v>
      </c>
      <c r="B1122" s="7" t="s">
        <v>1086</v>
      </c>
      <c r="C1122" s="8">
        <v>1499.0</v>
      </c>
      <c r="D1122" s="8">
        <v>1775.0</v>
      </c>
      <c r="E1122" s="19">
        <v>0.16</v>
      </c>
      <c r="F1122" s="10">
        <v>3.9</v>
      </c>
      <c r="G1122" s="11">
        <v>14667.0</v>
      </c>
    </row>
    <row r="1123">
      <c r="A1123" s="7" t="s">
        <v>1218</v>
      </c>
      <c r="B1123" s="7" t="s">
        <v>1093</v>
      </c>
      <c r="C1123" s="8">
        <v>469.0</v>
      </c>
      <c r="D1123" s="8">
        <v>1599.0</v>
      </c>
      <c r="E1123" s="19">
        <v>0.71</v>
      </c>
      <c r="F1123" s="10">
        <v>3.7</v>
      </c>
      <c r="G1123" s="10">
        <v>6.0</v>
      </c>
    </row>
    <row r="1124">
      <c r="A1124" s="7" t="s">
        <v>1219</v>
      </c>
      <c r="B1124" s="7" t="s">
        <v>1206</v>
      </c>
      <c r="C1124" s="8">
        <v>1099.0</v>
      </c>
      <c r="D1124" s="8">
        <v>1795.0</v>
      </c>
      <c r="E1124" s="19">
        <v>0.39</v>
      </c>
      <c r="F1124" s="10">
        <v>4.2</v>
      </c>
      <c r="G1124" s="11">
        <v>4244.0</v>
      </c>
    </row>
    <row r="1125">
      <c r="A1125" s="7" t="s">
        <v>1220</v>
      </c>
      <c r="B1125" s="7" t="s">
        <v>1091</v>
      </c>
      <c r="C1125" s="8">
        <v>9590.0</v>
      </c>
      <c r="D1125" s="8">
        <v>15999.0</v>
      </c>
      <c r="E1125" s="19">
        <v>0.4</v>
      </c>
      <c r="F1125" s="10">
        <v>4.1</v>
      </c>
      <c r="G1125" s="11">
        <v>1017.0</v>
      </c>
    </row>
    <row r="1126">
      <c r="A1126" s="7" t="s">
        <v>1221</v>
      </c>
      <c r="B1126" s="7" t="s">
        <v>1222</v>
      </c>
      <c r="C1126" s="8">
        <v>999.0</v>
      </c>
      <c r="D1126" s="8">
        <v>1490.0</v>
      </c>
      <c r="E1126" s="19">
        <v>0.33</v>
      </c>
      <c r="F1126" s="10">
        <v>4.1</v>
      </c>
      <c r="G1126" s="11">
        <v>12999.0</v>
      </c>
    </row>
    <row r="1127">
      <c r="A1127" s="7" t="s">
        <v>1223</v>
      </c>
      <c r="B1127" s="7" t="s">
        <v>1121</v>
      </c>
      <c r="C1127" s="8">
        <v>1299.0</v>
      </c>
      <c r="D1127" s="8">
        <v>1999.0</v>
      </c>
      <c r="E1127" s="19">
        <v>0.35</v>
      </c>
      <c r="F1127" s="10">
        <v>3.8</v>
      </c>
      <c r="G1127" s="10">
        <v>311.0</v>
      </c>
    </row>
    <row r="1128">
      <c r="A1128" s="7" t="s">
        <v>1224</v>
      </c>
      <c r="B1128" s="7" t="s">
        <v>1225</v>
      </c>
      <c r="C1128" s="8">
        <v>292.0</v>
      </c>
      <c r="D1128" s="8">
        <v>499.0</v>
      </c>
      <c r="E1128" s="19">
        <v>0.41</v>
      </c>
      <c r="F1128" s="10">
        <v>4.1</v>
      </c>
      <c r="G1128" s="11">
        <v>4238.0</v>
      </c>
    </row>
    <row r="1129">
      <c r="A1129" s="7" t="s">
        <v>1226</v>
      </c>
      <c r="B1129" s="7" t="s">
        <v>1184</v>
      </c>
      <c r="C1129" s="8">
        <v>160.0</v>
      </c>
      <c r="D1129" s="8">
        <v>299.0</v>
      </c>
      <c r="E1129" s="19">
        <v>0.46</v>
      </c>
      <c r="F1129" s="10">
        <v>4.6</v>
      </c>
      <c r="G1129" s="11">
        <v>2781.0</v>
      </c>
    </row>
    <row r="1130">
      <c r="A1130" s="7" t="s">
        <v>1227</v>
      </c>
      <c r="B1130" s="7" t="s">
        <v>1228</v>
      </c>
      <c r="C1130" s="8">
        <v>600.0</v>
      </c>
      <c r="D1130" s="8">
        <v>600.0</v>
      </c>
      <c r="E1130" s="19">
        <v>0.0</v>
      </c>
      <c r="F1130" s="10">
        <v>4.1</v>
      </c>
      <c r="G1130" s="11">
        <v>10907.0</v>
      </c>
    </row>
    <row r="1131">
      <c r="A1131" s="7" t="s">
        <v>1229</v>
      </c>
      <c r="B1131" s="7" t="s">
        <v>1230</v>
      </c>
      <c r="C1131" s="8">
        <v>1130.0</v>
      </c>
      <c r="D1131" s="8">
        <v>1130.0</v>
      </c>
      <c r="E1131" s="19">
        <v>0.0</v>
      </c>
      <c r="F1131" s="10">
        <v>4.2</v>
      </c>
      <c r="G1131" s="11">
        <v>13250.0</v>
      </c>
    </row>
    <row r="1132">
      <c r="A1132" s="7" t="s">
        <v>1231</v>
      </c>
      <c r="B1132" s="7" t="s">
        <v>1113</v>
      </c>
      <c r="C1132" s="8">
        <v>3249.0</v>
      </c>
      <c r="D1132" s="8">
        <v>6295.0</v>
      </c>
      <c r="E1132" s="19">
        <v>0.48</v>
      </c>
      <c r="F1132" s="10">
        <v>3.9</v>
      </c>
      <c r="G1132" s="11">
        <v>43070.0</v>
      </c>
    </row>
    <row r="1133">
      <c r="A1133" s="7" t="s">
        <v>1232</v>
      </c>
      <c r="B1133" s="7" t="s">
        <v>1113</v>
      </c>
      <c r="C1133" s="8">
        <v>3599.0</v>
      </c>
      <c r="D1133" s="8">
        <v>9455.0</v>
      </c>
      <c r="E1133" s="19">
        <v>0.62</v>
      </c>
      <c r="F1133" s="10">
        <v>4.1</v>
      </c>
      <c r="G1133" s="11">
        <v>11828.0</v>
      </c>
    </row>
    <row r="1134">
      <c r="A1134" s="7" t="s">
        <v>1233</v>
      </c>
      <c r="B1134" s="7" t="s">
        <v>1155</v>
      </c>
      <c r="C1134" s="8">
        <v>368.0</v>
      </c>
      <c r="D1134" s="8">
        <v>699.0</v>
      </c>
      <c r="E1134" s="19">
        <v>0.47</v>
      </c>
      <c r="F1134" s="10">
        <v>4.1</v>
      </c>
      <c r="G1134" s="11">
        <v>1240.0</v>
      </c>
    </row>
    <row r="1135">
      <c r="A1135" s="7" t="s">
        <v>1234</v>
      </c>
      <c r="B1135" s="7" t="s">
        <v>1113</v>
      </c>
      <c r="C1135" s="8">
        <v>3199.0</v>
      </c>
      <c r="D1135" s="8">
        <v>4999.0</v>
      </c>
      <c r="E1135" s="19">
        <v>0.36</v>
      </c>
      <c r="F1135" s="10">
        <v>4.0</v>
      </c>
      <c r="G1135" s="11">
        <v>20869.0</v>
      </c>
    </row>
    <row r="1136">
      <c r="A1136" s="7" t="s">
        <v>1235</v>
      </c>
      <c r="B1136" s="7" t="s">
        <v>1236</v>
      </c>
      <c r="C1136" s="8">
        <v>1599.0</v>
      </c>
      <c r="D1136" s="8">
        <v>2900.0</v>
      </c>
      <c r="E1136" s="19">
        <v>0.45</v>
      </c>
      <c r="F1136" s="10">
        <v>3.7</v>
      </c>
      <c r="G1136" s="10">
        <v>441.0</v>
      </c>
    </row>
    <row r="1137">
      <c r="A1137" s="7" t="s">
        <v>1237</v>
      </c>
      <c r="B1137" s="7" t="s">
        <v>1109</v>
      </c>
      <c r="C1137" s="8">
        <v>1999.0</v>
      </c>
      <c r="D1137" s="8">
        <v>2499.0</v>
      </c>
      <c r="E1137" s="19">
        <v>0.2</v>
      </c>
      <c r="F1137" s="10">
        <v>4.1</v>
      </c>
      <c r="G1137" s="11">
        <v>1034.0</v>
      </c>
    </row>
    <row r="1138">
      <c r="A1138" s="7" t="s">
        <v>1238</v>
      </c>
      <c r="B1138" s="7" t="s">
        <v>1111</v>
      </c>
      <c r="C1138" s="8">
        <v>616.0</v>
      </c>
      <c r="D1138" s="8">
        <v>1190.0</v>
      </c>
      <c r="E1138" s="19">
        <v>0.48</v>
      </c>
      <c r="F1138" s="10">
        <v>4.1</v>
      </c>
      <c r="G1138" s="11">
        <v>37126.0</v>
      </c>
    </row>
    <row r="1139">
      <c r="A1139" s="7" t="s">
        <v>1239</v>
      </c>
      <c r="B1139" s="7" t="s">
        <v>1109</v>
      </c>
      <c r="C1139" s="8">
        <v>1499.0</v>
      </c>
      <c r="D1139" s="8">
        <v>2100.0</v>
      </c>
      <c r="E1139" s="19">
        <v>0.29</v>
      </c>
      <c r="F1139" s="10">
        <v>4.1</v>
      </c>
      <c r="G1139" s="11">
        <v>6355.0</v>
      </c>
    </row>
    <row r="1140">
      <c r="A1140" s="7" t="s">
        <v>1240</v>
      </c>
      <c r="B1140" s="7" t="s">
        <v>1184</v>
      </c>
      <c r="C1140" s="8">
        <v>199.0</v>
      </c>
      <c r="D1140" s="8">
        <v>499.0</v>
      </c>
      <c r="E1140" s="19">
        <v>0.6</v>
      </c>
      <c r="F1140" s="10">
        <v>3.3</v>
      </c>
      <c r="G1140" s="10">
        <v>12.0</v>
      </c>
    </row>
    <row r="1141">
      <c r="A1141" s="7" t="s">
        <v>1241</v>
      </c>
      <c r="B1141" s="7" t="s">
        <v>1131</v>
      </c>
      <c r="C1141" s="8">
        <v>610.0</v>
      </c>
      <c r="D1141" s="8">
        <v>825.0</v>
      </c>
      <c r="E1141" s="19">
        <v>0.26</v>
      </c>
      <c r="F1141" s="10">
        <v>4.1</v>
      </c>
      <c r="G1141" s="11">
        <v>13165.0</v>
      </c>
    </row>
    <row r="1142">
      <c r="A1142" s="7" t="s">
        <v>1242</v>
      </c>
      <c r="B1142" s="7" t="s">
        <v>1173</v>
      </c>
      <c r="C1142" s="8">
        <v>999.0</v>
      </c>
      <c r="D1142" s="8">
        <v>1499.0</v>
      </c>
      <c r="E1142" s="19">
        <v>0.33</v>
      </c>
      <c r="F1142" s="10">
        <v>4.1</v>
      </c>
      <c r="G1142" s="11">
        <v>1646.0</v>
      </c>
    </row>
    <row r="1143">
      <c r="A1143" s="7" t="s">
        <v>1243</v>
      </c>
      <c r="B1143" s="7" t="s">
        <v>1190</v>
      </c>
      <c r="C1143" s="8">
        <v>8999.0</v>
      </c>
      <c r="D1143" s="8">
        <v>9995.0</v>
      </c>
      <c r="E1143" s="19">
        <v>0.1</v>
      </c>
      <c r="F1143" s="10">
        <v>4.4</v>
      </c>
      <c r="G1143" s="11">
        <v>17994.0</v>
      </c>
    </row>
    <row r="1144">
      <c r="A1144" s="7" t="s">
        <v>1244</v>
      </c>
      <c r="B1144" s="7" t="s">
        <v>1093</v>
      </c>
      <c r="C1144" s="8">
        <v>453.0</v>
      </c>
      <c r="D1144" s="8">
        <v>999.0</v>
      </c>
      <c r="E1144" s="19">
        <v>0.55</v>
      </c>
      <c r="F1144" s="10">
        <v>4.3</v>
      </c>
      <c r="G1144" s="10">
        <v>610.0</v>
      </c>
    </row>
    <row r="1145">
      <c r="A1145" s="7" t="s">
        <v>1245</v>
      </c>
      <c r="B1145" s="7" t="s">
        <v>1113</v>
      </c>
      <c r="C1145" s="8">
        <v>2464.0</v>
      </c>
      <c r="D1145" s="8">
        <v>6000.0</v>
      </c>
      <c r="E1145" s="19">
        <v>0.59</v>
      </c>
      <c r="F1145" s="10">
        <v>4.1</v>
      </c>
      <c r="G1145" s="11">
        <v>8866.0</v>
      </c>
    </row>
    <row r="1146">
      <c r="A1146" s="7" t="s">
        <v>1246</v>
      </c>
      <c r="B1146" s="7" t="s">
        <v>1236</v>
      </c>
      <c r="C1146" s="8">
        <v>2719.0</v>
      </c>
      <c r="D1146" s="8">
        <v>3945.0</v>
      </c>
      <c r="E1146" s="19">
        <v>0.31</v>
      </c>
      <c r="F1146" s="10">
        <v>3.7</v>
      </c>
      <c r="G1146" s="11">
        <v>13406.0</v>
      </c>
    </row>
    <row r="1147">
      <c r="A1147" s="7" t="s">
        <v>1247</v>
      </c>
      <c r="B1147" s="7" t="s">
        <v>1115</v>
      </c>
      <c r="C1147" s="8">
        <v>1439.0</v>
      </c>
      <c r="D1147" s="8">
        <v>1999.0</v>
      </c>
      <c r="E1147" s="19">
        <v>0.28</v>
      </c>
      <c r="F1147" s="10">
        <v>4.8</v>
      </c>
      <c r="G1147" s="11">
        <v>53803.0</v>
      </c>
    </row>
    <row r="1148">
      <c r="A1148" s="7" t="s">
        <v>1248</v>
      </c>
      <c r="B1148" s="7" t="s">
        <v>1109</v>
      </c>
      <c r="C1148" s="8">
        <v>2799.0</v>
      </c>
      <c r="D1148" s="8">
        <v>3499.0</v>
      </c>
      <c r="E1148" s="19">
        <v>0.2</v>
      </c>
      <c r="F1148" s="10">
        <v>4.5</v>
      </c>
      <c r="G1148" s="10">
        <v>546.0</v>
      </c>
    </row>
    <row r="1149">
      <c r="A1149" s="7" t="s">
        <v>1249</v>
      </c>
      <c r="B1149" s="7" t="s">
        <v>1115</v>
      </c>
      <c r="C1149" s="8">
        <v>2088.0</v>
      </c>
      <c r="D1149" s="8">
        <v>5550.0</v>
      </c>
      <c r="E1149" s="19">
        <v>0.62</v>
      </c>
      <c r="F1149" s="10">
        <v>4.0</v>
      </c>
      <c r="G1149" s="11">
        <v>5292.0</v>
      </c>
    </row>
    <row r="1150">
      <c r="A1150" s="7" t="s">
        <v>1250</v>
      </c>
      <c r="B1150" s="7" t="s">
        <v>1115</v>
      </c>
      <c r="C1150" s="8">
        <v>2399.0</v>
      </c>
      <c r="D1150" s="8">
        <v>4590.0</v>
      </c>
      <c r="E1150" s="19">
        <v>0.48</v>
      </c>
      <c r="F1150" s="10">
        <v>4.1</v>
      </c>
      <c r="G1150" s="10">
        <v>444.0</v>
      </c>
    </row>
    <row r="1151">
      <c r="A1151" s="7" t="s">
        <v>1251</v>
      </c>
      <c r="B1151" s="7" t="s">
        <v>1095</v>
      </c>
      <c r="C1151" s="8">
        <v>308.0</v>
      </c>
      <c r="D1151" s="8">
        <v>499.0</v>
      </c>
      <c r="E1151" s="19">
        <v>0.38</v>
      </c>
      <c r="F1151" s="10">
        <v>3.9</v>
      </c>
      <c r="G1151" s="11">
        <v>4584.0</v>
      </c>
    </row>
    <row r="1152">
      <c r="A1152" s="7" t="s">
        <v>1252</v>
      </c>
      <c r="B1152" s="7" t="s">
        <v>1115</v>
      </c>
      <c r="C1152" s="8">
        <v>2599.0</v>
      </c>
      <c r="D1152" s="8">
        <v>4400.0</v>
      </c>
      <c r="E1152" s="19">
        <v>0.41</v>
      </c>
      <c r="F1152" s="10">
        <v>4.1</v>
      </c>
      <c r="G1152" s="11">
        <v>14947.0</v>
      </c>
    </row>
    <row r="1153">
      <c r="A1153" s="7" t="s">
        <v>1253</v>
      </c>
      <c r="B1153" s="7" t="s">
        <v>1111</v>
      </c>
      <c r="C1153" s="8">
        <v>479.0</v>
      </c>
      <c r="D1153" s="8">
        <v>1000.0</v>
      </c>
      <c r="E1153" s="19">
        <v>0.52</v>
      </c>
      <c r="F1153" s="10">
        <v>4.2</v>
      </c>
      <c r="G1153" s="11">
        <v>1559.0</v>
      </c>
    </row>
    <row r="1154">
      <c r="A1154" s="7" t="s">
        <v>1254</v>
      </c>
      <c r="B1154" s="7" t="s">
        <v>1093</v>
      </c>
      <c r="C1154" s="8">
        <v>245.0</v>
      </c>
      <c r="D1154" s="8">
        <v>299.0</v>
      </c>
      <c r="E1154" s="19">
        <v>0.18</v>
      </c>
      <c r="F1154" s="10">
        <v>4.1</v>
      </c>
      <c r="G1154" s="11">
        <v>1660.0</v>
      </c>
    </row>
    <row r="1155">
      <c r="A1155" s="7" t="s">
        <v>1255</v>
      </c>
      <c r="B1155" s="7" t="s">
        <v>1093</v>
      </c>
      <c r="C1155" s="8">
        <v>179.0</v>
      </c>
      <c r="D1155" s="8">
        <v>799.0</v>
      </c>
      <c r="E1155" s="19">
        <v>0.78</v>
      </c>
      <c r="F1155" s="10">
        <v>3.5</v>
      </c>
      <c r="G1155" s="10">
        <v>132.0</v>
      </c>
    </row>
    <row r="1156">
      <c r="A1156" s="7" t="s">
        <v>1256</v>
      </c>
      <c r="B1156" s="7" t="s">
        <v>1186</v>
      </c>
      <c r="C1156" s="8">
        <v>3569.0</v>
      </c>
      <c r="D1156" s="8">
        <v>5190.0</v>
      </c>
      <c r="E1156" s="19">
        <v>0.31</v>
      </c>
      <c r="F1156" s="10">
        <v>4.3</v>
      </c>
      <c r="G1156" s="11">
        <v>28629.0</v>
      </c>
    </row>
    <row r="1157">
      <c r="A1157" s="7" t="s">
        <v>1257</v>
      </c>
      <c r="B1157" s="7" t="s">
        <v>1086</v>
      </c>
      <c r="C1157" s="8">
        <v>699.0</v>
      </c>
      <c r="D1157" s="8">
        <v>1345.0</v>
      </c>
      <c r="E1157" s="19">
        <v>0.48</v>
      </c>
      <c r="F1157" s="10">
        <v>3.9</v>
      </c>
      <c r="G1157" s="11">
        <v>8446.0</v>
      </c>
    </row>
    <row r="1158">
      <c r="A1158" s="7" t="s">
        <v>1258</v>
      </c>
      <c r="B1158" s="7" t="s">
        <v>1104</v>
      </c>
      <c r="C1158" s="8">
        <v>2089.0</v>
      </c>
      <c r="D1158" s="8">
        <v>4000.0</v>
      </c>
      <c r="E1158" s="19">
        <v>0.48</v>
      </c>
      <c r="F1158" s="10">
        <v>4.2</v>
      </c>
      <c r="G1158" s="11">
        <v>11199.0</v>
      </c>
    </row>
    <row r="1159">
      <c r="A1159" s="7" t="s">
        <v>1259</v>
      </c>
      <c r="B1159" s="7" t="s">
        <v>1260</v>
      </c>
      <c r="C1159" s="8">
        <v>2339.0</v>
      </c>
      <c r="D1159" s="8">
        <v>4000.0</v>
      </c>
      <c r="E1159" s="19">
        <v>0.42</v>
      </c>
      <c r="F1159" s="10">
        <v>3.8</v>
      </c>
      <c r="G1159" s="11">
        <v>1118.0</v>
      </c>
    </row>
    <row r="1160">
      <c r="A1160" s="7" t="s">
        <v>1261</v>
      </c>
      <c r="B1160" s="7" t="s">
        <v>1091</v>
      </c>
      <c r="C1160" s="8">
        <v>784.0</v>
      </c>
      <c r="D1160" s="8">
        <v>1599.0</v>
      </c>
      <c r="E1160" s="19">
        <v>0.51</v>
      </c>
      <c r="F1160" s="10">
        <v>4.5</v>
      </c>
      <c r="G1160" s="10">
        <v>11.0</v>
      </c>
    </row>
    <row r="1161">
      <c r="A1161" s="7" t="s">
        <v>1262</v>
      </c>
      <c r="B1161" s="7" t="s">
        <v>1263</v>
      </c>
      <c r="C1161" s="8">
        <v>5499.0</v>
      </c>
      <c r="D1161" s="8">
        <v>9999.0</v>
      </c>
      <c r="E1161" s="19">
        <v>0.45</v>
      </c>
      <c r="F1161" s="10">
        <v>3.8</v>
      </c>
      <c r="G1161" s="11">
        <v>4353.0</v>
      </c>
    </row>
    <row r="1162">
      <c r="A1162" s="7" t="s">
        <v>1264</v>
      </c>
      <c r="B1162" s="7" t="s">
        <v>1091</v>
      </c>
      <c r="C1162" s="8">
        <v>899.0</v>
      </c>
      <c r="D1162" s="8">
        <v>1990.0</v>
      </c>
      <c r="E1162" s="19">
        <v>0.55</v>
      </c>
      <c r="F1162" s="10">
        <v>4.1</v>
      </c>
      <c r="G1162" s="10">
        <v>185.0</v>
      </c>
    </row>
    <row r="1163">
      <c r="A1163" s="7" t="s">
        <v>1265</v>
      </c>
      <c r="B1163" s="7" t="s">
        <v>1109</v>
      </c>
      <c r="C1163" s="8">
        <v>1695.0</v>
      </c>
      <c r="D1163" s="8">
        <v>1695.0</v>
      </c>
      <c r="E1163" s="19">
        <v>0.0</v>
      </c>
      <c r="F1163" s="10">
        <v>4.2</v>
      </c>
      <c r="G1163" s="11">
        <v>14290.0</v>
      </c>
    </row>
    <row r="1164">
      <c r="A1164" s="7" t="s">
        <v>1266</v>
      </c>
      <c r="B1164" s="7" t="s">
        <v>1111</v>
      </c>
      <c r="C1164" s="8">
        <v>499.0</v>
      </c>
      <c r="D1164" s="8">
        <v>940.0</v>
      </c>
      <c r="E1164" s="19">
        <v>0.47</v>
      </c>
      <c r="F1164" s="10">
        <v>4.1</v>
      </c>
      <c r="G1164" s="11">
        <v>3036.0</v>
      </c>
    </row>
    <row r="1165">
      <c r="A1165" s="7" t="s">
        <v>1267</v>
      </c>
      <c r="B1165" s="7" t="s">
        <v>1115</v>
      </c>
      <c r="C1165" s="8">
        <v>2699.0</v>
      </c>
      <c r="D1165" s="8">
        <v>4700.0</v>
      </c>
      <c r="E1165" s="19">
        <v>0.43</v>
      </c>
      <c r="F1165" s="10">
        <v>4.2</v>
      </c>
      <c r="G1165" s="11">
        <v>1296.0</v>
      </c>
    </row>
    <row r="1166">
      <c r="A1166" s="7" t="s">
        <v>1268</v>
      </c>
      <c r="B1166" s="7" t="s">
        <v>1115</v>
      </c>
      <c r="C1166" s="8">
        <v>1448.0</v>
      </c>
      <c r="D1166" s="8">
        <v>2999.0</v>
      </c>
      <c r="E1166" s="19">
        <v>0.52</v>
      </c>
      <c r="F1166" s="10">
        <v>4.5</v>
      </c>
      <c r="G1166" s="10">
        <v>19.0</v>
      </c>
    </row>
    <row r="1167">
      <c r="A1167" s="7" t="s">
        <v>1269</v>
      </c>
      <c r="B1167" s="7" t="s">
        <v>1184</v>
      </c>
      <c r="C1167" s="8">
        <v>79.0</v>
      </c>
      <c r="D1167" s="8">
        <v>79.0</v>
      </c>
      <c r="E1167" s="19">
        <v>0.0</v>
      </c>
      <c r="F1167" s="10">
        <v>4.0</v>
      </c>
      <c r="G1167" s="10">
        <v>97.0</v>
      </c>
    </row>
    <row r="1168">
      <c r="A1168" s="7" t="s">
        <v>1270</v>
      </c>
      <c r="B1168" s="7" t="s">
        <v>1123</v>
      </c>
      <c r="C1168" s="8">
        <v>6990.0</v>
      </c>
      <c r="D1168" s="8">
        <v>14290.0</v>
      </c>
      <c r="E1168" s="19">
        <v>0.51</v>
      </c>
      <c r="F1168" s="10">
        <v>4.4</v>
      </c>
      <c r="G1168" s="11">
        <v>1771.0</v>
      </c>
    </row>
    <row r="1169">
      <c r="A1169" s="7" t="s">
        <v>1271</v>
      </c>
      <c r="B1169" s="7" t="s">
        <v>1104</v>
      </c>
      <c r="C1169" s="8">
        <v>2698.0</v>
      </c>
      <c r="D1169" s="8">
        <v>3945.0</v>
      </c>
      <c r="E1169" s="19">
        <v>0.32</v>
      </c>
      <c r="F1169" s="10">
        <v>4.0</v>
      </c>
      <c r="G1169" s="11">
        <v>15034.0</v>
      </c>
    </row>
    <row r="1170">
      <c r="A1170" s="7" t="s">
        <v>1272</v>
      </c>
      <c r="B1170" s="7" t="s">
        <v>1263</v>
      </c>
      <c r="C1170" s="8">
        <v>3199.0</v>
      </c>
      <c r="D1170" s="8">
        <v>5999.0</v>
      </c>
      <c r="E1170" s="19">
        <v>0.47</v>
      </c>
      <c r="F1170" s="10">
        <v>4.0</v>
      </c>
      <c r="G1170" s="11">
        <v>3242.0</v>
      </c>
    </row>
    <row r="1171">
      <c r="A1171" s="7" t="s">
        <v>1273</v>
      </c>
      <c r="B1171" s="7" t="s">
        <v>1121</v>
      </c>
      <c r="C1171" s="8">
        <v>1199.0</v>
      </c>
      <c r="D1171" s="8">
        <v>1950.0</v>
      </c>
      <c r="E1171" s="19">
        <v>0.39</v>
      </c>
      <c r="F1171" s="10">
        <v>3.9</v>
      </c>
      <c r="G1171" s="11">
        <v>2832.0</v>
      </c>
    </row>
    <row r="1172">
      <c r="A1172" s="7" t="s">
        <v>1274</v>
      </c>
      <c r="B1172" s="7" t="s">
        <v>1173</v>
      </c>
      <c r="C1172" s="8">
        <v>1414.0</v>
      </c>
      <c r="D1172" s="8">
        <v>2799.0</v>
      </c>
      <c r="E1172" s="19">
        <v>0.49</v>
      </c>
      <c r="F1172" s="10">
        <v>4.0</v>
      </c>
      <c r="G1172" s="11">
        <v>1498.0</v>
      </c>
    </row>
    <row r="1173">
      <c r="A1173" s="7" t="s">
        <v>1275</v>
      </c>
      <c r="B1173" s="7" t="s">
        <v>1086</v>
      </c>
      <c r="C1173" s="8">
        <v>999.0</v>
      </c>
      <c r="D1173" s="8">
        <v>1950.0</v>
      </c>
      <c r="E1173" s="19">
        <v>0.49</v>
      </c>
      <c r="F1173" s="10">
        <v>3.8</v>
      </c>
      <c r="G1173" s="10">
        <v>305.0</v>
      </c>
    </row>
    <row r="1174">
      <c r="A1174" s="7" t="s">
        <v>1276</v>
      </c>
      <c r="B1174" s="7" t="s">
        <v>1190</v>
      </c>
      <c r="C1174" s="8">
        <v>5999.0</v>
      </c>
      <c r="D1174" s="8">
        <v>9999.0</v>
      </c>
      <c r="E1174" s="19">
        <v>0.4</v>
      </c>
      <c r="F1174" s="10">
        <v>4.2</v>
      </c>
      <c r="G1174" s="11">
        <v>1191.0</v>
      </c>
    </row>
    <row r="1175">
      <c r="A1175" s="7" t="s">
        <v>1277</v>
      </c>
      <c r="B1175" s="7" t="s">
        <v>1278</v>
      </c>
      <c r="C1175" s="8">
        <v>9970.0</v>
      </c>
      <c r="D1175" s="8">
        <v>12999.0</v>
      </c>
      <c r="E1175" s="19">
        <v>0.23</v>
      </c>
      <c r="F1175" s="10">
        <v>4.3</v>
      </c>
      <c r="G1175" s="11">
        <v>4049.0</v>
      </c>
    </row>
    <row r="1176">
      <c r="A1176" s="7" t="s">
        <v>1279</v>
      </c>
      <c r="B1176" s="7" t="s">
        <v>1280</v>
      </c>
      <c r="C1176" s="8">
        <v>698.0</v>
      </c>
      <c r="D1176" s="8">
        <v>699.0</v>
      </c>
      <c r="E1176" s="19">
        <v>0.0</v>
      </c>
      <c r="F1176" s="10">
        <v>4.2</v>
      </c>
      <c r="G1176" s="11">
        <v>3160.0</v>
      </c>
    </row>
    <row r="1177">
      <c r="A1177" s="7" t="s">
        <v>1281</v>
      </c>
      <c r="B1177" s="7" t="s">
        <v>1186</v>
      </c>
      <c r="C1177" s="8">
        <v>2199.0</v>
      </c>
      <c r="D1177" s="8">
        <v>3190.0</v>
      </c>
      <c r="E1177" s="19">
        <v>0.31</v>
      </c>
      <c r="F1177" s="10">
        <v>4.3</v>
      </c>
      <c r="G1177" s="11">
        <v>9650.0</v>
      </c>
    </row>
    <row r="1178">
      <c r="A1178" s="7" t="s">
        <v>1282</v>
      </c>
      <c r="B1178" s="7" t="s">
        <v>1283</v>
      </c>
      <c r="C1178" s="8">
        <v>320.0</v>
      </c>
      <c r="D1178" s="8">
        <v>799.0</v>
      </c>
      <c r="E1178" s="19">
        <v>0.6</v>
      </c>
      <c r="F1178" s="10">
        <v>4.2</v>
      </c>
      <c r="G1178" s="11">
        <v>3846.0</v>
      </c>
    </row>
    <row r="1179">
      <c r="A1179" s="7" t="s">
        <v>1284</v>
      </c>
      <c r="B1179" s="7" t="s">
        <v>1093</v>
      </c>
      <c r="C1179" s="8">
        <v>298.0</v>
      </c>
      <c r="D1179" s="8">
        <v>499.0</v>
      </c>
      <c r="E1179" s="19">
        <v>0.4</v>
      </c>
      <c r="F1179" s="10">
        <v>4.4</v>
      </c>
      <c r="G1179" s="10">
        <v>290.0</v>
      </c>
    </row>
    <row r="1180">
      <c r="A1180" s="7" t="s">
        <v>1285</v>
      </c>
      <c r="B1180" s="7" t="s">
        <v>1144</v>
      </c>
      <c r="C1180" s="8">
        <v>1199.0</v>
      </c>
      <c r="D1180" s="8">
        <v>1499.0</v>
      </c>
      <c r="E1180" s="19">
        <v>0.2</v>
      </c>
      <c r="F1180" s="10">
        <v>3.8</v>
      </c>
      <c r="G1180" s="11">
        <v>2206.0</v>
      </c>
    </row>
    <row r="1181">
      <c r="A1181" s="7" t="s">
        <v>1286</v>
      </c>
      <c r="B1181" s="7" t="s">
        <v>1186</v>
      </c>
      <c r="C1181" s="8">
        <v>1399.0</v>
      </c>
      <c r="D1181" s="8">
        <v>2660.0</v>
      </c>
      <c r="E1181" s="19">
        <v>0.47</v>
      </c>
      <c r="F1181" s="10">
        <v>4.1</v>
      </c>
      <c r="G1181" s="11">
        <v>9349.0</v>
      </c>
    </row>
    <row r="1182">
      <c r="A1182" s="7" t="s">
        <v>1287</v>
      </c>
      <c r="B1182" s="7" t="s">
        <v>1095</v>
      </c>
      <c r="C1182" s="8">
        <v>599.0</v>
      </c>
      <c r="D1182" s="8">
        <v>2799.0</v>
      </c>
      <c r="E1182" s="19">
        <v>0.79</v>
      </c>
      <c r="F1182" s="10">
        <v>3.9</v>
      </c>
      <c r="G1182" s="10">
        <v>578.0</v>
      </c>
    </row>
    <row r="1183">
      <c r="A1183" s="7" t="s">
        <v>1288</v>
      </c>
      <c r="B1183" s="7" t="s">
        <v>1206</v>
      </c>
      <c r="C1183" s="8">
        <v>1499.0</v>
      </c>
      <c r="D1183" s="8">
        <v>1499.0</v>
      </c>
      <c r="E1183" s="19">
        <v>0.0</v>
      </c>
      <c r="F1183" s="10">
        <v>4.3</v>
      </c>
      <c r="G1183" s="11">
        <v>9331.0</v>
      </c>
    </row>
    <row r="1184">
      <c r="A1184" s="7" t="s">
        <v>1289</v>
      </c>
      <c r="B1184" s="7" t="s">
        <v>1278</v>
      </c>
      <c r="C1184" s="8">
        <v>14400.0</v>
      </c>
      <c r="D1184" s="8">
        <v>59900.0</v>
      </c>
      <c r="E1184" s="19">
        <v>0.76</v>
      </c>
      <c r="F1184" s="10">
        <v>4.4</v>
      </c>
      <c r="G1184" s="11">
        <v>3837.0</v>
      </c>
    </row>
    <row r="1185">
      <c r="A1185" s="7" t="s">
        <v>1290</v>
      </c>
      <c r="B1185" s="7" t="s">
        <v>1280</v>
      </c>
      <c r="C1185" s="8">
        <v>1699.0</v>
      </c>
      <c r="D1185" s="8">
        <v>1900.0</v>
      </c>
      <c r="E1185" s="19">
        <v>0.11</v>
      </c>
      <c r="F1185" s="10">
        <v>3.6</v>
      </c>
      <c r="G1185" s="11">
        <v>11456.0</v>
      </c>
    </row>
    <row r="1186">
      <c r="A1186" s="7" t="s">
        <v>1291</v>
      </c>
      <c r="B1186" s="7" t="s">
        <v>1089</v>
      </c>
      <c r="C1186" s="8">
        <v>649.0</v>
      </c>
      <c r="D1186" s="8">
        <v>999.0</v>
      </c>
      <c r="E1186" s="19">
        <v>0.35</v>
      </c>
      <c r="F1186" s="10">
        <v>3.8</v>
      </c>
      <c r="G1186" s="10">
        <v>49.0</v>
      </c>
    </row>
    <row r="1187">
      <c r="A1187" s="7" t="s">
        <v>1292</v>
      </c>
      <c r="B1187" s="7" t="s">
        <v>1113</v>
      </c>
      <c r="C1187" s="8">
        <v>3249.0</v>
      </c>
      <c r="D1187" s="8">
        <v>6375.0</v>
      </c>
      <c r="E1187" s="19">
        <v>0.49</v>
      </c>
      <c r="F1187" s="10">
        <v>4.0</v>
      </c>
      <c r="G1187" s="11">
        <v>4978.0</v>
      </c>
    </row>
    <row r="1188">
      <c r="A1188" s="7" t="s">
        <v>1293</v>
      </c>
      <c r="B1188" s="7" t="s">
        <v>1137</v>
      </c>
      <c r="C1188" s="8">
        <v>199.0</v>
      </c>
      <c r="D1188" s="8">
        <v>499.0</v>
      </c>
      <c r="E1188" s="19">
        <v>0.6</v>
      </c>
      <c r="F1188" s="10">
        <v>4.1</v>
      </c>
      <c r="G1188" s="11">
        <v>1996.0</v>
      </c>
    </row>
    <row r="1189">
      <c r="A1189" s="7" t="s">
        <v>1294</v>
      </c>
      <c r="B1189" s="7" t="s">
        <v>1155</v>
      </c>
      <c r="C1189" s="8">
        <v>1099.0</v>
      </c>
      <c r="D1189" s="8">
        <v>1899.0</v>
      </c>
      <c r="E1189" s="19">
        <v>0.42</v>
      </c>
      <c r="F1189" s="10">
        <v>4.3</v>
      </c>
      <c r="G1189" s="11">
        <v>1811.0</v>
      </c>
    </row>
    <row r="1190">
      <c r="A1190" s="7" t="s">
        <v>1295</v>
      </c>
      <c r="B1190" s="7" t="s">
        <v>1086</v>
      </c>
      <c r="C1190" s="8">
        <v>664.0</v>
      </c>
      <c r="D1190" s="8">
        <v>1490.0</v>
      </c>
      <c r="E1190" s="19">
        <v>0.55</v>
      </c>
      <c r="F1190" s="10">
        <v>4.0</v>
      </c>
      <c r="G1190" s="11">
        <v>2198.0</v>
      </c>
    </row>
    <row r="1191">
      <c r="A1191" s="7" t="s">
        <v>1296</v>
      </c>
      <c r="B1191" s="7" t="s">
        <v>1159</v>
      </c>
      <c r="C1191" s="8">
        <v>260.0</v>
      </c>
      <c r="D1191" s="8">
        <v>350.0</v>
      </c>
      <c r="E1191" s="19">
        <v>0.26</v>
      </c>
      <c r="F1191" s="10">
        <v>3.9</v>
      </c>
      <c r="G1191" s="11">
        <v>13127.0</v>
      </c>
    </row>
    <row r="1192">
      <c r="A1192" s="7" t="s">
        <v>1297</v>
      </c>
      <c r="B1192" s="7" t="s">
        <v>1123</v>
      </c>
      <c r="C1192" s="8">
        <v>6499.0</v>
      </c>
      <c r="D1192" s="8">
        <v>8500.0</v>
      </c>
      <c r="E1192" s="19">
        <v>0.24</v>
      </c>
      <c r="F1192" s="10">
        <v>4.4</v>
      </c>
      <c r="G1192" s="11">
        <v>5865.0</v>
      </c>
    </row>
    <row r="1193">
      <c r="A1193" s="7" t="s">
        <v>1298</v>
      </c>
      <c r="B1193" s="7" t="s">
        <v>1299</v>
      </c>
      <c r="C1193" s="8">
        <v>1484.0</v>
      </c>
      <c r="D1193" s="8">
        <v>2499.0</v>
      </c>
      <c r="E1193" s="19">
        <v>0.41</v>
      </c>
      <c r="F1193" s="10">
        <v>3.7</v>
      </c>
      <c r="G1193" s="11">
        <v>1067.0</v>
      </c>
    </row>
    <row r="1194">
      <c r="A1194" s="7" t="s">
        <v>1300</v>
      </c>
      <c r="B1194" s="7" t="s">
        <v>1139</v>
      </c>
      <c r="C1194" s="8">
        <v>999.0</v>
      </c>
      <c r="D1194" s="8">
        <v>1560.0</v>
      </c>
      <c r="E1194" s="19">
        <v>0.36</v>
      </c>
      <c r="F1194" s="10">
        <v>3.6</v>
      </c>
      <c r="G1194" s="11">
        <v>4881.0</v>
      </c>
    </row>
    <row r="1195">
      <c r="A1195" s="7" t="s">
        <v>1301</v>
      </c>
      <c r="B1195" s="7" t="s">
        <v>1144</v>
      </c>
      <c r="C1195" s="8">
        <v>3299.0</v>
      </c>
      <c r="D1195" s="8">
        <v>6500.0</v>
      </c>
      <c r="E1195" s="19">
        <v>0.49</v>
      </c>
      <c r="F1195" s="10">
        <v>3.7</v>
      </c>
      <c r="G1195" s="11">
        <v>11217.0</v>
      </c>
    </row>
    <row r="1196">
      <c r="A1196" s="7" t="s">
        <v>1302</v>
      </c>
      <c r="B1196" s="7" t="s">
        <v>1109</v>
      </c>
      <c r="C1196" s="8">
        <v>259.0</v>
      </c>
      <c r="D1196" s="8">
        <v>999.0</v>
      </c>
      <c r="E1196" s="19">
        <v>0.74</v>
      </c>
      <c r="F1196" s="10">
        <v>4.0</v>
      </c>
      <c r="G1196" s="10">
        <v>43.0</v>
      </c>
    </row>
    <row r="1197">
      <c r="A1197" s="7" t="s">
        <v>1303</v>
      </c>
      <c r="B1197" s="7" t="s">
        <v>1113</v>
      </c>
      <c r="C1197" s="8">
        <v>3249.0</v>
      </c>
      <c r="D1197" s="8">
        <v>7795.0</v>
      </c>
      <c r="E1197" s="19">
        <v>0.58</v>
      </c>
      <c r="F1197" s="10">
        <v>4.2</v>
      </c>
      <c r="G1197" s="11">
        <v>4664.0</v>
      </c>
    </row>
    <row r="1198">
      <c r="A1198" s="7" t="s">
        <v>1304</v>
      </c>
      <c r="B1198" s="7" t="s">
        <v>1139</v>
      </c>
      <c r="C1198" s="8">
        <v>4280.0</v>
      </c>
      <c r="D1198" s="8">
        <v>5995.0</v>
      </c>
      <c r="E1198" s="19">
        <v>0.29</v>
      </c>
      <c r="F1198" s="10">
        <v>3.8</v>
      </c>
      <c r="G1198" s="11">
        <v>2112.0</v>
      </c>
    </row>
    <row r="1199">
      <c r="A1199" s="7" t="s">
        <v>1305</v>
      </c>
      <c r="B1199" s="7" t="s">
        <v>1306</v>
      </c>
      <c r="C1199" s="8">
        <v>189.0</v>
      </c>
      <c r="D1199" s="8">
        <v>299.0</v>
      </c>
      <c r="E1199" s="19">
        <v>0.37</v>
      </c>
      <c r="F1199" s="10">
        <v>4.2</v>
      </c>
      <c r="G1199" s="11">
        <v>2737.0</v>
      </c>
    </row>
    <row r="1200">
      <c r="A1200" s="7" t="s">
        <v>1307</v>
      </c>
      <c r="B1200" s="7" t="s">
        <v>1186</v>
      </c>
      <c r="C1200" s="8">
        <v>1449.0</v>
      </c>
      <c r="D1200" s="8">
        <v>2349.0</v>
      </c>
      <c r="E1200" s="19">
        <v>0.38</v>
      </c>
      <c r="F1200" s="10">
        <v>3.9</v>
      </c>
      <c r="G1200" s="11">
        <v>9019.0</v>
      </c>
    </row>
    <row r="1201">
      <c r="A1201" s="7" t="s">
        <v>1308</v>
      </c>
      <c r="B1201" s="7" t="s">
        <v>1137</v>
      </c>
      <c r="C1201" s="8">
        <v>199.0</v>
      </c>
      <c r="D1201" s="8">
        <v>499.0</v>
      </c>
      <c r="E1201" s="19">
        <v>0.6</v>
      </c>
      <c r="F1201" s="10">
        <v>4.0</v>
      </c>
      <c r="G1201" s="11">
        <v>10234.0</v>
      </c>
    </row>
    <row r="1202">
      <c r="A1202" s="7" t="s">
        <v>1309</v>
      </c>
      <c r="B1202" s="7" t="s">
        <v>1310</v>
      </c>
      <c r="C1202" s="8">
        <v>474.0</v>
      </c>
      <c r="D1202" s="8">
        <v>1299.0</v>
      </c>
      <c r="E1202" s="19">
        <v>0.64</v>
      </c>
      <c r="F1202" s="10">
        <v>4.1</v>
      </c>
      <c r="G1202" s="10">
        <v>550.0</v>
      </c>
    </row>
    <row r="1203">
      <c r="A1203" s="7" t="s">
        <v>1311</v>
      </c>
      <c r="B1203" s="7" t="s">
        <v>1109</v>
      </c>
      <c r="C1203" s="8">
        <v>279.0</v>
      </c>
      <c r="D1203" s="8">
        <v>499.0</v>
      </c>
      <c r="E1203" s="19">
        <v>0.44</v>
      </c>
      <c r="F1203" s="10">
        <v>4.8</v>
      </c>
      <c r="G1203" s="10">
        <v>28.0</v>
      </c>
    </row>
    <row r="1204">
      <c r="A1204" s="7" t="s">
        <v>1312</v>
      </c>
      <c r="B1204" s="7" t="s">
        <v>1186</v>
      </c>
      <c r="C1204" s="8">
        <v>1999.0</v>
      </c>
      <c r="D1204" s="8">
        <v>4775.0</v>
      </c>
      <c r="E1204" s="19">
        <v>0.58</v>
      </c>
      <c r="F1204" s="10">
        <v>4.2</v>
      </c>
      <c r="G1204" s="11">
        <v>1353.0</v>
      </c>
    </row>
    <row r="1205">
      <c r="A1205" s="7" t="s">
        <v>1313</v>
      </c>
      <c r="B1205" s="7" t="s">
        <v>1093</v>
      </c>
      <c r="C1205" s="8">
        <v>799.0</v>
      </c>
      <c r="D1205" s="8">
        <v>1230.0</v>
      </c>
      <c r="E1205" s="19">
        <v>0.35</v>
      </c>
      <c r="F1205" s="10">
        <v>4.1</v>
      </c>
      <c r="G1205" s="11">
        <v>2138.0</v>
      </c>
    </row>
    <row r="1206">
      <c r="A1206" s="7" t="s">
        <v>1314</v>
      </c>
      <c r="B1206" s="7" t="s">
        <v>1173</v>
      </c>
      <c r="C1206" s="8">
        <v>949.0</v>
      </c>
      <c r="D1206" s="8">
        <v>1999.0</v>
      </c>
      <c r="E1206" s="19">
        <v>0.53</v>
      </c>
      <c r="F1206" s="10">
        <v>4.0</v>
      </c>
      <c r="G1206" s="11">
        <v>1679.0</v>
      </c>
    </row>
    <row r="1207">
      <c r="A1207" s="7" t="s">
        <v>1315</v>
      </c>
      <c r="B1207" s="7" t="s">
        <v>1316</v>
      </c>
      <c r="C1207" s="8">
        <v>3657.66</v>
      </c>
      <c r="D1207" s="8">
        <v>5156.0</v>
      </c>
      <c r="E1207" s="19">
        <v>0.29</v>
      </c>
      <c r="F1207" s="10">
        <v>3.9</v>
      </c>
      <c r="G1207" s="11">
        <v>12837.0</v>
      </c>
    </row>
    <row r="1208">
      <c r="A1208" s="7" t="s">
        <v>1317</v>
      </c>
      <c r="B1208" s="7" t="s">
        <v>1318</v>
      </c>
      <c r="C1208" s="8">
        <v>1699.0</v>
      </c>
      <c r="D1208" s="8">
        <v>1999.0</v>
      </c>
      <c r="E1208" s="19">
        <v>0.15</v>
      </c>
      <c r="F1208" s="10">
        <v>4.1</v>
      </c>
      <c r="G1208" s="11">
        <v>8873.0</v>
      </c>
    </row>
    <row r="1209">
      <c r="A1209" s="7" t="s">
        <v>1319</v>
      </c>
      <c r="B1209" s="7" t="s">
        <v>1139</v>
      </c>
      <c r="C1209" s="8">
        <v>1849.0</v>
      </c>
      <c r="D1209" s="8">
        <v>2095.0</v>
      </c>
      <c r="E1209" s="19">
        <v>0.12</v>
      </c>
      <c r="F1209" s="10">
        <v>4.3</v>
      </c>
      <c r="G1209" s="11">
        <v>7681.0</v>
      </c>
    </row>
    <row r="1210">
      <c r="A1210" s="7" t="s">
        <v>1320</v>
      </c>
      <c r="B1210" s="7" t="s">
        <v>1091</v>
      </c>
      <c r="C1210" s="8">
        <v>12499.0</v>
      </c>
      <c r="D1210" s="8">
        <v>19825.0</v>
      </c>
      <c r="E1210" s="19">
        <v>0.37</v>
      </c>
      <c r="F1210" s="10">
        <v>4.1</v>
      </c>
      <c r="G1210" s="10">
        <v>322.0</v>
      </c>
    </row>
    <row r="1211">
      <c r="A1211" s="7" t="s">
        <v>1321</v>
      </c>
      <c r="B1211" s="7" t="s">
        <v>1111</v>
      </c>
      <c r="C1211" s="8">
        <v>1099.0</v>
      </c>
      <c r="D1211" s="8">
        <v>1920.0</v>
      </c>
      <c r="E1211" s="19">
        <v>0.43</v>
      </c>
      <c r="F1211" s="10">
        <v>4.2</v>
      </c>
      <c r="G1211" s="11">
        <v>9772.0</v>
      </c>
    </row>
    <row r="1212">
      <c r="A1212" s="7" t="s">
        <v>1322</v>
      </c>
      <c r="B1212" s="7" t="s">
        <v>1280</v>
      </c>
      <c r="C1212" s="8">
        <v>8199.0</v>
      </c>
      <c r="D1212" s="8">
        <v>16000.0</v>
      </c>
      <c r="E1212" s="19">
        <v>0.49</v>
      </c>
      <c r="F1212" s="10">
        <v>3.9</v>
      </c>
      <c r="G1212" s="11">
        <v>18497.0</v>
      </c>
    </row>
    <row r="1213">
      <c r="A1213" s="7" t="s">
        <v>1323</v>
      </c>
      <c r="B1213" s="7" t="s">
        <v>1144</v>
      </c>
      <c r="C1213" s="8">
        <v>499.0</v>
      </c>
      <c r="D1213" s="8">
        <v>2199.0</v>
      </c>
      <c r="E1213" s="19">
        <v>0.77</v>
      </c>
      <c r="F1213" s="10">
        <v>3.7</v>
      </c>
      <c r="G1213" s="10">
        <v>53.0</v>
      </c>
    </row>
    <row r="1214">
      <c r="A1214" s="7" t="s">
        <v>1324</v>
      </c>
      <c r="B1214" s="7" t="s">
        <v>1148</v>
      </c>
      <c r="C1214" s="8">
        <v>6999.0</v>
      </c>
      <c r="D1214" s="8">
        <v>14999.0</v>
      </c>
      <c r="E1214" s="19">
        <v>0.53</v>
      </c>
      <c r="F1214" s="10">
        <v>4.1</v>
      </c>
      <c r="G1214" s="11">
        <v>1728.0</v>
      </c>
    </row>
    <row r="1215">
      <c r="A1215" s="7" t="s">
        <v>1325</v>
      </c>
      <c r="B1215" s="7" t="s">
        <v>1184</v>
      </c>
      <c r="C1215" s="8">
        <v>1595.0</v>
      </c>
      <c r="D1215" s="8">
        <v>1799.0</v>
      </c>
      <c r="E1215" s="19">
        <v>0.11</v>
      </c>
      <c r="F1215" s="10">
        <v>4.0</v>
      </c>
      <c r="G1215" s="11">
        <v>2877.0</v>
      </c>
    </row>
    <row r="1216">
      <c r="A1216" s="7" t="s">
        <v>1326</v>
      </c>
      <c r="B1216" s="7" t="s">
        <v>1111</v>
      </c>
      <c r="C1216" s="8">
        <v>1049.0</v>
      </c>
      <c r="D1216" s="8">
        <v>1950.0</v>
      </c>
      <c r="E1216" s="19">
        <v>0.46</v>
      </c>
      <c r="F1216" s="10">
        <v>3.8</v>
      </c>
      <c r="G1216" s="10">
        <v>250.0</v>
      </c>
    </row>
    <row r="1217">
      <c r="A1217" s="7" t="s">
        <v>1327</v>
      </c>
      <c r="B1217" s="7" t="s">
        <v>1121</v>
      </c>
      <c r="C1217" s="8">
        <v>1182.0</v>
      </c>
      <c r="D1217" s="8">
        <v>2995.0</v>
      </c>
      <c r="E1217" s="19">
        <v>0.61</v>
      </c>
      <c r="F1217" s="10">
        <v>4.2</v>
      </c>
      <c r="G1217" s="11">
        <v>5178.0</v>
      </c>
    </row>
    <row r="1218">
      <c r="A1218" s="7" t="s">
        <v>1328</v>
      </c>
      <c r="B1218" s="7" t="s">
        <v>1093</v>
      </c>
      <c r="C1218" s="8">
        <v>499.0</v>
      </c>
      <c r="D1218" s="8">
        <v>999.0</v>
      </c>
      <c r="E1218" s="19">
        <v>0.5</v>
      </c>
      <c r="F1218" s="10">
        <v>4.6</v>
      </c>
      <c r="G1218" s="10">
        <v>79.0</v>
      </c>
    </row>
    <row r="1219">
      <c r="A1219" s="7" t="s">
        <v>1329</v>
      </c>
      <c r="B1219" s="7" t="s">
        <v>1278</v>
      </c>
      <c r="C1219" s="8">
        <v>8799.0</v>
      </c>
      <c r="D1219" s="8">
        <v>11995.0</v>
      </c>
      <c r="E1219" s="19">
        <v>0.27</v>
      </c>
      <c r="F1219" s="10">
        <v>4.1</v>
      </c>
      <c r="G1219" s="11">
        <v>4157.0</v>
      </c>
    </row>
    <row r="1220">
      <c r="A1220" s="7" t="s">
        <v>1330</v>
      </c>
      <c r="B1220" s="7" t="s">
        <v>1089</v>
      </c>
      <c r="C1220" s="8">
        <v>1529.0</v>
      </c>
      <c r="D1220" s="8">
        <v>2999.0</v>
      </c>
      <c r="E1220" s="19">
        <v>0.49</v>
      </c>
      <c r="F1220" s="10">
        <v>3.3</v>
      </c>
      <c r="G1220" s="10">
        <v>29.0</v>
      </c>
    </row>
    <row r="1221">
      <c r="A1221" s="7" t="s">
        <v>1331</v>
      </c>
      <c r="B1221" s="7" t="s">
        <v>1111</v>
      </c>
      <c r="C1221" s="8">
        <v>1199.0</v>
      </c>
      <c r="D1221" s="8">
        <v>1690.0</v>
      </c>
      <c r="E1221" s="19">
        <v>0.29</v>
      </c>
      <c r="F1221" s="10">
        <v>4.2</v>
      </c>
      <c r="G1221" s="11">
        <v>4580.0</v>
      </c>
    </row>
    <row r="1222">
      <c r="A1222" s="7" t="s">
        <v>1332</v>
      </c>
      <c r="B1222" s="7" t="s">
        <v>1155</v>
      </c>
      <c r="C1222" s="8">
        <v>1052.0</v>
      </c>
      <c r="D1222" s="8">
        <v>1790.0</v>
      </c>
      <c r="E1222" s="19">
        <v>0.41</v>
      </c>
      <c r="F1222" s="10">
        <v>4.3</v>
      </c>
      <c r="G1222" s="11">
        <v>1404.0</v>
      </c>
    </row>
    <row r="1223">
      <c r="A1223" s="7" t="s">
        <v>1333</v>
      </c>
      <c r="B1223" s="7" t="s">
        <v>1334</v>
      </c>
      <c r="C1223" s="8">
        <v>6499.0</v>
      </c>
      <c r="D1223" s="8">
        <v>8995.0</v>
      </c>
      <c r="E1223" s="19">
        <v>0.28</v>
      </c>
      <c r="F1223" s="10">
        <v>4.3</v>
      </c>
      <c r="G1223" s="11">
        <v>2810.0</v>
      </c>
    </row>
    <row r="1224">
      <c r="A1224" s="7" t="s">
        <v>1335</v>
      </c>
      <c r="B1224" s="7" t="s">
        <v>1179</v>
      </c>
      <c r="C1224" s="8">
        <v>239.0</v>
      </c>
      <c r="D1224" s="8">
        <v>239.0</v>
      </c>
      <c r="E1224" s="19">
        <v>0.0</v>
      </c>
      <c r="F1224" s="10">
        <v>4.3</v>
      </c>
      <c r="G1224" s="10">
        <v>7.0</v>
      </c>
    </row>
    <row r="1225">
      <c r="A1225" s="7" t="s">
        <v>1336</v>
      </c>
      <c r="B1225" s="7" t="s">
        <v>1109</v>
      </c>
      <c r="C1225" s="8">
        <v>699.0</v>
      </c>
      <c r="D1225" s="8">
        <v>1599.0</v>
      </c>
      <c r="E1225" s="19">
        <v>0.56</v>
      </c>
      <c r="F1225" s="10">
        <v>4.7</v>
      </c>
      <c r="G1225" s="11">
        <v>1729.0</v>
      </c>
    </row>
    <row r="1226">
      <c r="A1226" s="7" t="s">
        <v>1337</v>
      </c>
      <c r="B1226" s="7" t="s">
        <v>1338</v>
      </c>
      <c r="C1226" s="8">
        <v>2599.0</v>
      </c>
      <c r="D1226" s="8">
        <v>4290.0</v>
      </c>
      <c r="E1226" s="19">
        <v>0.39</v>
      </c>
      <c r="F1226" s="10">
        <v>4.4</v>
      </c>
      <c r="G1226" s="11">
        <v>2116.0</v>
      </c>
    </row>
    <row r="1227">
      <c r="A1227" s="7" t="s">
        <v>1339</v>
      </c>
      <c r="B1227" s="7" t="s">
        <v>1148</v>
      </c>
      <c r="C1227" s="8">
        <v>1547.0</v>
      </c>
      <c r="D1227" s="8">
        <v>2890.0</v>
      </c>
      <c r="E1227" s="19">
        <v>0.46</v>
      </c>
      <c r="F1227" s="10">
        <v>3.9</v>
      </c>
      <c r="G1227" s="10">
        <v>463.0</v>
      </c>
    </row>
    <row r="1228">
      <c r="A1228" s="7" t="s">
        <v>1340</v>
      </c>
      <c r="B1228" s="7" t="s">
        <v>1109</v>
      </c>
      <c r="C1228" s="8">
        <v>499.0</v>
      </c>
      <c r="D1228" s="8">
        <v>1299.0</v>
      </c>
      <c r="E1228" s="19">
        <v>0.62</v>
      </c>
      <c r="F1228" s="10">
        <v>4.7</v>
      </c>
      <c r="G1228" s="10">
        <v>54.0</v>
      </c>
    </row>
    <row r="1229">
      <c r="A1229" s="7" t="s">
        <v>1341</v>
      </c>
      <c r="B1229" s="7" t="s">
        <v>1131</v>
      </c>
      <c r="C1229" s="8">
        <v>510.0</v>
      </c>
      <c r="D1229" s="8">
        <v>640.0</v>
      </c>
      <c r="E1229" s="19">
        <v>0.2</v>
      </c>
      <c r="F1229" s="10">
        <v>4.1</v>
      </c>
      <c r="G1229" s="11">
        <v>7229.0</v>
      </c>
    </row>
    <row r="1230">
      <c r="A1230" s="7" t="s">
        <v>1342</v>
      </c>
      <c r="B1230" s="7" t="s">
        <v>1115</v>
      </c>
      <c r="C1230" s="8">
        <v>1899.0</v>
      </c>
      <c r="D1230" s="8">
        <v>3790.0</v>
      </c>
      <c r="E1230" s="19">
        <v>0.5</v>
      </c>
      <c r="F1230" s="10">
        <v>3.8</v>
      </c>
      <c r="G1230" s="11">
        <v>3842.0</v>
      </c>
    </row>
    <row r="1231">
      <c r="A1231" s="7" t="s">
        <v>1343</v>
      </c>
      <c r="B1231" s="7" t="s">
        <v>1115</v>
      </c>
      <c r="C1231" s="8">
        <v>2599.0</v>
      </c>
      <c r="D1231" s="8">
        <v>4560.0</v>
      </c>
      <c r="E1231" s="19">
        <v>0.43</v>
      </c>
      <c r="F1231" s="10">
        <v>4.4</v>
      </c>
      <c r="G1231" s="10">
        <v>646.0</v>
      </c>
    </row>
    <row r="1232">
      <c r="A1232" s="7" t="s">
        <v>1344</v>
      </c>
      <c r="B1232" s="7" t="s">
        <v>1155</v>
      </c>
      <c r="C1232" s="8">
        <v>1199.0</v>
      </c>
      <c r="D1232" s="8">
        <v>3500.0</v>
      </c>
      <c r="E1232" s="19">
        <v>0.66</v>
      </c>
      <c r="F1232" s="10">
        <v>4.3</v>
      </c>
      <c r="G1232" s="11">
        <v>1802.0</v>
      </c>
    </row>
    <row r="1233">
      <c r="A1233" s="7" t="s">
        <v>1345</v>
      </c>
      <c r="B1233" s="7" t="s">
        <v>1115</v>
      </c>
      <c r="C1233" s="8">
        <v>999.0</v>
      </c>
      <c r="D1233" s="8">
        <v>2600.0</v>
      </c>
      <c r="E1233" s="19">
        <v>0.62</v>
      </c>
      <c r="F1233" s="10">
        <v>3.4</v>
      </c>
      <c r="G1233" s="10">
        <v>252.0</v>
      </c>
    </row>
    <row r="1234">
      <c r="A1234" s="7" t="s">
        <v>1346</v>
      </c>
      <c r="B1234" s="7" t="s">
        <v>1104</v>
      </c>
      <c r="C1234" s="8">
        <v>1999.0</v>
      </c>
      <c r="D1234" s="8">
        <v>3300.0</v>
      </c>
      <c r="E1234" s="19">
        <v>0.39</v>
      </c>
      <c r="F1234" s="10">
        <v>4.2</v>
      </c>
      <c r="G1234" s="10">
        <v>780.0</v>
      </c>
    </row>
    <row r="1235">
      <c r="A1235" s="7" t="s">
        <v>1347</v>
      </c>
      <c r="B1235" s="7" t="s">
        <v>1109</v>
      </c>
      <c r="C1235" s="8">
        <v>210.0</v>
      </c>
      <c r="D1235" s="8">
        <v>699.0</v>
      </c>
      <c r="E1235" s="19">
        <v>0.7</v>
      </c>
      <c r="F1235" s="10">
        <v>3.7</v>
      </c>
      <c r="G1235" s="10">
        <v>74.0</v>
      </c>
    </row>
    <row r="1236">
      <c r="A1236" s="7" t="s">
        <v>1348</v>
      </c>
      <c r="B1236" s="7" t="s">
        <v>1278</v>
      </c>
      <c r="C1236" s="8">
        <v>14499.0</v>
      </c>
      <c r="D1236" s="8">
        <v>23559.0</v>
      </c>
      <c r="E1236" s="19">
        <v>0.38</v>
      </c>
      <c r="F1236" s="10">
        <v>4.3</v>
      </c>
      <c r="G1236" s="11">
        <v>2026.0</v>
      </c>
    </row>
    <row r="1237">
      <c r="A1237" s="7" t="s">
        <v>1349</v>
      </c>
      <c r="B1237" s="7" t="s">
        <v>1137</v>
      </c>
      <c r="C1237" s="8">
        <v>950.0</v>
      </c>
      <c r="D1237" s="8">
        <v>1599.0</v>
      </c>
      <c r="E1237" s="19">
        <v>0.41</v>
      </c>
      <c r="F1237" s="10">
        <v>4.3</v>
      </c>
      <c r="G1237" s="11">
        <v>5911.0</v>
      </c>
    </row>
    <row r="1238">
      <c r="A1238" s="7" t="s">
        <v>1350</v>
      </c>
      <c r="B1238" s="7" t="s">
        <v>1135</v>
      </c>
      <c r="C1238" s="8">
        <v>7199.0</v>
      </c>
      <c r="D1238" s="8">
        <v>9995.0</v>
      </c>
      <c r="E1238" s="19">
        <v>0.28</v>
      </c>
      <c r="F1238" s="10">
        <v>4.4</v>
      </c>
      <c r="G1238" s="11">
        <v>1964.0</v>
      </c>
    </row>
    <row r="1239">
      <c r="A1239" s="7" t="s">
        <v>1351</v>
      </c>
      <c r="B1239" s="7" t="s">
        <v>1089</v>
      </c>
      <c r="C1239" s="8">
        <v>2439.0</v>
      </c>
      <c r="D1239" s="8">
        <v>2545.0</v>
      </c>
      <c r="E1239" s="19">
        <v>0.04</v>
      </c>
      <c r="F1239" s="10">
        <v>4.1</v>
      </c>
      <c r="G1239" s="10">
        <v>25.0</v>
      </c>
    </row>
    <row r="1240">
      <c r="A1240" s="7" t="s">
        <v>1352</v>
      </c>
      <c r="B1240" s="7" t="s">
        <v>1139</v>
      </c>
      <c r="C1240" s="8">
        <v>7799.0</v>
      </c>
      <c r="D1240" s="8">
        <v>8995.0</v>
      </c>
      <c r="E1240" s="19">
        <v>0.13</v>
      </c>
      <c r="F1240" s="10">
        <v>4.0</v>
      </c>
      <c r="G1240" s="11">
        <v>3160.0</v>
      </c>
    </row>
    <row r="1241">
      <c r="A1241" s="7" t="s">
        <v>1353</v>
      </c>
      <c r="B1241" s="7" t="s">
        <v>1173</v>
      </c>
      <c r="C1241" s="8">
        <v>1599.0</v>
      </c>
      <c r="D1241" s="8">
        <v>1999.0</v>
      </c>
      <c r="E1241" s="19">
        <v>0.2</v>
      </c>
      <c r="F1241" s="10">
        <v>4.4</v>
      </c>
      <c r="G1241" s="11">
        <v>1558.0</v>
      </c>
    </row>
    <row r="1242">
      <c r="A1242" s="7" t="s">
        <v>1354</v>
      </c>
      <c r="B1242" s="7" t="s">
        <v>1113</v>
      </c>
      <c r="C1242" s="8">
        <v>2899.0</v>
      </c>
      <c r="D1242" s="8">
        <v>5500.0</v>
      </c>
      <c r="E1242" s="19">
        <v>0.47</v>
      </c>
      <c r="F1242" s="10">
        <v>3.8</v>
      </c>
      <c r="G1242" s="11">
        <v>8958.0</v>
      </c>
    </row>
    <row r="1243">
      <c r="A1243" s="7" t="s">
        <v>1355</v>
      </c>
      <c r="B1243" s="7" t="s">
        <v>1299</v>
      </c>
      <c r="C1243" s="8">
        <v>9799.0</v>
      </c>
      <c r="D1243" s="8">
        <v>12150.0</v>
      </c>
      <c r="E1243" s="19">
        <v>0.19</v>
      </c>
      <c r="F1243" s="10">
        <v>4.3</v>
      </c>
      <c r="G1243" s="11">
        <v>13251.0</v>
      </c>
    </row>
    <row r="1244">
      <c r="A1244" s="7" t="s">
        <v>1356</v>
      </c>
      <c r="B1244" s="7" t="s">
        <v>1139</v>
      </c>
      <c r="C1244" s="8">
        <v>3299.0</v>
      </c>
      <c r="D1244" s="8">
        <v>4995.0</v>
      </c>
      <c r="E1244" s="19">
        <v>0.34</v>
      </c>
      <c r="F1244" s="10">
        <v>3.8</v>
      </c>
      <c r="G1244" s="11">
        <v>1393.0</v>
      </c>
    </row>
    <row r="1245">
      <c r="A1245" s="7" t="s">
        <v>1357</v>
      </c>
      <c r="B1245" s="7" t="s">
        <v>1109</v>
      </c>
      <c r="C1245" s="8">
        <v>669.0</v>
      </c>
      <c r="D1245" s="8">
        <v>1499.0</v>
      </c>
      <c r="E1245" s="19">
        <v>0.55</v>
      </c>
      <c r="F1245" s="10">
        <v>2.3</v>
      </c>
      <c r="G1245" s="10">
        <v>13.0</v>
      </c>
    </row>
    <row r="1246">
      <c r="A1246" s="7" t="s">
        <v>1358</v>
      </c>
      <c r="B1246" s="7" t="s">
        <v>1144</v>
      </c>
      <c r="C1246" s="8">
        <v>5890.0</v>
      </c>
      <c r="D1246" s="8">
        <v>7506.0</v>
      </c>
      <c r="E1246" s="19">
        <v>0.22</v>
      </c>
      <c r="F1246" s="10">
        <v>4.5</v>
      </c>
      <c r="G1246" s="11">
        <v>7241.0</v>
      </c>
    </row>
    <row r="1247">
      <c r="A1247" s="7" t="s">
        <v>1359</v>
      </c>
      <c r="B1247" s="7" t="s">
        <v>1280</v>
      </c>
      <c r="C1247" s="8">
        <v>9199.0</v>
      </c>
      <c r="D1247" s="8">
        <v>18000.0</v>
      </c>
      <c r="E1247" s="19">
        <v>0.49</v>
      </c>
      <c r="F1247" s="10">
        <v>4.0</v>
      </c>
      <c r="G1247" s="11">
        <v>16020.0</v>
      </c>
    </row>
    <row r="1248">
      <c r="A1248" s="7" t="s">
        <v>1360</v>
      </c>
      <c r="B1248" s="7" t="s">
        <v>1137</v>
      </c>
      <c r="C1248" s="8">
        <v>351.0</v>
      </c>
      <c r="D1248" s="8">
        <v>1099.0</v>
      </c>
      <c r="E1248" s="19">
        <v>0.68</v>
      </c>
      <c r="F1248" s="10">
        <v>3.7</v>
      </c>
      <c r="G1248" s="11">
        <v>1470.0</v>
      </c>
    </row>
    <row r="1249">
      <c r="A1249" s="7" t="s">
        <v>1361</v>
      </c>
      <c r="B1249" s="7" t="s">
        <v>1362</v>
      </c>
      <c r="C1249" s="8">
        <v>899.0</v>
      </c>
      <c r="D1249" s="8">
        <v>1900.0</v>
      </c>
      <c r="E1249" s="19">
        <v>0.53</v>
      </c>
      <c r="F1249" s="10">
        <v>4.0</v>
      </c>
      <c r="G1249" s="11">
        <v>3663.0</v>
      </c>
    </row>
    <row r="1250">
      <c r="A1250" s="7" t="s">
        <v>1363</v>
      </c>
      <c r="B1250" s="7" t="s">
        <v>1121</v>
      </c>
      <c r="C1250" s="8">
        <v>1349.0</v>
      </c>
      <c r="D1250" s="8">
        <v>1850.0</v>
      </c>
      <c r="E1250" s="19">
        <v>0.27</v>
      </c>
      <c r="F1250" s="10">
        <v>4.4</v>
      </c>
      <c r="G1250" s="10">
        <v>638.0</v>
      </c>
    </row>
    <row r="1251">
      <c r="A1251" s="7" t="s">
        <v>1364</v>
      </c>
      <c r="B1251" s="7" t="s">
        <v>1263</v>
      </c>
      <c r="C1251" s="8">
        <v>6236.0</v>
      </c>
      <c r="D1251" s="8">
        <v>9999.0</v>
      </c>
      <c r="E1251" s="19">
        <v>0.38</v>
      </c>
      <c r="F1251" s="10">
        <v>4.1</v>
      </c>
      <c r="G1251" s="11">
        <v>3552.0</v>
      </c>
    </row>
    <row r="1252">
      <c r="A1252" s="7" t="s">
        <v>1365</v>
      </c>
      <c r="B1252" s="7" t="s">
        <v>1109</v>
      </c>
      <c r="C1252" s="8">
        <v>2742.0</v>
      </c>
      <c r="D1252" s="8">
        <v>3995.0</v>
      </c>
      <c r="E1252" s="19">
        <v>0.31</v>
      </c>
      <c r="F1252" s="10">
        <v>4.4</v>
      </c>
      <c r="G1252" s="11">
        <v>11148.0</v>
      </c>
    </row>
    <row r="1253">
      <c r="A1253" s="7" t="s">
        <v>1366</v>
      </c>
      <c r="B1253" s="7" t="s">
        <v>1299</v>
      </c>
      <c r="C1253" s="8">
        <v>721.0</v>
      </c>
      <c r="D1253" s="8">
        <v>1499.0</v>
      </c>
      <c r="E1253" s="19">
        <v>0.52</v>
      </c>
      <c r="F1253" s="10">
        <v>3.1</v>
      </c>
      <c r="G1253" s="11">
        <v>2449.0</v>
      </c>
    </row>
    <row r="1254">
      <c r="A1254" s="7" t="s">
        <v>1367</v>
      </c>
      <c r="B1254" s="7" t="s">
        <v>1139</v>
      </c>
      <c r="C1254" s="8">
        <v>2903.0</v>
      </c>
      <c r="D1254" s="8">
        <v>3295.0</v>
      </c>
      <c r="E1254" s="19">
        <v>0.12</v>
      </c>
      <c r="F1254" s="10">
        <v>4.3</v>
      </c>
      <c r="G1254" s="11">
        <v>2299.0</v>
      </c>
    </row>
    <row r="1255">
      <c r="A1255" s="7" t="s">
        <v>1368</v>
      </c>
      <c r="B1255" s="7" t="s">
        <v>1173</v>
      </c>
      <c r="C1255" s="8">
        <v>1656.0</v>
      </c>
      <c r="D1255" s="8">
        <v>2695.0</v>
      </c>
      <c r="E1255" s="19">
        <v>0.39</v>
      </c>
      <c r="F1255" s="10">
        <v>4.4</v>
      </c>
      <c r="G1255" s="11">
        <v>6027.0</v>
      </c>
    </row>
    <row r="1256">
      <c r="A1256" s="7" t="s">
        <v>1369</v>
      </c>
      <c r="B1256" s="7" t="s">
        <v>1155</v>
      </c>
      <c r="C1256" s="8">
        <v>1399.0</v>
      </c>
      <c r="D1256" s="8">
        <v>2290.0</v>
      </c>
      <c r="E1256" s="19">
        <v>0.39</v>
      </c>
      <c r="F1256" s="10">
        <v>4.4</v>
      </c>
      <c r="G1256" s="10">
        <v>461.0</v>
      </c>
    </row>
    <row r="1257">
      <c r="A1257" s="7" t="s">
        <v>1370</v>
      </c>
      <c r="B1257" s="7" t="s">
        <v>1159</v>
      </c>
      <c r="C1257" s="8">
        <v>2079.0</v>
      </c>
      <c r="D1257" s="8">
        <v>3099.0</v>
      </c>
      <c r="E1257" s="19">
        <v>0.33</v>
      </c>
      <c r="F1257" s="10">
        <v>4.1</v>
      </c>
      <c r="G1257" s="10">
        <v>282.0</v>
      </c>
    </row>
    <row r="1258">
      <c r="A1258" s="7" t="s">
        <v>1371</v>
      </c>
      <c r="B1258" s="7" t="s">
        <v>1131</v>
      </c>
      <c r="C1258" s="8">
        <v>999.0</v>
      </c>
      <c r="D1258" s="8">
        <v>1075.0</v>
      </c>
      <c r="E1258" s="19">
        <v>0.07</v>
      </c>
      <c r="F1258" s="10">
        <v>4.1</v>
      </c>
      <c r="G1258" s="11">
        <v>9275.0</v>
      </c>
    </row>
    <row r="1259">
      <c r="A1259" s="7" t="s">
        <v>1372</v>
      </c>
      <c r="B1259" s="7" t="s">
        <v>1148</v>
      </c>
      <c r="C1259" s="8">
        <v>3179.0</v>
      </c>
      <c r="D1259" s="8">
        <v>6999.0</v>
      </c>
      <c r="E1259" s="19">
        <v>0.55</v>
      </c>
      <c r="F1259" s="10">
        <v>4.0</v>
      </c>
      <c r="G1259" s="10">
        <v>743.0</v>
      </c>
    </row>
    <row r="1260">
      <c r="A1260" s="7" t="s">
        <v>1373</v>
      </c>
      <c r="B1260" s="7" t="s">
        <v>1115</v>
      </c>
      <c r="C1260" s="8">
        <v>1049.0</v>
      </c>
      <c r="D1260" s="8">
        <v>2499.0</v>
      </c>
      <c r="E1260" s="19">
        <v>0.58</v>
      </c>
      <c r="F1260" s="10">
        <v>3.6</v>
      </c>
      <c r="G1260" s="10">
        <v>328.0</v>
      </c>
    </row>
    <row r="1261">
      <c r="A1261" s="7" t="s">
        <v>1374</v>
      </c>
      <c r="B1261" s="7" t="s">
        <v>1115</v>
      </c>
      <c r="C1261" s="8">
        <v>3599.0</v>
      </c>
      <c r="D1261" s="8">
        <v>7290.0</v>
      </c>
      <c r="E1261" s="19">
        <v>0.51</v>
      </c>
      <c r="F1261" s="10">
        <v>3.9</v>
      </c>
      <c r="G1261" s="10">
        <v>942.0</v>
      </c>
    </row>
    <row r="1262">
      <c r="A1262" s="7" t="s">
        <v>1375</v>
      </c>
      <c r="B1262" s="7" t="s">
        <v>1376</v>
      </c>
      <c r="C1262" s="8">
        <v>4799.0</v>
      </c>
      <c r="D1262" s="8">
        <v>5795.0</v>
      </c>
      <c r="E1262" s="19">
        <v>0.17</v>
      </c>
      <c r="F1262" s="10">
        <v>3.9</v>
      </c>
      <c r="G1262" s="11">
        <v>3815.0</v>
      </c>
    </row>
    <row r="1263">
      <c r="A1263" s="7" t="s">
        <v>1377</v>
      </c>
      <c r="B1263" s="7" t="s">
        <v>1113</v>
      </c>
      <c r="C1263" s="8">
        <v>1699.0</v>
      </c>
      <c r="D1263" s="8">
        <v>3398.0</v>
      </c>
      <c r="E1263" s="19">
        <v>0.5</v>
      </c>
      <c r="F1263" s="10">
        <v>3.8</v>
      </c>
      <c r="G1263" s="11">
        <v>7988.0</v>
      </c>
    </row>
    <row r="1264">
      <c r="A1264" s="7" t="s">
        <v>1378</v>
      </c>
      <c r="B1264" s="7" t="s">
        <v>1121</v>
      </c>
      <c r="C1264" s="8">
        <v>664.0</v>
      </c>
      <c r="D1264" s="8">
        <v>1490.0</v>
      </c>
      <c r="E1264" s="19">
        <v>0.55</v>
      </c>
      <c r="F1264" s="10">
        <v>4.1</v>
      </c>
      <c r="G1264" s="10">
        <v>925.0</v>
      </c>
    </row>
    <row r="1265">
      <c r="A1265" s="7" t="s">
        <v>1379</v>
      </c>
      <c r="B1265" s="7" t="s">
        <v>1380</v>
      </c>
      <c r="C1265" s="8">
        <v>948.0</v>
      </c>
      <c r="D1265" s="8">
        <v>1620.0</v>
      </c>
      <c r="E1265" s="19">
        <v>0.41</v>
      </c>
      <c r="F1265" s="10">
        <v>4.1</v>
      </c>
      <c r="G1265" s="11">
        <v>4370.0</v>
      </c>
    </row>
    <row r="1266">
      <c r="A1266" s="7" t="s">
        <v>1381</v>
      </c>
      <c r="B1266" s="7" t="s">
        <v>1111</v>
      </c>
      <c r="C1266" s="8">
        <v>850.0</v>
      </c>
      <c r="D1266" s="8">
        <v>1000.0</v>
      </c>
      <c r="E1266" s="19">
        <v>0.15</v>
      </c>
      <c r="F1266" s="10">
        <v>4.1</v>
      </c>
      <c r="G1266" s="11">
        <v>7619.0</v>
      </c>
    </row>
    <row r="1267">
      <c r="A1267" s="7" t="s">
        <v>1382</v>
      </c>
      <c r="B1267" s="7" t="s">
        <v>1230</v>
      </c>
      <c r="C1267" s="8">
        <v>600.0</v>
      </c>
      <c r="D1267" s="8">
        <v>640.0</v>
      </c>
      <c r="E1267" s="19">
        <v>0.06</v>
      </c>
      <c r="F1267" s="10">
        <v>3.8</v>
      </c>
      <c r="G1267" s="11">
        <v>2593.0</v>
      </c>
    </row>
    <row r="1268">
      <c r="A1268" s="7" t="s">
        <v>1383</v>
      </c>
      <c r="B1268" s="7" t="s">
        <v>1089</v>
      </c>
      <c r="C1268" s="8">
        <v>3711.0</v>
      </c>
      <c r="D1268" s="8">
        <v>4495.0</v>
      </c>
      <c r="E1268" s="19">
        <v>0.17</v>
      </c>
      <c r="F1268" s="10">
        <v>4.3</v>
      </c>
      <c r="G1268" s="10">
        <v>356.0</v>
      </c>
    </row>
    <row r="1269">
      <c r="A1269" s="7" t="s">
        <v>1384</v>
      </c>
      <c r="B1269" s="7" t="s">
        <v>1095</v>
      </c>
      <c r="C1269" s="8">
        <v>799.0</v>
      </c>
      <c r="D1269" s="8">
        <v>2999.0</v>
      </c>
      <c r="E1269" s="19">
        <v>0.73</v>
      </c>
      <c r="F1269" s="10">
        <v>4.5</v>
      </c>
      <c r="G1269" s="10">
        <v>63.0</v>
      </c>
    </row>
    <row r="1270">
      <c r="A1270" s="7" t="s">
        <v>1385</v>
      </c>
      <c r="B1270" s="7" t="s">
        <v>1228</v>
      </c>
      <c r="C1270" s="8">
        <v>980.0</v>
      </c>
      <c r="D1270" s="8">
        <v>980.0</v>
      </c>
      <c r="E1270" s="19">
        <v>0.0</v>
      </c>
      <c r="F1270" s="10">
        <v>4.2</v>
      </c>
      <c r="G1270" s="11">
        <v>4740.0</v>
      </c>
    </row>
    <row r="1271">
      <c r="A1271" s="7" t="s">
        <v>1386</v>
      </c>
      <c r="B1271" s="7" t="s">
        <v>1137</v>
      </c>
      <c r="C1271" s="8">
        <v>351.0</v>
      </c>
      <c r="D1271" s="8">
        <v>899.0</v>
      </c>
      <c r="E1271" s="19">
        <v>0.61</v>
      </c>
      <c r="F1271" s="10">
        <v>3.9</v>
      </c>
      <c r="G1271" s="10">
        <v>296.0</v>
      </c>
    </row>
    <row r="1272">
      <c r="A1272" s="7" t="s">
        <v>1387</v>
      </c>
      <c r="B1272" s="7" t="s">
        <v>1388</v>
      </c>
      <c r="C1272" s="8">
        <v>229.0</v>
      </c>
      <c r="D1272" s="8">
        <v>499.0</v>
      </c>
      <c r="E1272" s="19">
        <v>0.54</v>
      </c>
      <c r="F1272" s="10">
        <v>3.5</v>
      </c>
      <c r="G1272" s="10">
        <v>185.0</v>
      </c>
    </row>
    <row r="1273">
      <c r="A1273" s="7" t="s">
        <v>1389</v>
      </c>
      <c r="B1273" s="7" t="s">
        <v>1139</v>
      </c>
      <c r="C1273" s="8">
        <v>3349.0</v>
      </c>
      <c r="D1273" s="8">
        <v>3995.0</v>
      </c>
      <c r="E1273" s="19">
        <v>0.16</v>
      </c>
      <c r="F1273" s="10">
        <v>4.3</v>
      </c>
      <c r="G1273" s="11">
        <v>1954.0</v>
      </c>
    </row>
    <row r="1274">
      <c r="A1274" s="7" t="s">
        <v>1390</v>
      </c>
      <c r="B1274" s="7" t="s">
        <v>1123</v>
      </c>
      <c r="C1274" s="8">
        <v>5499.0</v>
      </c>
      <c r="D1274" s="8">
        <v>11500.0</v>
      </c>
      <c r="E1274" s="19">
        <v>0.52</v>
      </c>
      <c r="F1274" s="10">
        <v>3.9</v>
      </c>
      <c r="G1274" s="10">
        <v>959.0</v>
      </c>
    </row>
    <row r="1275">
      <c r="A1275" s="7" t="s">
        <v>1391</v>
      </c>
      <c r="B1275" s="7" t="s">
        <v>1093</v>
      </c>
      <c r="C1275" s="8">
        <v>299.0</v>
      </c>
      <c r="D1275" s="8">
        <v>499.0</v>
      </c>
      <c r="E1275" s="19">
        <v>0.4</v>
      </c>
      <c r="F1275" s="10">
        <v>3.9</v>
      </c>
      <c r="G1275" s="11">
        <v>1015.0</v>
      </c>
    </row>
    <row r="1276">
      <c r="A1276" s="7" t="s">
        <v>1392</v>
      </c>
      <c r="B1276" s="7" t="s">
        <v>1393</v>
      </c>
      <c r="C1276" s="8">
        <v>2249.0</v>
      </c>
      <c r="D1276" s="8">
        <v>3550.0</v>
      </c>
      <c r="E1276" s="19">
        <v>0.37</v>
      </c>
      <c r="F1276" s="10">
        <v>4.0</v>
      </c>
      <c r="G1276" s="11">
        <v>3973.0</v>
      </c>
    </row>
    <row r="1277">
      <c r="A1277" s="7" t="s">
        <v>1394</v>
      </c>
      <c r="B1277" s="7" t="s">
        <v>1155</v>
      </c>
      <c r="C1277" s="8">
        <v>699.0</v>
      </c>
      <c r="D1277" s="8">
        <v>1599.0</v>
      </c>
      <c r="E1277" s="19">
        <v>0.56</v>
      </c>
      <c r="F1277" s="10">
        <v>4.7</v>
      </c>
      <c r="G1277" s="11">
        <v>2300.0</v>
      </c>
    </row>
    <row r="1278">
      <c r="A1278" s="7" t="s">
        <v>1395</v>
      </c>
      <c r="B1278" s="7" t="s">
        <v>1089</v>
      </c>
      <c r="C1278" s="8">
        <v>1235.0</v>
      </c>
      <c r="D1278" s="8">
        <v>1499.0</v>
      </c>
      <c r="E1278" s="19">
        <v>0.18</v>
      </c>
      <c r="F1278" s="10">
        <v>4.1</v>
      </c>
      <c r="G1278" s="10">
        <v>203.0</v>
      </c>
    </row>
    <row r="1279">
      <c r="A1279" s="7" t="s">
        <v>1396</v>
      </c>
      <c r="B1279" s="7" t="s">
        <v>1173</v>
      </c>
      <c r="C1279" s="8">
        <v>1349.0</v>
      </c>
      <c r="D1279" s="8">
        <v>2999.0</v>
      </c>
      <c r="E1279" s="19">
        <v>0.55</v>
      </c>
      <c r="F1279" s="10">
        <v>3.8</v>
      </c>
      <c r="G1279" s="10">
        <v>441.0</v>
      </c>
    </row>
    <row r="1280">
      <c r="A1280" s="7" t="s">
        <v>1397</v>
      </c>
      <c r="B1280" s="7" t="s">
        <v>1123</v>
      </c>
      <c r="C1280" s="8">
        <v>6800.0</v>
      </c>
      <c r="D1280" s="8">
        <v>11500.0</v>
      </c>
      <c r="E1280" s="19">
        <v>0.41</v>
      </c>
      <c r="F1280" s="10">
        <v>4.1</v>
      </c>
      <c r="G1280" s="11">
        <v>10308.0</v>
      </c>
    </row>
    <row r="1281">
      <c r="A1281" s="7" t="s">
        <v>1398</v>
      </c>
      <c r="B1281" s="7" t="s">
        <v>1148</v>
      </c>
      <c r="C1281" s="8">
        <v>2099.0</v>
      </c>
      <c r="D1281" s="8">
        <v>2499.0</v>
      </c>
      <c r="E1281" s="19">
        <v>0.16</v>
      </c>
      <c r="F1281" s="7" t="s">
        <v>1399</v>
      </c>
      <c r="G1281" s="10">
        <v>992.0</v>
      </c>
    </row>
    <row r="1282">
      <c r="A1282" s="7" t="s">
        <v>1400</v>
      </c>
      <c r="B1282" s="7" t="s">
        <v>1159</v>
      </c>
      <c r="C1282" s="8">
        <v>1699.0</v>
      </c>
      <c r="D1282" s="8">
        <v>1975.0</v>
      </c>
      <c r="E1282" s="19">
        <v>0.14</v>
      </c>
      <c r="F1282" s="10">
        <v>4.1</v>
      </c>
      <c r="G1282" s="11">
        <v>4716.0</v>
      </c>
    </row>
    <row r="1283">
      <c r="A1283" s="7" t="s">
        <v>1401</v>
      </c>
      <c r="B1283" s="7" t="s">
        <v>1091</v>
      </c>
      <c r="C1283" s="8">
        <v>1069.0</v>
      </c>
      <c r="D1283" s="8">
        <v>1699.0</v>
      </c>
      <c r="E1283" s="19">
        <v>0.37</v>
      </c>
      <c r="F1283" s="10">
        <v>3.9</v>
      </c>
      <c r="G1283" s="10">
        <v>313.0</v>
      </c>
    </row>
    <row r="1284">
      <c r="A1284" s="7" t="s">
        <v>1402</v>
      </c>
      <c r="B1284" s="7" t="s">
        <v>1091</v>
      </c>
      <c r="C1284" s="8">
        <v>1349.0</v>
      </c>
      <c r="D1284" s="8">
        <v>2495.0</v>
      </c>
      <c r="E1284" s="19">
        <v>0.46</v>
      </c>
      <c r="F1284" s="10">
        <v>3.8</v>
      </c>
      <c r="G1284" s="10">
        <v>166.0</v>
      </c>
    </row>
    <row r="1285">
      <c r="A1285" s="7" t="s">
        <v>1403</v>
      </c>
      <c r="B1285" s="7" t="s">
        <v>1131</v>
      </c>
      <c r="C1285" s="8">
        <v>1499.0</v>
      </c>
      <c r="D1285" s="8">
        <v>3500.0</v>
      </c>
      <c r="E1285" s="19">
        <v>0.57</v>
      </c>
      <c r="F1285" s="10">
        <v>4.1</v>
      </c>
      <c r="G1285" s="10">
        <v>303.0</v>
      </c>
    </row>
    <row r="1286">
      <c r="A1286" s="7" t="s">
        <v>1404</v>
      </c>
      <c r="B1286" s="7" t="s">
        <v>1159</v>
      </c>
      <c r="C1286" s="8">
        <v>2092.0</v>
      </c>
      <c r="D1286" s="8">
        <v>4600.0</v>
      </c>
      <c r="E1286" s="19">
        <v>0.55</v>
      </c>
      <c r="F1286" s="10">
        <v>4.3</v>
      </c>
      <c r="G1286" s="10">
        <v>562.0</v>
      </c>
    </row>
    <row r="1287">
      <c r="A1287" s="7" t="s">
        <v>1405</v>
      </c>
      <c r="B1287" s="7" t="s">
        <v>1263</v>
      </c>
      <c r="C1287" s="8">
        <v>3859.0</v>
      </c>
      <c r="D1287" s="8">
        <v>10295.0</v>
      </c>
      <c r="E1287" s="19">
        <v>0.63</v>
      </c>
      <c r="F1287" s="10">
        <v>3.9</v>
      </c>
      <c r="G1287" s="11">
        <v>8095.0</v>
      </c>
    </row>
    <row r="1288">
      <c r="A1288" s="7" t="s">
        <v>1406</v>
      </c>
      <c r="B1288" s="7" t="s">
        <v>1144</v>
      </c>
      <c r="C1288" s="8">
        <v>499.0</v>
      </c>
      <c r="D1288" s="8">
        <v>2199.0</v>
      </c>
      <c r="E1288" s="19">
        <v>0.77</v>
      </c>
      <c r="F1288" s="10">
        <v>2.8</v>
      </c>
      <c r="G1288" s="10">
        <v>109.0</v>
      </c>
    </row>
    <row r="1289">
      <c r="A1289" s="7" t="s">
        <v>1407</v>
      </c>
      <c r="B1289" s="7" t="s">
        <v>1186</v>
      </c>
      <c r="C1289" s="8">
        <v>1804.0</v>
      </c>
      <c r="D1289" s="8">
        <v>2380.0</v>
      </c>
      <c r="E1289" s="19">
        <v>0.24</v>
      </c>
      <c r="F1289" s="10">
        <v>4.0</v>
      </c>
      <c r="G1289" s="11">
        <v>15382.0</v>
      </c>
    </row>
    <row r="1290">
      <c r="A1290" s="7" t="s">
        <v>1408</v>
      </c>
      <c r="B1290" s="7" t="s">
        <v>1144</v>
      </c>
      <c r="C1290" s="8">
        <v>6525.0</v>
      </c>
      <c r="D1290" s="8">
        <v>8820.0</v>
      </c>
      <c r="E1290" s="19">
        <v>0.26</v>
      </c>
      <c r="F1290" s="10">
        <v>4.5</v>
      </c>
      <c r="G1290" s="11">
        <v>5137.0</v>
      </c>
    </row>
    <row r="1291">
      <c r="A1291" s="7" t="s">
        <v>1409</v>
      </c>
      <c r="B1291" s="7" t="s">
        <v>1280</v>
      </c>
      <c r="C1291" s="8">
        <v>4999.0</v>
      </c>
      <c r="D1291" s="8">
        <v>24999.0</v>
      </c>
      <c r="E1291" s="19">
        <v>0.8</v>
      </c>
      <c r="F1291" s="10">
        <v>4.6</v>
      </c>
      <c r="G1291" s="10">
        <v>124.0</v>
      </c>
    </row>
    <row r="1292">
      <c r="A1292" s="7" t="s">
        <v>1410</v>
      </c>
      <c r="B1292" s="7" t="s">
        <v>1225</v>
      </c>
      <c r="C1292" s="8">
        <v>1189.0</v>
      </c>
      <c r="D1292" s="8">
        <v>2400.0</v>
      </c>
      <c r="E1292" s="19">
        <v>0.5</v>
      </c>
      <c r="F1292" s="10">
        <v>4.1</v>
      </c>
      <c r="G1292" s="10">
        <v>618.0</v>
      </c>
    </row>
    <row r="1293">
      <c r="A1293" s="7" t="s">
        <v>1411</v>
      </c>
      <c r="B1293" s="7" t="s">
        <v>1091</v>
      </c>
      <c r="C1293" s="8">
        <v>2590.0</v>
      </c>
      <c r="D1293" s="8">
        <v>4200.0</v>
      </c>
      <c r="E1293" s="19">
        <v>0.38</v>
      </c>
      <c r="F1293" s="10">
        <v>4.1</v>
      </c>
      <c r="G1293" s="10">
        <v>63.0</v>
      </c>
    </row>
    <row r="1294">
      <c r="A1294" s="7" t="s">
        <v>1412</v>
      </c>
      <c r="B1294" s="7" t="s">
        <v>1091</v>
      </c>
      <c r="C1294" s="8">
        <v>899.0</v>
      </c>
      <c r="D1294" s="8">
        <v>1599.0</v>
      </c>
      <c r="E1294" s="19">
        <v>0.44</v>
      </c>
      <c r="F1294" s="10">
        <v>3.4</v>
      </c>
      <c r="G1294" s="10">
        <v>15.0</v>
      </c>
    </row>
    <row r="1295">
      <c r="A1295" s="7" t="s">
        <v>1413</v>
      </c>
      <c r="B1295" s="7" t="s">
        <v>1091</v>
      </c>
      <c r="C1295" s="8">
        <v>998.0</v>
      </c>
      <c r="D1295" s="8">
        <v>2999.0</v>
      </c>
      <c r="E1295" s="19">
        <v>0.67</v>
      </c>
      <c r="F1295" s="10">
        <v>4.6</v>
      </c>
      <c r="G1295" s="10">
        <v>9.0</v>
      </c>
    </row>
    <row r="1296">
      <c r="A1296" s="7" t="s">
        <v>1414</v>
      </c>
      <c r="B1296" s="7" t="s">
        <v>1137</v>
      </c>
      <c r="C1296" s="8">
        <v>998.06</v>
      </c>
      <c r="D1296" s="8">
        <v>1282.0</v>
      </c>
      <c r="E1296" s="19">
        <v>0.22</v>
      </c>
      <c r="F1296" s="10">
        <v>4.2</v>
      </c>
      <c r="G1296" s="11">
        <v>7274.0</v>
      </c>
    </row>
    <row r="1297">
      <c r="A1297" s="7" t="s">
        <v>1415</v>
      </c>
      <c r="B1297" s="7" t="s">
        <v>1186</v>
      </c>
      <c r="C1297" s="8">
        <v>1099.0</v>
      </c>
      <c r="D1297" s="8">
        <v>1990.0</v>
      </c>
      <c r="E1297" s="19">
        <v>0.45</v>
      </c>
      <c r="F1297" s="10">
        <v>3.9</v>
      </c>
      <c r="G1297" s="11">
        <v>5911.0</v>
      </c>
    </row>
    <row r="1298">
      <c r="A1298" s="7" t="s">
        <v>1416</v>
      </c>
      <c r="B1298" s="7" t="s">
        <v>1197</v>
      </c>
      <c r="C1298" s="8">
        <v>5999.0</v>
      </c>
      <c r="D1298" s="8">
        <v>9999.0</v>
      </c>
      <c r="E1298" s="19">
        <v>0.4</v>
      </c>
      <c r="F1298" s="10">
        <v>4.2</v>
      </c>
      <c r="G1298" s="10">
        <v>170.0</v>
      </c>
    </row>
    <row r="1299">
      <c r="A1299" s="7" t="s">
        <v>1417</v>
      </c>
      <c r="B1299" s="7" t="s">
        <v>1263</v>
      </c>
      <c r="C1299" s="8">
        <v>8886.0</v>
      </c>
      <c r="D1299" s="8">
        <v>11850.0</v>
      </c>
      <c r="E1299" s="19">
        <v>0.25</v>
      </c>
      <c r="F1299" s="10">
        <v>4.2</v>
      </c>
      <c r="G1299" s="11">
        <v>3065.0</v>
      </c>
    </row>
    <row r="1300">
      <c r="A1300" s="7" t="s">
        <v>1418</v>
      </c>
      <c r="B1300" s="7" t="s">
        <v>1093</v>
      </c>
      <c r="C1300" s="8">
        <v>475.0</v>
      </c>
      <c r="D1300" s="8">
        <v>999.0</v>
      </c>
      <c r="E1300" s="19">
        <v>0.52</v>
      </c>
      <c r="F1300" s="10">
        <v>4.1</v>
      </c>
      <c r="G1300" s="11">
        <v>1021.0</v>
      </c>
    </row>
    <row r="1301">
      <c r="A1301" s="7" t="s">
        <v>1419</v>
      </c>
      <c r="B1301" s="7" t="s">
        <v>1135</v>
      </c>
      <c r="C1301" s="8">
        <v>4995.0</v>
      </c>
      <c r="D1301" s="8">
        <v>20049.0</v>
      </c>
      <c r="E1301" s="19">
        <v>0.75</v>
      </c>
      <c r="F1301" s="10">
        <v>4.8</v>
      </c>
      <c r="G1301" s="11">
        <v>3964.0</v>
      </c>
    </row>
    <row r="1302">
      <c r="A1302" s="7" t="s">
        <v>1420</v>
      </c>
      <c r="B1302" s="7" t="s">
        <v>1280</v>
      </c>
      <c r="C1302" s="8">
        <v>13999.0</v>
      </c>
      <c r="D1302" s="8">
        <v>24850.0</v>
      </c>
      <c r="E1302" s="19">
        <v>0.44</v>
      </c>
      <c r="F1302" s="10">
        <v>4.4</v>
      </c>
      <c r="G1302" s="11">
        <v>8948.0</v>
      </c>
    </row>
    <row r="1303">
      <c r="A1303" s="7" t="s">
        <v>1421</v>
      </c>
      <c r="B1303" s="7" t="s">
        <v>1280</v>
      </c>
      <c r="C1303" s="8">
        <v>8499.0</v>
      </c>
      <c r="D1303" s="8">
        <v>16490.0</v>
      </c>
      <c r="E1303" s="19">
        <v>0.48</v>
      </c>
      <c r="F1303" s="10">
        <v>4.3</v>
      </c>
      <c r="G1303" s="10">
        <v>97.0</v>
      </c>
    </row>
    <row r="1304">
      <c r="A1304" s="7" t="s">
        <v>1422</v>
      </c>
      <c r="B1304" s="7" t="s">
        <v>1111</v>
      </c>
      <c r="C1304" s="8">
        <v>949.0</v>
      </c>
      <c r="D1304" s="8">
        <v>975.0</v>
      </c>
      <c r="E1304" s="19">
        <v>0.03</v>
      </c>
      <c r="F1304" s="10">
        <v>4.3</v>
      </c>
      <c r="G1304" s="11">
        <v>7223.0</v>
      </c>
    </row>
    <row r="1305">
      <c r="A1305" s="7" t="s">
        <v>1423</v>
      </c>
      <c r="B1305" s="7" t="s">
        <v>1137</v>
      </c>
      <c r="C1305" s="8">
        <v>395.0</v>
      </c>
      <c r="D1305" s="8">
        <v>499.0</v>
      </c>
      <c r="E1305" s="19">
        <v>0.21</v>
      </c>
      <c r="F1305" s="10">
        <v>4.0</v>
      </c>
      <c r="G1305" s="10">
        <v>330.0</v>
      </c>
    </row>
    <row r="1306">
      <c r="A1306" s="7" t="s">
        <v>1424</v>
      </c>
      <c r="B1306" s="7" t="s">
        <v>1425</v>
      </c>
      <c r="C1306" s="8">
        <v>635.0</v>
      </c>
      <c r="D1306" s="8">
        <v>635.0</v>
      </c>
      <c r="E1306" s="19">
        <v>0.0</v>
      </c>
      <c r="F1306" s="10">
        <v>4.3</v>
      </c>
      <c r="G1306" s="11">
        <v>4570.0</v>
      </c>
    </row>
    <row r="1307">
      <c r="A1307" s="7" t="s">
        <v>1426</v>
      </c>
      <c r="B1307" s="7" t="s">
        <v>1111</v>
      </c>
      <c r="C1307" s="8">
        <v>717.0</v>
      </c>
      <c r="D1307" s="8">
        <v>1390.0</v>
      </c>
      <c r="E1307" s="19">
        <v>0.48</v>
      </c>
      <c r="F1307" s="10">
        <v>4.0</v>
      </c>
      <c r="G1307" s="11">
        <v>4867.0</v>
      </c>
    </row>
    <row r="1308">
      <c r="A1308" s="7" t="s">
        <v>1427</v>
      </c>
      <c r="B1308" s="7" t="s">
        <v>1428</v>
      </c>
      <c r="C1308" s="8">
        <v>27900.0</v>
      </c>
      <c r="D1308" s="8">
        <v>59900.0</v>
      </c>
      <c r="E1308" s="19">
        <v>0.53</v>
      </c>
      <c r="F1308" s="10">
        <v>4.4</v>
      </c>
      <c r="G1308" s="11">
        <v>5298.0</v>
      </c>
    </row>
    <row r="1309">
      <c r="A1309" s="7" t="s">
        <v>1429</v>
      </c>
      <c r="B1309" s="7" t="s">
        <v>1230</v>
      </c>
      <c r="C1309" s="8">
        <v>649.0</v>
      </c>
      <c r="D1309" s="8">
        <v>670.0</v>
      </c>
      <c r="E1309" s="19">
        <v>0.03</v>
      </c>
      <c r="F1309" s="10">
        <v>4.1</v>
      </c>
      <c r="G1309" s="11">
        <v>7786.0</v>
      </c>
    </row>
    <row r="1310">
      <c r="A1310" s="7" t="s">
        <v>1430</v>
      </c>
      <c r="B1310" s="7" t="s">
        <v>1228</v>
      </c>
      <c r="C1310" s="8">
        <v>193.0</v>
      </c>
      <c r="D1310" s="8">
        <v>399.0</v>
      </c>
      <c r="E1310" s="19">
        <v>0.52</v>
      </c>
      <c r="F1310" s="10">
        <v>3.6</v>
      </c>
      <c r="G1310" s="10">
        <v>37.0</v>
      </c>
    </row>
    <row r="1311">
      <c r="A1311" s="7" t="s">
        <v>1431</v>
      </c>
      <c r="B1311" s="7" t="s">
        <v>1091</v>
      </c>
      <c r="C1311" s="8">
        <v>1299.0</v>
      </c>
      <c r="D1311" s="8">
        <v>2495.0</v>
      </c>
      <c r="E1311" s="19">
        <v>0.48</v>
      </c>
      <c r="F1311" s="10">
        <v>2.0</v>
      </c>
      <c r="G1311" s="10">
        <v>2.0</v>
      </c>
    </row>
    <row r="1312">
      <c r="A1312" s="7" t="s">
        <v>1432</v>
      </c>
      <c r="B1312" s="7" t="s">
        <v>1113</v>
      </c>
      <c r="C1312" s="8">
        <v>2449.0</v>
      </c>
      <c r="D1312" s="8">
        <v>3390.0</v>
      </c>
      <c r="E1312" s="19">
        <v>0.28</v>
      </c>
      <c r="F1312" s="10">
        <v>4.0</v>
      </c>
      <c r="G1312" s="11">
        <v>5206.0</v>
      </c>
    </row>
    <row r="1313">
      <c r="A1313" s="7" t="s">
        <v>1433</v>
      </c>
      <c r="B1313" s="7" t="s">
        <v>1115</v>
      </c>
      <c r="C1313" s="8">
        <v>1049.0</v>
      </c>
      <c r="D1313" s="8">
        <v>2499.0</v>
      </c>
      <c r="E1313" s="19">
        <v>0.58</v>
      </c>
      <c r="F1313" s="10">
        <v>3.7</v>
      </c>
      <c r="G1313" s="10">
        <v>638.0</v>
      </c>
    </row>
    <row r="1314">
      <c r="A1314" s="7" t="s">
        <v>1434</v>
      </c>
      <c r="B1314" s="7" t="s">
        <v>1380</v>
      </c>
      <c r="C1314" s="8">
        <v>2399.0</v>
      </c>
      <c r="D1314" s="8">
        <v>4200.0</v>
      </c>
      <c r="E1314" s="19">
        <v>0.43</v>
      </c>
      <c r="F1314" s="10">
        <v>3.8</v>
      </c>
      <c r="G1314" s="10">
        <v>397.0</v>
      </c>
    </row>
    <row r="1315">
      <c r="A1315" s="7" t="s">
        <v>1435</v>
      </c>
      <c r="B1315" s="7" t="s">
        <v>1148</v>
      </c>
      <c r="C1315" s="8">
        <v>2286.0</v>
      </c>
      <c r="D1315" s="8">
        <v>4495.0</v>
      </c>
      <c r="E1315" s="19">
        <v>0.49</v>
      </c>
      <c r="F1315" s="10">
        <v>3.9</v>
      </c>
      <c r="G1315" s="10">
        <v>326.0</v>
      </c>
    </row>
    <row r="1316">
      <c r="A1316" s="7" t="s">
        <v>1436</v>
      </c>
      <c r="B1316" s="7" t="s">
        <v>1334</v>
      </c>
      <c r="C1316" s="8">
        <v>499.0</v>
      </c>
      <c r="D1316" s="8">
        <v>2199.0</v>
      </c>
      <c r="E1316" s="19">
        <v>0.77</v>
      </c>
      <c r="F1316" s="10">
        <v>3.1</v>
      </c>
      <c r="G1316" s="11">
        <v>3527.0</v>
      </c>
    </row>
    <row r="1317">
      <c r="A1317" s="7" t="s">
        <v>1437</v>
      </c>
      <c r="B1317" s="7" t="s">
        <v>1184</v>
      </c>
      <c r="C1317" s="8">
        <v>429.0</v>
      </c>
      <c r="D1317" s="8">
        <v>999.0</v>
      </c>
      <c r="E1317" s="19">
        <v>0.57</v>
      </c>
      <c r="F1317" s="10">
        <v>3.0</v>
      </c>
      <c r="G1317" s="10">
        <v>617.0</v>
      </c>
    </row>
    <row r="1318">
      <c r="A1318" s="7" t="s">
        <v>1438</v>
      </c>
      <c r="B1318" s="7" t="s">
        <v>1159</v>
      </c>
      <c r="C1318" s="8">
        <v>299.0</v>
      </c>
      <c r="D1318" s="8">
        <v>595.0</v>
      </c>
      <c r="E1318" s="19">
        <v>0.5</v>
      </c>
      <c r="F1318" s="10">
        <v>4.0</v>
      </c>
      <c r="G1318" s="10">
        <v>314.0</v>
      </c>
    </row>
    <row r="1319">
      <c r="A1319" s="7" t="s">
        <v>1439</v>
      </c>
      <c r="B1319" s="7" t="s">
        <v>1280</v>
      </c>
      <c r="C1319" s="8">
        <v>5395.0</v>
      </c>
      <c r="D1319" s="8">
        <v>19990.0</v>
      </c>
      <c r="E1319" s="19">
        <v>0.73</v>
      </c>
      <c r="F1319" s="10">
        <v>4.4</v>
      </c>
      <c r="G1319" s="10">
        <v>535.0</v>
      </c>
    </row>
    <row r="1320">
      <c r="A1320" s="7" t="s">
        <v>1440</v>
      </c>
      <c r="B1320" s="7" t="s">
        <v>1111</v>
      </c>
      <c r="C1320" s="8">
        <v>559.0</v>
      </c>
      <c r="D1320" s="8">
        <v>1010.0</v>
      </c>
      <c r="E1320" s="19">
        <v>0.45</v>
      </c>
      <c r="F1320" s="10">
        <v>4.1</v>
      </c>
      <c r="G1320" s="11">
        <v>17325.0</v>
      </c>
    </row>
    <row r="1321">
      <c r="A1321" s="7" t="s">
        <v>1441</v>
      </c>
      <c r="B1321" s="7" t="s">
        <v>1111</v>
      </c>
      <c r="C1321" s="8">
        <v>660.0</v>
      </c>
      <c r="D1321" s="8">
        <v>1100.0</v>
      </c>
      <c r="E1321" s="19">
        <v>0.4</v>
      </c>
      <c r="F1321" s="10">
        <v>3.6</v>
      </c>
      <c r="G1321" s="10">
        <v>91.0</v>
      </c>
    </row>
    <row r="1322">
      <c r="A1322" s="7" t="s">
        <v>1442</v>
      </c>
      <c r="B1322" s="7" t="s">
        <v>1155</v>
      </c>
      <c r="C1322" s="8">
        <v>419.0</v>
      </c>
      <c r="D1322" s="8">
        <v>999.0</v>
      </c>
      <c r="E1322" s="19">
        <v>0.58</v>
      </c>
      <c r="F1322" s="10">
        <v>4.4</v>
      </c>
      <c r="G1322" s="10">
        <v>227.0</v>
      </c>
    </row>
    <row r="1323">
      <c r="A1323" s="7" t="s">
        <v>1443</v>
      </c>
      <c r="B1323" s="7" t="s">
        <v>1123</v>
      </c>
      <c r="C1323" s="8">
        <v>7349.0</v>
      </c>
      <c r="D1323" s="8">
        <v>10900.0</v>
      </c>
      <c r="E1323" s="19">
        <v>0.33</v>
      </c>
      <c r="F1323" s="10">
        <v>4.2</v>
      </c>
      <c r="G1323" s="11">
        <v>11957.0</v>
      </c>
    </row>
    <row r="1324">
      <c r="A1324" s="7" t="s">
        <v>1444</v>
      </c>
      <c r="B1324" s="7" t="s">
        <v>1186</v>
      </c>
      <c r="C1324" s="8">
        <v>2899.0</v>
      </c>
      <c r="D1324" s="8">
        <v>4005.0</v>
      </c>
      <c r="E1324" s="19">
        <v>0.28</v>
      </c>
      <c r="F1324" s="10">
        <v>4.3</v>
      </c>
      <c r="G1324" s="11">
        <v>7140.0</v>
      </c>
    </row>
    <row r="1325">
      <c r="A1325" s="7" t="s">
        <v>1445</v>
      </c>
      <c r="B1325" s="7" t="s">
        <v>1148</v>
      </c>
      <c r="C1325" s="8">
        <v>1799.0</v>
      </c>
      <c r="D1325" s="8">
        <v>3295.0</v>
      </c>
      <c r="E1325" s="19">
        <v>0.45</v>
      </c>
      <c r="F1325" s="10">
        <v>3.8</v>
      </c>
      <c r="G1325" s="10">
        <v>687.0</v>
      </c>
    </row>
    <row r="1326">
      <c r="A1326" s="7" t="s">
        <v>1446</v>
      </c>
      <c r="B1326" s="7" t="s">
        <v>1159</v>
      </c>
      <c r="C1326" s="8">
        <v>1474.0</v>
      </c>
      <c r="D1326" s="8">
        <v>4650.0</v>
      </c>
      <c r="E1326" s="19">
        <v>0.68</v>
      </c>
      <c r="F1326" s="10">
        <v>4.1</v>
      </c>
      <c r="G1326" s="11">
        <v>1045.0</v>
      </c>
    </row>
    <row r="1327">
      <c r="A1327" s="7" t="s">
        <v>1447</v>
      </c>
      <c r="B1327" s="7" t="s">
        <v>1280</v>
      </c>
      <c r="C1327" s="8">
        <v>15999.0</v>
      </c>
      <c r="D1327" s="8">
        <v>24500.0</v>
      </c>
      <c r="E1327" s="19">
        <v>0.35</v>
      </c>
      <c r="F1327" s="10">
        <v>4.0</v>
      </c>
      <c r="G1327" s="11">
        <v>11206.0</v>
      </c>
    </row>
    <row r="1328">
      <c r="A1328" s="7" t="s">
        <v>1448</v>
      </c>
      <c r="B1328" s="7" t="s">
        <v>1115</v>
      </c>
      <c r="C1328" s="8">
        <v>3645.0</v>
      </c>
      <c r="D1328" s="8">
        <v>6070.0</v>
      </c>
      <c r="E1328" s="19">
        <v>0.4</v>
      </c>
      <c r="F1328" s="10">
        <v>4.2</v>
      </c>
      <c r="G1328" s="10">
        <v>561.0</v>
      </c>
    </row>
    <row r="1329">
      <c r="A1329" s="7" t="s">
        <v>1449</v>
      </c>
      <c r="B1329" s="7" t="s">
        <v>1109</v>
      </c>
      <c r="C1329" s="8">
        <v>375.0</v>
      </c>
      <c r="D1329" s="8">
        <v>999.0</v>
      </c>
      <c r="E1329" s="19">
        <v>0.62</v>
      </c>
      <c r="F1329" s="10">
        <v>3.6</v>
      </c>
      <c r="G1329" s="11">
        <v>1988.0</v>
      </c>
    </row>
    <row r="1330">
      <c r="A1330" s="7" t="s">
        <v>1450</v>
      </c>
      <c r="B1330" s="7" t="s">
        <v>1236</v>
      </c>
      <c r="C1330" s="8">
        <v>2976.0</v>
      </c>
      <c r="D1330" s="8">
        <v>3945.0</v>
      </c>
      <c r="E1330" s="19">
        <v>0.25</v>
      </c>
      <c r="F1330" s="10">
        <v>4.2</v>
      </c>
      <c r="G1330" s="11">
        <v>3740.0</v>
      </c>
    </row>
    <row r="1331">
      <c r="A1331" s="7" t="s">
        <v>1451</v>
      </c>
      <c r="B1331" s="7" t="s">
        <v>1388</v>
      </c>
      <c r="C1331" s="8">
        <v>1099.0</v>
      </c>
      <c r="D1331" s="8">
        <v>1499.0</v>
      </c>
      <c r="E1331" s="19">
        <v>0.27</v>
      </c>
      <c r="F1331" s="10">
        <v>4.1</v>
      </c>
      <c r="G1331" s="11">
        <v>4401.0</v>
      </c>
    </row>
    <row r="1332">
      <c r="A1332" s="7" t="s">
        <v>1452</v>
      </c>
      <c r="B1332" s="7" t="s">
        <v>1139</v>
      </c>
      <c r="C1332" s="8">
        <v>2575.0</v>
      </c>
      <c r="D1332" s="8">
        <v>6700.0</v>
      </c>
      <c r="E1332" s="19">
        <v>0.62</v>
      </c>
      <c r="F1332" s="10">
        <v>4.2</v>
      </c>
      <c r="G1332" s="10">
        <v>611.0</v>
      </c>
    </row>
    <row r="1333">
      <c r="A1333" s="7" t="s">
        <v>1453</v>
      </c>
      <c r="B1333" s="7" t="s">
        <v>1113</v>
      </c>
      <c r="C1333" s="8">
        <v>1649.0</v>
      </c>
      <c r="D1333" s="8">
        <v>2800.0</v>
      </c>
      <c r="E1333" s="19">
        <v>0.41</v>
      </c>
      <c r="F1333" s="10">
        <v>3.9</v>
      </c>
      <c r="G1333" s="11">
        <v>2162.0</v>
      </c>
    </row>
    <row r="1334">
      <c r="A1334" s="7" t="s">
        <v>1454</v>
      </c>
      <c r="B1334" s="7" t="s">
        <v>1109</v>
      </c>
      <c r="C1334" s="8">
        <v>799.0</v>
      </c>
      <c r="D1334" s="8">
        <v>1699.0</v>
      </c>
      <c r="E1334" s="19">
        <v>0.53</v>
      </c>
      <c r="F1334" s="10">
        <v>4.0</v>
      </c>
      <c r="G1334" s="10">
        <v>97.0</v>
      </c>
    </row>
    <row r="1335">
      <c r="A1335" s="7" t="s">
        <v>1455</v>
      </c>
      <c r="B1335" s="7" t="s">
        <v>1109</v>
      </c>
      <c r="C1335" s="8">
        <v>765.0</v>
      </c>
      <c r="D1335" s="8">
        <v>970.0</v>
      </c>
      <c r="E1335" s="19">
        <v>0.21</v>
      </c>
      <c r="F1335" s="10">
        <v>4.2</v>
      </c>
      <c r="G1335" s="11">
        <v>6055.0</v>
      </c>
    </row>
    <row r="1336">
      <c r="A1336" s="7" t="s">
        <v>1456</v>
      </c>
      <c r="B1336" s="7" t="s">
        <v>1093</v>
      </c>
      <c r="C1336" s="8">
        <v>999.0</v>
      </c>
      <c r="D1336" s="8">
        <v>1500.0</v>
      </c>
      <c r="E1336" s="19">
        <v>0.33</v>
      </c>
      <c r="F1336" s="10">
        <v>4.2</v>
      </c>
      <c r="G1336" s="10">
        <v>386.0</v>
      </c>
    </row>
    <row r="1337">
      <c r="A1337" s="7" t="s">
        <v>1457</v>
      </c>
      <c r="B1337" s="7" t="s">
        <v>1458</v>
      </c>
      <c r="C1337" s="8">
        <v>587.0</v>
      </c>
      <c r="D1337" s="8">
        <v>1295.0</v>
      </c>
      <c r="E1337" s="19">
        <v>0.55</v>
      </c>
      <c r="F1337" s="10">
        <v>4.1</v>
      </c>
      <c r="G1337" s="10">
        <v>557.0</v>
      </c>
    </row>
    <row r="1338">
      <c r="A1338" s="7" t="s">
        <v>1459</v>
      </c>
      <c r="B1338" s="7" t="s">
        <v>1460</v>
      </c>
      <c r="C1338" s="8">
        <v>12609.0</v>
      </c>
      <c r="D1338" s="8">
        <v>23999.0</v>
      </c>
      <c r="E1338" s="19">
        <v>0.47</v>
      </c>
      <c r="F1338" s="10">
        <v>4.4</v>
      </c>
      <c r="G1338" s="11">
        <v>2288.0</v>
      </c>
    </row>
    <row r="1339">
      <c r="A1339" s="7" t="s">
        <v>1461</v>
      </c>
      <c r="B1339" s="7" t="s">
        <v>1111</v>
      </c>
      <c r="C1339" s="8">
        <v>699.0</v>
      </c>
      <c r="D1339" s="8">
        <v>850.0</v>
      </c>
      <c r="E1339" s="19">
        <v>0.18</v>
      </c>
      <c r="F1339" s="10">
        <v>4.1</v>
      </c>
      <c r="G1339" s="11">
        <v>1106.0</v>
      </c>
    </row>
    <row r="1340">
      <c r="A1340" s="7" t="s">
        <v>1462</v>
      </c>
      <c r="B1340" s="7" t="s">
        <v>1190</v>
      </c>
      <c r="C1340" s="8">
        <v>3799.0</v>
      </c>
      <c r="D1340" s="8">
        <v>6000.0</v>
      </c>
      <c r="E1340" s="19">
        <v>0.37</v>
      </c>
      <c r="F1340" s="10">
        <v>4.2</v>
      </c>
      <c r="G1340" s="11">
        <v>11935.0</v>
      </c>
    </row>
    <row r="1341">
      <c r="A1341" s="7" t="s">
        <v>1463</v>
      </c>
      <c r="B1341" s="7" t="s">
        <v>1131</v>
      </c>
      <c r="C1341" s="8">
        <v>640.0</v>
      </c>
      <c r="D1341" s="8">
        <v>1020.0</v>
      </c>
      <c r="E1341" s="19">
        <v>0.37</v>
      </c>
      <c r="F1341" s="10">
        <v>4.1</v>
      </c>
      <c r="G1341" s="11">
        <v>5059.0</v>
      </c>
    </row>
    <row r="1342">
      <c r="A1342" s="7" t="s">
        <v>1464</v>
      </c>
      <c r="B1342" s="7" t="s">
        <v>1091</v>
      </c>
      <c r="C1342" s="8">
        <v>979.0</v>
      </c>
      <c r="D1342" s="8">
        <v>1999.0</v>
      </c>
      <c r="E1342" s="19">
        <v>0.51</v>
      </c>
      <c r="F1342" s="10">
        <v>3.9</v>
      </c>
      <c r="G1342" s="10">
        <v>157.0</v>
      </c>
    </row>
    <row r="1343">
      <c r="A1343" s="7" t="s">
        <v>1465</v>
      </c>
      <c r="B1343" s="7" t="s">
        <v>1115</v>
      </c>
      <c r="C1343" s="8">
        <v>5365.0</v>
      </c>
      <c r="D1343" s="8">
        <v>7445.0</v>
      </c>
      <c r="E1343" s="19">
        <v>0.28</v>
      </c>
      <c r="F1343" s="10">
        <v>3.9</v>
      </c>
      <c r="G1343" s="11">
        <v>3584.0</v>
      </c>
    </row>
    <row r="1344">
      <c r="A1344" s="7" t="s">
        <v>1466</v>
      </c>
      <c r="B1344" s="7" t="s">
        <v>1139</v>
      </c>
      <c r="C1344" s="8">
        <v>3199.0</v>
      </c>
      <c r="D1344" s="8">
        <v>3500.0</v>
      </c>
      <c r="E1344" s="19">
        <v>0.09</v>
      </c>
      <c r="F1344" s="10">
        <v>4.2</v>
      </c>
      <c r="G1344" s="11">
        <v>1899.0</v>
      </c>
    </row>
    <row r="1345">
      <c r="A1345" s="7" t="s">
        <v>1467</v>
      </c>
      <c r="B1345" s="7" t="s">
        <v>1310</v>
      </c>
      <c r="C1345" s="8">
        <v>979.0</v>
      </c>
      <c r="D1345" s="8">
        <v>1395.0</v>
      </c>
      <c r="E1345" s="19">
        <v>0.3</v>
      </c>
      <c r="F1345" s="10">
        <v>4.2</v>
      </c>
      <c r="G1345" s="11">
        <v>15252.0</v>
      </c>
    </row>
    <row r="1346">
      <c r="A1346" s="7" t="s">
        <v>1468</v>
      </c>
      <c r="B1346" s="7" t="s">
        <v>1089</v>
      </c>
      <c r="C1346" s="8">
        <v>929.0</v>
      </c>
      <c r="D1346" s="8">
        <v>2199.0</v>
      </c>
      <c r="E1346" s="19">
        <v>0.58</v>
      </c>
      <c r="F1346" s="10">
        <v>3.7</v>
      </c>
      <c r="G1346" s="10">
        <v>4.0</v>
      </c>
    </row>
    <row r="1347">
      <c r="A1347" s="7" t="s">
        <v>1469</v>
      </c>
      <c r="B1347" s="7" t="s">
        <v>1316</v>
      </c>
      <c r="C1347" s="8">
        <v>3710.0</v>
      </c>
      <c r="D1347" s="8">
        <v>4330.0</v>
      </c>
      <c r="E1347" s="19">
        <v>0.14</v>
      </c>
      <c r="F1347" s="10">
        <v>3.7</v>
      </c>
      <c r="G1347" s="11">
        <v>1662.0</v>
      </c>
    </row>
    <row r="1348">
      <c r="A1348" s="7" t="s">
        <v>1470</v>
      </c>
      <c r="B1348" s="7" t="s">
        <v>1113</v>
      </c>
      <c r="C1348" s="8">
        <v>2033.0</v>
      </c>
      <c r="D1348" s="8">
        <v>4295.0</v>
      </c>
      <c r="E1348" s="19">
        <v>0.53</v>
      </c>
      <c r="F1348" s="10">
        <v>3.4</v>
      </c>
      <c r="G1348" s="10">
        <v>422.0</v>
      </c>
    </row>
    <row r="1349">
      <c r="A1349" s="7" t="s">
        <v>1471</v>
      </c>
      <c r="B1349" s="7" t="s">
        <v>1089</v>
      </c>
      <c r="C1349" s="8">
        <v>9495.0</v>
      </c>
      <c r="D1349" s="8">
        <v>18990.0</v>
      </c>
      <c r="E1349" s="19">
        <v>0.5</v>
      </c>
      <c r="F1349" s="10">
        <v>4.2</v>
      </c>
      <c r="G1349" s="10">
        <v>79.0</v>
      </c>
    </row>
    <row r="1350">
      <c r="A1350" s="7" t="s">
        <v>1472</v>
      </c>
      <c r="B1350" s="7" t="s">
        <v>1123</v>
      </c>
      <c r="C1350" s="8">
        <v>7799.0</v>
      </c>
      <c r="D1350" s="8">
        <v>12500.0</v>
      </c>
      <c r="E1350" s="19">
        <v>0.38</v>
      </c>
      <c r="F1350" s="10">
        <v>4.0</v>
      </c>
      <c r="G1350" s="11">
        <v>5160.0</v>
      </c>
    </row>
    <row r="1351">
      <c r="A1351" s="7" t="s">
        <v>1473</v>
      </c>
      <c r="B1351" s="7" t="s">
        <v>1086</v>
      </c>
      <c r="C1351" s="8">
        <v>949.0</v>
      </c>
      <c r="D1351" s="8">
        <v>2385.0</v>
      </c>
      <c r="E1351" s="19">
        <v>0.6</v>
      </c>
      <c r="F1351" s="10">
        <v>4.1</v>
      </c>
      <c r="G1351" s="11">
        <v>2311.0</v>
      </c>
    </row>
    <row r="1352">
      <c r="A1352" s="7" t="s">
        <v>1474</v>
      </c>
      <c r="B1352" s="7" t="s">
        <v>1115</v>
      </c>
      <c r="C1352" s="8">
        <v>2790.0</v>
      </c>
      <c r="D1352" s="8">
        <v>4890.0</v>
      </c>
      <c r="E1352" s="19">
        <v>0.43</v>
      </c>
      <c r="F1352" s="10">
        <v>3.9</v>
      </c>
      <c r="G1352" s="10">
        <v>588.0</v>
      </c>
    </row>
    <row r="1353">
      <c r="A1353" s="7" t="s">
        <v>1475</v>
      </c>
      <c r="B1353" s="7" t="s">
        <v>1111</v>
      </c>
      <c r="C1353" s="8">
        <v>645.0</v>
      </c>
      <c r="D1353" s="8">
        <v>1100.0</v>
      </c>
      <c r="E1353" s="19">
        <v>0.41</v>
      </c>
      <c r="F1353" s="10">
        <v>4.0</v>
      </c>
      <c r="G1353" s="11">
        <v>3271.0</v>
      </c>
    </row>
    <row r="1354">
      <c r="A1354" s="7" t="s">
        <v>1476</v>
      </c>
      <c r="B1354" s="7" t="s">
        <v>1113</v>
      </c>
      <c r="C1354" s="8">
        <v>2237.81</v>
      </c>
      <c r="D1354" s="8">
        <v>3899.0</v>
      </c>
      <c r="E1354" s="19">
        <v>0.43</v>
      </c>
      <c r="F1354" s="10">
        <v>3.9</v>
      </c>
      <c r="G1354" s="11">
        <v>11004.0</v>
      </c>
    </row>
    <row r="1355">
      <c r="A1355" s="7" t="s">
        <v>1477</v>
      </c>
      <c r="B1355" s="7" t="s">
        <v>1123</v>
      </c>
      <c r="C1355" s="8">
        <v>8699.0</v>
      </c>
      <c r="D1355" s="8">
        <v>16899.0</v>
      </c>
      <c r="E1355" s="19">
        <v>0.49</v>
      </c>
      <c r="F1355" s="10">
        <v>4.2</v>
      </c>
      <c r="G1355" s="11">
        <v>3195.0</v>
      </c>
    </row>
    <row r="1356">
      <c r="A1356" s="7" t="s">
        <v>1478</v>
      </c>
      <c r="B1356" s="7" t="s">
        <v>1479</v>
      </c>
      <c r="C1356" s="8">
        <v>42990.0</v>
      </c>
      <c r="D1356" s="8">
        <v>75990.0</v>
      </c>
      <c r="E1356" s="19">
        <v>0.43</v>
      </c>
      <c r="F1356" s="10">
        <v>4.3</v>
      </c>
      <c r="G1356" s="11">
        <v>3231.0</v>
      </c>
    </row>
    <row r="1357">
      <c r="A1357" s="7" t="s">
        <v>1480</v>
      </c>
      <c r="B1357" s="7" t="s">
        <v>1228</v>
      </c>
      <c r="C1357" s="8">
        <v>825.0</v>
      </c>
      <c r="D1357" s="8">
        <v>825.0</v>
      </c>
      <c r="E1357" s="19">
        <v>0.0</v>
      </c>
      <c r="F1357" s="10">
        <v>4.0</v>
      </c>
      <c r="G1357" s="11">
        <v>3246.0</v>
      </c>
    </row>
    <row r="1358">
      <c r="A1358" s="7" t="s">
        <v>1481</v>
      </c>
      <c r="B1358" s="7" t="s">
        <v>1184</v>
      </c>
      <c r="C1358" s="8">
        <v>161.0</v>
      </c>
      <c r="D1358" s="8">
        <v>300.0</v>
      </c>
      <c r="E1358" s="19">
        <v>0.46</v>
      </c>
      <c r="F1358" s="10">
        <v>2.6</v>
      </c>
      <c r="G1358" s="10">
        <v>24.0</v>
      </c>
    </row>
    <row r="1359">
      <c r="A1359" s="7" t="s">
        <v>1482</v>
      </c>
      <c r="B1359" s="7" t="s">
        <v>1104</v>
      </c>
      <c r="C1359" s="8">
        <v>697.0</v>
      </c>
      <c r="D1359" s="8">
        <v>1499.0</v>
      </c>
      <c r="E1359" s="19">
        <v>0.54</v>
      </c>
      <c r="F1359" s="10">
        <v>3.8</v>
      </c>
      <c r="G1359" s="10">
        <v>144.0</v>
      </c>
    </row>
    <row r="1360">
      <c r="A1360" s="7" t="s">
        <v>1483</v>
      </c>
      <c r="B1360" s="7" t="s">
        <v>1484</v>
      </c>
      <c r="C1360" s="8">
        <v>688.0</v>
      </c>
      <c r="D1360" s="8">
        <v>747.0</v>
      </c>
      <c r="E1360" s="19">
        <v>0.08</v>
      </c>
      <c r="F1360" s="10">
        <v>4.5</v>
      </c>
      <c r="G1360" s="11">
        <v>2280.0</v>
      </c>
    </row>
    <row r="1361">
      <c r="A1361" s="7" t="s">
        <v>1485</v>
      </c>
      <c r="B1361" s="7" t="s">
        <v>1199</v>
      </c>
      <c r="C1361" s="8">
        <v>2199.0</v>
      </c>
      <c r="D1361" s="8">
        <v>3999.0</v>
      </c>
      <c r="E1361" s="19">
        <v>0.45</v>
      </c>
      <c r="F1361" s="10">
        <v>3.5</v>
      </c>
      <c r="G1361" s="10">
        <v>340.0</v>
      </c>
    </row>
    <row r="1362">
      <c r="A1362" s="7" t="s">
        <v>1486</v>
      </c>
      <c r="B1362" s="7" t="s">
        <v>1091</v>
      </c>
      <c r="C1362" s="8">
        <v>6850.0</v>
      </c>
      <c r="D1362" s="8">
        <v>11990.0</v>
      </c>
      <c r="E1362" s="19">
        <v>0.43</v>
      </c>
      <c r="F1362" s="10">
        <v>3.9</v>
      </c>
      <c r="G1362" s="10">
        <v>144.0</v>
      </c>
    </row>
    <row r="1363">
      <c r="A1363" s="7" t="s">
        <v>1487</v>
      </c>
      <c r="B1363" s="7" t="s">
        <v>1115</v>
      </c>
      <c r="C1363" s="8">
        <v>2699.0</v>
      </c>
      <c r="D1363" s="8">
        <v>3799.0</v>
      </c>
      <c r="E1363" s="19">
        <v>0.29</v>
      </c>
      <c r="F1363" s="10">
        <v>4.0</v>
      </c>
      <c r="G1363" s="10">
        <v>727.0</v>
      </c>
    </row>
    <row r="1364">
      <c r="A1364" s="7" t="s">
        <v>1488</v>
      </c>
      <c r="B1364" s="7" t="s">
        <v>1489</v>
      </c>
      <c r="C1364" s="8">
        <v>899.0</v>
      </c>
      <c r="D1364" s="8">
        <v>1999.0</v>
      </c>
      <c r="E1364" s="19">
        <v>0.55</v>
      </c>
      <c r="F1364" s="10">
        <v>4.0</v>
      </c>
      <c r="G1364" s="10">
        <v>832.0</v>
      </c>
    </row>
    <row r="1365">
      <c r="A1365" s="7" t="s">
        <v>1490</v>
      </c>
      <c r="B1365" s="7" t="s">
        <v>1091</v>
      </c>
      <c r="C1365" s="8">
        <v>1090.0</v>
      </c>
      <c r="D1365" s="8">
        <v>2999.0</v>
      </c>
      <c r="E1365" s="19">
        <v>0.64</v>
      </c>
      <c r="F1365" s="10">
        <v>3.5</v>
      </c>
      <c r="G1365" s="10">
        <v>57.0</v>
      </c>
    </row>
    <row r="1366">
      <c r="A1366" s="7" t="s">
        <v>1491</v>
      </c>
      <c r="B1366" s="7" t="s">
        <v>1095</v>
      </c>
      <c r="C1366" s="8">
        <v>295.0</v>
      </c>
      <c r="D1366" s="8">
        <v>599.0</v>
      </c>
      <c r="E1366" s="19">
        <v>0.51</v>
      </c>
      <c r="F1366" s="10">
        <v>4.0</v>
      </c>
      <c r="G1366" s="11">
        <v>1644.0</v>
      </c>
    </row>
    <row r="1367">
      <c r="A1367" s="7" t="s">
        <v>1492</v>
      </c>
      <c r="B1367" s="7" t="s">
        <v>1121</v>
      </c>
      <c r="C1367" s="8">
        <v>479.0</v>
      </c>
      <c r="D1367" s="8">
        <v>1999.0</v>
      </c>
      <c r="E1367" s="19">
        <v>0.76</v>
      </c>
      <c r="F1367" s="10">
        <v>3.4</v>
      </c>
      <c r="G1367" s="11">
        <v>1066.0</v>
      </c>
    </row>
    <row r="1368">
      <c r="A1368" s="7" t="s">
        <v>1493</v>
      </c>
      <c r="B1368" s="7" t="s">
        <v>1115</v>
      </c>
      <c r="C1368" s="8">
        <v>2949.0</v>
      </c>
      <c r="D1368" s="8">
        <v>4849.0</v>
      </c>
      <c r="E1368" s="19">
        <v>0.39</v>
      </c>
      <c r="F1368" s="10">
        <v>4.2</v>
      </c>
      <c r="G1368" s="11">
        <v>7968.0</v>
      </c>
    </row>
    <row r="1369">
      <c r="A1369" s="7" t="s">
        <v>1494</v>
      </c>
      <c r="B1369" s="7" t="s">
        <v>1131</v>
      </c>
      <c r="C1369" s="8">
        <v>335.0</v>
      </c>
      <c r="D1369" s="8">
        <v>510.0</v>
      </c>
      <c r="E1369" s="19">
        <v>0.34</v>
      </c>
      <c r="F1369" s="10">
        <v>3.8</v>
      </c>
      <c r="G1369" s="11">
        <v>3195.0</v>
      </c>
    </row>
    <row r="1370">
      <c r="A1370" s="7" t="s">
        <v>1495</v>
      </c>
      <c r="B1370" s="7" t="s">
        <v>1225</v>
      </c>
      <c r="C1370" s="8">
        <v>293.0</v>
      </c>
      <c r="D1370" s="8">
        <v>499.0</v>
      </c>
      <c r="E1370" s="19">
        <v>0.41</v>
      </c>
      <c r="F1370" s="10">
        <v>4.1</v>
      </c>
      <c r="G1370" s="11">
        <v>1456.0</v>
      </c>
    </row>
    <row r="1371">
      <c r="A1371" s="7" t="s">
        <v>1496</v>
      </c>
      <c r="B1371" s="7" t="s">
        <v>1497</v>
      </c>
      <c r="C1371" s="8">
        <v>599.0</v>
      </c>
      <c r="D1371" s="8">
        <v>1299.0</v>
      </c>
      <c r="E1371" s="19">
        <v>0.54</v>
      </c>
      <c r="F1371" s="10">
        <v>4.2</v>
      </c>
      <c r="G1371" s="10">
        <v>590.0</v>
      </c>
    </row>
    <row r="1372">
      <c r="A1372" s="7" t="s">
        <v>1498</v>
      </c>
      <c r="B1372" s="7" t="s">
        <v>1228</v>
      </c>
      <c r="C1372" s="8">
        <v>499.0</v>
      </c>
      <c r="D1372" s="8">
        <v>999.0</v>
      </c>
      <c r="E1372" s="19">
        <v>0.5</v>
      </c>
      <c r="F1372" s="10">
        <v>4.3</v>
      </c>
      <c r="G1372" s="11">
        <v>1436.0</v>
      </c>
    </row>
    <row r="1373">
      <c r="A1373" s="7" t="s">
        <v>1499</v>
      </c>
      <c r="B1373" s="7" t="s">
        <v>1111</v>
      </c>
      <c r="C1373" s="8">
        <v>849.0</v>
      </c>
      <c r="D1373" s="8">
        <v>1190.0</v>
      </c>
      <c r="E1373" s="19">
        <v>0.29</v>
      </c>
      <c r="F1373" s="10">
        <v>4.2</v>
      </c>
      <c r="G1373" s="11">
        <v>4184.0</v>
      </c>
    </row>
    <row r="1374">
      <c r="A1374" s="7" t="s">
        <v>1500</v>
      </c>
      <c r="B1374" s="7" t="s">
        <v>1225</v>
      </c>
      <c r="C1374" s="8">
        <v>249.0</v>
      </c>
      <c r="D1374" s="8">
        <v>400.0</v>
      </c>
      <c r="E1374" s="19">
        <v>0.38</v>
      </c>
      <c r="F1374" s="10">
        <v>4.1</v>
      </c>
      <c r="G1374" s="10">
        <v>693.0</v>
      </c>
    </row>
    <row r="1375">
      <c r="A1375" s="7" t="s">
        <v>1501</v>
      </c>
      <c r="B1375" s="7" t="s">
        <v>1228</v>
      </c>
      <c r="C1375" s="8">
        <v>185.0</v>
      </c>
      <c r="D1375" s="8">
        <v>599.0</v>
      </c>
      <c r="E1375" s="19">
        <v>0.69</v>
      </c>
      <c r="F1375" s="10">
        <v>3.9</v>
      </c>
      <c r="G1375" s="11">
        <v>1306.0</v>
      </c>
    </row>
    <row r="1376">
      <c r="A1376" s="7" t="s">
        <v>1502</v>
      </c>
      <c r="B1376" s="7" t="s">
        <v>1091</v>
      </c>
      <c r="C1376" s="8">
        <v>778.0</v>
      </c>
      <c r="D1376" s="8">
        <v>999.0</v>
      </c>
      <c r="E1376" s="19">
        <v>0.22</v>
      </c>
      <c r="F1376" s="10">
        <v>3.3</v>
      </c>
      <c r="G1376" s="10">
        <v>8.0</v>
      </c>
    </row>
    <row r="1377">
      <c r="A1377" s="7" t="s">
        <v>1503</v>
      </c>
      <c r="B1377" s="7" t="s">
        <v>1504</v>
      </c>
      <c r="C1377" s="8">
        <v>279.0</v>
      </c>
      <c r="D1377" s="8">
        <v>699.0</v>
      </c>
      <c r="E1377" s="19">
        <v>0.6</v>
      </c>
      <c r="F1377" s="10">
        <v>4.3</v>
      </c>
      <c r="G1377" s="11">
        <v>2326.0</v>
      </c>
    </row>
    <row r="1378">
      <c r="A1378" s="7" t="s">
        <v>1505</v>
      </c>
      <c r="B1378" s="7" t="s">
        <v>1228</v>
      </c>
      <c r="C1378" s="8">
        <v>215.0</v>
      </c>
      <c r="D1378" s="8">
        <v>1499.0</v>
      </c>
      <c r="E1378" s="19">
        <v>0.86</v>
      </c>
      <c r="F1378" s="10">
        <v>3.9</v>
      </c>
      <c r="G1378" s="11">
        <v>1004.0</v>
      </c>
    </row>
    <row r="1379">
      <c r="A1379" s="7" t="s">
        <v>1506</v>
      </c>
      <c r="B1379" s="7" t="s">
        <v>1111</v>
      </c>
      <c r="C1379" s="8">
        <v>889.0</v>
      </c>
      <c r="D1379" s="8">
        <v>1295.0</v>
      </c>
      <c r="E1379" s="19">
        <v>0.31</v>
      </c>
      <c r="F1379" s="10">
        <v>4.3</v>
      </c>
      <c r="G1379" s="11">
        <v>6400.0</v>
      </c>
    </row>
    <row r="1380">
      <c r="A1380" s="7" t="s">
        <v>1507</v>
      </c>
      <c r="B1380" s="7" t="s">
        <v>1115</v>
      </c>
      <c r="C1380" s="8">
        <v>1449.0</v>
      </c>
      <c r="D1380" s="8">
        <v>4999.0</v>
      </c>
      <c r="E1380" s="19">
        <v>0.71</v>
      </c>
      <c r="F1380" s="10">
        <v>3.6</v>
      </c>
      <c r="G1380" s="10">
        <v>63.0</v>
      </c>
    </row>
    <row r="1381">
      <c r="A1381" s="7" t="s">
        <v>1508</v>
      </c>
      <c r="B1381" s="7" t="s">
        <v>1115</v>
      </c>
      <c r="C1381" s="8">
        <v>1190.0</v>
      </c>
      <c r="D1381" s="8">
        <v>2550.0</v>
      </c>
      <c r="E1381" s="19">
        <v>0.53</v>
      </c>
      <c r="F1381" s="10">
        <v>3.8</v>
      </c>
      <c r="G1381" s="11">
        <v>1181.0</v>
      </c>
    </row>
    <row r="1382">
      <c r="A1382" s="7" t="s">
        <v>1509</v>
      </c>
      <c r="B1382" s="7" t="s">
        <v>1280</v>
      </c>
      <c r="C1382" s="8">
        <v>1799.0</v>
      </c>
      <c r="D1382" s="8">
        <v>1950.0</v>
      </c>
      <c r="E1382" s="19">
        <v>0.08</v>
      </c>
      <c r="F1382" s="10">
        <v>3.9</v>
      </c>
      <c r="G1382" s="11">
        <v>1888.0</v>
      </c>
    </row>
    <row r="1383">
      <c r="A1383" s="7" t="s">
        <v>1510</v>
      </c>
      <c r="B1383" s="7" t="s">
        <v>1113</v>
      </c>
      <c r="C1383" s="8">
        <v>6120.0</v>
      </c>
      <c r="D1383" s="8">
        <v>8478.0</v>
      </c>
      <c r="E1383" s="19">
        <v>0.28</v>
      </c>
      <c r="F1383" s="10">
        <v>4.6</v>
      </c>
      <c r="G1383" s="11">
        <v>6550.0</v>
      </c>
    </row>
    <row r="1384">
      <c r="A1384" s="7" t="s">
        <v>1511</v>
      </c>
      <c r="B1384" s="7" t="s">
        <v>1113</v>
      </c>
      <c r="C1384" s="8">
        <v>1799.0</v>
      </c>
      <c r="D1384" s="8">
        <v>3299.0</v>
      </c>
      <c r="E1384" s="19">
        <v>0.45</v>
      </c>
      <c r="F1384" s="10">
        <v>3.8</v>
      </c>
      <c r="G1384" s="11">
        <v>1846.0</v>
      </c>
    </row>
    <row r="1385">
      <c r="A1385" s="7" t="s">
        <v>1512</v>
      </c>
      <c r="B1385" s="7" t="s">
        <v>1113</v>
      </c>
      <c r="C1385" s="8">
        <v>2199.0</v>
      </c>
      <c r="D1385" s="8">
        <v>3895.0</v>
      </c>
      <c r="E1385" s="19">
        <v>0.44</v>
      </c>
      <c r="F1385" s="10">
        <v>3.9</v>
      </c>
      <c r="G1385" s="11">
        <v>1085.0</v>
      </c>
    </row>
    <row r="1386">
      <c r="A1386" s="7" t="s">
        <v>1513</v>
      </c>
      <c r="B1386" s="7" t="s">
        <v>1236</v>
      </c>
      <c r="C1386" s="8">
        <v>3685.0</v>
      </c>
      <c r="D1386" s="8">
        <v>5495.0</v>
      </c>
      <c r="E1386" s="19">
        <v>0.33</v>
      </c>
      <c r="F1386" s="10">
        <v>4.1</v>
      </c>
      <c r="G1386" s="10">
        <v>290.0</v>
      </c>
    </row>
    <row r="1387">
      <c r="A1387" s="7" t="s">
        <v>1514</v>
      </c>
      <c r="B1387" s="7" t="s">
        <v>1144</v>
      </c>
      <c r="C1387" s="8">
        <v>649.0</v>
      </c>
      <c r="D1387" s="8">
        <v>999.0</v>
      </c>
      <c r="E1387" s="19">
        <v>0.35</v>
      </c>
      <c r="F1387" s="10">
        <v>3.6</v>
      </c>
      <c r="G1387" s="10">
        <v>4.0</v>
      </c>
    </row>
    <row r="1388">
      <c r="A1388" s="7" t="s">
        <v>1515</v>
      </c>
      <c r="B1388" s="7" t="s">
        <v>1318</v>
      </c>
      <c r="C1388" s="8">
        <v>8599.0</v>
      </c>
      <c r="D1388" s="8">
        <v>8995.0</v>
      </c>
      <c r="E1388" s="19">
        <v>0.04</v>
      </c>
      <c r="F1388" s="10">
        <v>4.4</v>
      </c>
      <c r="G1388" s="11">
        <v>9734.0</v>
      </c>
    </row>
    <row r="1389">
      <c r="A1389" s="7" t="s">
        <v>1516</v>
      </c>
      <c r="B1389" s="7" t="s">
        <v>1111</v>
      </c>
      <c r="C1389" s="8">
        <v>1110.0</v>
      </c>
      <c r="D1389" s="8">
        <v>1599.0</v>
      </c>
      <c r="E1389" s="19">
        <v>0.31</v>
      </c>
      <c r="F1389" s="10">
        <v>4.3</v>
      </c>
      <c r="G1389" s="11">
        <v>4022.0</v>
      </c>
    </row>
    <row r="1390">
      <c r="A1390" s="7" t="s">
        <v>1517</v>
      </c>
      <c r="B1390" s="7" t="s">
        <v>1115</v>
      </c>
      <c r="C1390" s="8">
        <v>1499.0</v>
      </c>
      <c r="D1390" s="8">
        <v>3500.0</v>
      </c>
      <c r="E1390" s="19">
        <v>0.57</v>
      </c>
      <c r="F1390" s="10">
        <v>4.7</v>
      </c>
      <c r="G1390" s="11">
        <v>2591.0</v>
      </c>
    </row>
    <row r="1391">
      <c r="A1391" s="7" t="s">
        <v>1518</v>
      </c>
      <c r="B1391" s="7" t="s">
        <v>1095</v>
      </c>
      <c r="C1391" s="8">
        <v>759.0</v>
      </c>
      <c r="D1391" s="8">
        <v>1999.0</v>
      </c>
      <c r="E1391" s="19">
        <v>0.62</v>
      </c>
      <c r="F1391" s="10">
        <v>4.3</v>
      </c>
      <c r="G1391" s="10">
        <v>532.0</v>
      </c>
    </row>
    <row r="1392">
      <c r="A1392" s="7" t="s">
        <v>1519</v>
      </c>
      <c r="B1392" s="7" t="s">
        <v>1148</v>
      </c>
      <c r="C1392" s="8">
        <v>2669.0</v>
      </c>
      <c r="D1392" s="8">
        <v>3199.0</v>
      </c>
      <c r="E1392" s="19">
        <v>0.17</v>
      </c>
      <c r="F1392" s="10">
        <v>3.9</v>
      </c>
      <c r="G1392" s="10">
        <v>260.0</v>
      </c>
    </row>
    <row r="1393">
      <c r="A1393" s="7" t="s">
        <v>1520</v>
      </c>
      <c r="B1393" s="7" t="s">
        <v>1159</v>
      </c>
      <c r="C1393" s="8">
        <v>929.0</v>
      </c>
      <c r="D1393" s="8">
        <v>1300.0</v>
      </c>
      <c r="E1393" s="19">
        <v>0.29</v>
      </c>
      <c r="F1393" s="10">
        <v>3.9</v>
      </c>
      <c r="G1393" s="11">
        <v>1672.0</v>
      </c>
    </row>
    <row r="1394">
      <c r="A1394" s="7" t="s">
        <v>1521</v>
      </c>
      <c r="B1394" s="7" t="s">
        <v>1137</v>
      </c>
      <c r="C1394" s="8">
        <v>199.0</v>
      </c>
      <c r="D1394" s="8">
        <v>399.0</v>
      </c>
      <c r="E1394" s="19">
        <v>0.5</v>
      </c>
      <c r="F1394" s="10">
        <v>3.7</v>
      </c>
      <c r="G1394" s="11">
        <v>7945.0</v>
      </c>
    </row>
    <row r="1395">
      <c r="A1395" s="7" t="s">
        <v>1522</v>
      </c>
      <c r="B1395" s="7" t="s">
        <v>1093</v>
      </c>
      <c r="C1395" s="8">
        <v>279.0</v>
      </c>
      <c r="D1395" s="8">
        <v>599.0</v>
      </c>
      <c r="E1395" s="19">
        <v>0.53</v>
      </c>
      <c r="F1395" s="10">
        <v>3.5</v>
      </c>
      <c r="G1395" s="11">
        <v>1367.0</v>
      </c>
    </row>
    <row r="1396">
      <c r="A1396" s="7" t="s">
        <v>1523</v>
      </c>
      <c r="B1396" s="7" t="s">
        <v>1109</v>
      </c>
      <c r="C1396" s="8">
        <v>549.0</v>
      </c>
      <c r="D1396" s="8">
        <v>999.0</v>
      </c>
      <c r="E1396" s="19">
        <v>0.45</v>
      </c>
      <c r="F1396" s="10">
        <v>4.0</v>
      </c>
      <c r="G1396" s="11">
        <v>1313.0</v>
      </c>
    </row>
    <row r="1397">
      <c r="A1397" s="7" t="s">
        <v>1524</v>
      </c>
      <c r="B1397" s="7" t="s">
        <v>1306</v>
      </c>
      <c r="C1397" s="8">
        <v>85.0</v>
      </c>
      <c r="D1397" s="8">
        <v>199.0</v>
      </c>
      <c r="E1397" s="19">
        <v>0.57</v>
      </c>
      <c r="F1397" s="10">
        <v>4.1</v>
      </c>
      <c r="G1397" s="10">
        <v>212.0</v>
      </c>
    </row>
    <row r="1398">
      <c r="A1398" s="7" t="s">
        <v>1525</v>
      </c>
      <c r="B1398" s="7" t="s">
        <v>1144</v>
      </c>
      <c r="C1398" s="8">
        <v>499.0</v>
      </c>
      <c r="D1398" s="8">
        <v>1299.0</v>
      </c>
      <c r="E1398" s="19">
        <v>0.62</v>
      </c>
      <c r="F1398" s="10">
        <v>3.9</v>
      </c>
      <c r="G1398" s="10">
        <v>65.0</v>
      </c>
    </row>
    <row r="1399">
      <c r="A1399" s="7" t="s">
        <v>1526</v>
      </c>
      <c r="B1399" s="7" t="s">
        <v>1144</v>
      </c>
      <c r="C1399" s="8">
        <v>5865.0</v>
      </c>
      <c r="D1399" s="8">
        <v>7776.0</v>
      </c>
      <c r="E1399" s="19">
        <v>0.25</v>
      </c>
      <c r="F1399" s="10">
        <v>4.4</v>
      </c>
      <c r="G1399" s="11">
        <v>2737.0</v>
      </c>
    </row>
    <row r="1400">
      <c r="A1400" s="7" t="s">
        <v>1527</v>
      </c>
      <c r="B1400" s="7" t="s">
        <v>1086</v>
      </c>
      <c r="C1400" s="8">
        <v>1260.0</v>
      </c>
      <c r="D1400" s="8">
        <v>2299.0</v>
      </c>
      <c r="E1400" s="19">
        <v>0.45</v>
      </c>
      <c r="F1400" s="10">
        <v>4.3</v>
      </c>
      <c r="G1400" s="10">
        <v>55.0</v>
      </c>
    </row>
    <row r="1401">
      <c r="A1401" s="7" t="s">
        <v>1528</v>
      </c>
      <c r="B1401" s="7" t="s">
        <v>1529</v>
      </c>
      <c r="C1401" s="8">
        <v>1099.0</v>
      </c>
      <c r="D1401" s="8">
        <v>1500.0</v>
      </c>
      <c r="E1401" s="19">
        <v>0.27</v>
      </c>
      <c r="F1401" s="10">
        <v>4.5</v>
      </c>
      <c r="G1401" s="11">
        <v>1065.0</v>
      </c>
    </row>
    <row r="1402">
      <c r="A1402" s="7" t="s">
        <v>1530</v>
      </c>
      <c r="B1402" s="7" t="s">
        <v>1159</v>
      </c>
      <c r="C1402" s="8">
        <v>1928.0</v>
      </c>
      <c r="D1402" s="8">
        <v>2590.0</v>
      </c>
      <c r="E1402" s="19">
        <v>0.26</v>
      </c>
      <c r="F1402" s="10">
        <v>4.0</v>
      </c>
      <c r="G1402" s="11">
        <v>2377.0</v>
      </c>
    </row>
    <row r="1403">
      <c r="A1403" s="7" t="s">
        <v>1531</v>
      </c>
      <c r="B1403" s="7" t="s">
        <v>1123</v>
      </c>
      <c r="C1403" s="8">
        <v>3249.0</v>
      </c>
      <c r="D1403" s="8">
        <v>6299.0</v>
      </c>
      <c r="E1403" s="19">
        <v>0.48</v>
      </c>
      <c r="F1403" s="10">
        <v>3.9</v>
      </c>
      <c r="G1403" s="11">
        <v>2569.0</v>
      </c>
    </row>
    <row r="1404">
      <c r="A1404" s="7" t="s">
        <v>1532</v>
      </c>
      <c r="B1404" s="7" t="s">
        <v>1159</v>
      </c>
      <c r="C1404" s="8">
        <v>1199.0</v>
      </c>
      <c r="D1404" s="8">
        <v>1795.0</v>
      </c>
      <c r="E1404" s="19">
        <v>0.33</v>
      </c>
      <c r="F1404" s="10">
        <v>4.2</v>
      </c>
      <c r="G1404" s="11">
        <v>5967.0</v>
      </c>
    </row>
    <row r="1405">
      <c r="A1405" s="7" t="s">
        <v>1533</v>
      </c>
      <c r="B1405" s="7" t="s">
        <v>1086</v>
      </c>
      <c r="C1405" s="8">
        <v>1456.0</v>
      </c>
      <c r="D1405" s="8">
        <v>3190.0</v>
      </c>
      <c r="E1405" s="19">
        <v>0.54</v>
      </c>
      <c r="F1405" s="10">
        <v>4.1</v>
      </c>
      <c r="G1405" s="11">
        <v>1776.0</v>
      </c>
    </row>
    <row r="1406">
      <c r="A1406" s="7" t="s">
        <v>1534</v>
      </c>
      <c r="B1406" s="7" t="s">
        <v>1144</v>
      </c>
      <c r="C1406" s="8">
        <v>3349.0</v>
      </c>
      <c r="D1406" s="8">
        <v>4799.0</v>
      </c>
      <c r="E1406" s="19">
        <v>0.3</v>
      </c>
      <c r="F1406" s="10">
        <v>3.7</v>
      </c>
      <c r="G1406" s="11">
        <v>4200.0</v>
      </c>
    </row>
    <row r="1407">
      <c r="A1407" s="7" t="s">
        <v>1535</v>
      </c>
      <c r="B1407" s="7" t="s">
        <v>1197</v>
      </c>
      <c r="C1407" s="8">
        <v>4899.0</v>
      </c>
      <c r="D1407" s="8">
        <v>8999.0</v>
      </c>
      <c r="E1407" s="19">
        <v>0.46</v>
      </c>
      <c r="F1407" s="10">
        <v>4.1</v>
      </c>
      <c r="G1407" s="10">
        <v>297.0</v>
      </c>
    </row>
    <row r="1408">
      <c r="A1408" s="7" t="s">
        <v>1536</v>
      </c>
      <c r="B1408" s="7" t="s">
        <v>1121</v>
      </c>
      <c r="C1408" s="8">
        <v>1199.0</v>
      </c>
      <c r="D1408" s="8">
        <v>1899.0</v>
      </c>
      <c r="E1408" s="19">
        <v>0.37</v>
      </c>
      <c r="F1408" s="10">
        <v>4.2</v>
      </c>
      <c r="G1408" s="11">
        <v>3858.0</v>
      </c>
    </row>
    <row r="1409">
      <c r="A1409" s="7" t="s">
        <v>1537</v>
      </c>
      <c r="B1409" s="7" t="s">
        <v>1393</v>
      </c>
      <c r="C1409" s="8">
        <v>3290.0</v>
      </c>
      <c r="D1409" s="8">
        <v>5799.0</v>
      </c>
      <c r="E1409" s="19">
        <v>0.43</v>
      </c>
      <c r="F1409" s="10">
        <v>4.3</v>
      </c>
      <c r="G1409" s="10">
        <v>168.0</v>
      </c>
    </row>
    <row r="1410">
      <c r="A1410" s="7" t="s">
        <v>1538</v>
      </c>
      <c r="B1410" s="7" t="s">
        <v>1093</v>
      </c>
      <c r="C1410" s="8">
        <v>179.0</v>
      </c>
      <c r="D1410" s="8">
        <v>799.0</v>
      </c>
      <c r="E1410" s="19">
        <v>0.78</v>
      </c>
      <c r="F1410" s="10">
        <v>3.6</v>
      </c>
      <c r="G1410" s="10">
        <v>101.0</v>
      </c>
    </row>
    <row r="1411">
      <c r="A1411" s="7" t="s">
        <v>1539</v>
      </c>
      <c r="B1411" s="7" t="s">
        <v>1504</v>
      </c>
      <c r="C1411" s="8">
        <v>149.0</v>
      </c>
      <c r="D1411" s="8">
        <v>300.0</v>
      </c>
      <c r="E1411" s="19">
        <v>0.5</v>
      </c>
      <c r="F1411" s="10">
        <v>4.1</v>
      </c>
      <c r="G1411" s="11">
        <v>4074.0</v>
      </c>
    </row>
    <row r="1412">
      <c r="A1412" s="7" t="s">
        <v>1540</v>
      </c>
      <c r="B1412" s="7" t="s">
        <v>1113</v>
      </c>
      <c r="C1412" s="8">
        <v>5490.0</v>
      </c>
      <c r="D1412" s="8">
        <v>7200.0</v>
      </c>
      <c r="E1412" s="19">
        <v>0.24</v>
      </c>
      <c r="F1412" s="10">
        <v>4.5</v>
      </c>
      <c r="G1412" s="11">
        <v>1408.0</v>
      </c>
    </row>
    <row r="1413">
      <c r="A1413" s="7" t="s">
        <v>1541</v>
      </c>
      <c r="B1413" s="7" t="s">
        <v>1095</v>
      </c>
      <c r="C1413" s="8">
        <v>379.0</v>
      </c>
      <c r="D1413" s="8">
        <v>389.0</v>
      </c>
      <c r="E1413" s="19">
        <v>0.03</v>
      </c>
      <c r="F1413" s="10">
        <v>4.2</v>
      </c>
      <c r="G1413" s="11">
        <v>3739.0</v>
      </c>
    </row>
    <row r="1414">
      <c r="A1414" s="7" t="s">
        <v>1542</v>
      </c>
      <c r="B1414" s="7" t="s">
        <v>1280</v>
      </c>
      <c r="C1414" s="8">
        <v>8699.0</v>
      </c>
      <c r="D1414" s="8">
        <v>13049.0</v>
      </c>
      <c r="E1414" s="19">
        <v>0.33</v>
      </c>
      <c r="F1414" s="10">
        <v>4.3</v>
      </c>
      <c r="G1414" s="11">
        <v>5891.0</v>
      </c>
    </row>
    <row r="1415">
      <c r="A1415" s="7" t="s">
        <v>1543</v>
      </c>
      <c r="B1415" s="7" t="s">
        <v>1113</v>
      </c>
      <c r="C1415" s="8">
        <v>3041.67</v>
      </c>
      <c r="D1415" s="8">
        <v>5999.0</v>
      </c>
      <c r="E1415" s="19">
        <v>0.49</v>
      </c>
      <c r="F1415" s="10">
        <v>4.0</v>
      </c>
      <c r="G1415" s="10">
        <v>777.0</v>
      </c>
    </row>
    <row r="1416">
      <c r="A1416" s="7" t="s">
        <v>1544</v>
      </c>
      <c r="B1416" s="7" t="s">
        <v>1109</v>
      </c>
      <c r="C1416" s="8">
        <v>1745.0</v>
      </c>
      <c r="D1416" s="8">
        <v>2400.0</v>
      </c>
      <c r="E1416" s="19">
        <v>0.27</v>
      </c>
      <c r="F1416" s="10">
        <v>4.2</v>
      </c>
      <c r="G1416" s="11">
        <v>14160.0</v>
      </c>
    </row>
    <row r="1417">
      <c r="A1417" s="7" t="s">
        <v>1545</v>
      </c>
      <c r="B1417" s="7" t="s">
        <v>1104</v>
      </c>
      <c r="C1417" s="8">
        <v>3180.0</v>
      </c>
      <c r="D1417" s="8">
        <v>5295.0</v>
      </c>
      <c r="E1417" s="19">
        <v>0.4</v>
      </c>
      <c r="F1417" s="10">
        <v>4.2</v>
      </c>
      <c r="G1417" s="11">
        <v>6919.0</v>
      </c>
    </row>
    <row r="1418">
      <c r="A1418" s="7" t="s">
        <v>1546</v>
      </c>
      <c r="B1418" s="7" t="s">
        <v>1280</v>
      </c>
      <c r="C1418" s="8">
        <v>4999.0</v>
      </c>
      <c r="D1418" s="8">
        <v>24999.0</v>
      </c>
      <c r="E1418" s="19">
        <v>0.8</v>
      </c>
      <c r="F1418" s="10">
        <v>4.5</v>
      </c>
      <c r="G1418" s="10">
        <v>287.0</v>
      </c>
    </row>
    <row r="1419">
      <c r="A1419" s="7" t="s">
        <v>1547</v>
      </c>
      <c r="B1419" s="7" t="s">
        <v>1137</v>
      </c>
      <c r="C1419" s="8">
        <v>390.0</v>
      </c>
      <c r="D1419" s="8">
        <v>799.0</v>
      </c>
      <c r="E1419" s="19">
        <v>0.51</v>
      </c>
      <c r="F1419" s="10">
        <v>3.8</v>
      </c>
      <c r="G1419" s="10">
        <v>287.0</v>
      </c>
    </row>
    <row r="1420">
      <c r="A1420" s="7" t="s">
        <v>1548</v>
      </c>
      <c r="B1420" s="7" t="s">
        <v>1549</v>
      </c>
      <c r="C1420" s="8">
        <v>1999.0</v>
      </c>
      <c r="D1420" s="8">
        <v>2999.0</v>
      </c>
      <c r="E1420" s="19">
        <v>0.33</v>
      </c>
      <c r="F1420" s="10">
        <v>4.4</v>
      </c>
      <c r="G1420" s="10">
        <v>388.0</v>
      </c>
    </row>
    <row r="1421">
      <c r="A1421" s="7" t="s">
        <v>1550</v>
      </c>
      <c r="B1421" s="7" t="s">
        <v>1155</v>
      </c>
      <c r="C1421" s="8">
        <v>1624.0</v>
      </c>
      <c r="D1421" s="8">
        <v>2495.0</v>
      </c>
      <c r="E1421" s="19">
        <v>0.35</v>
      </c>
      <c r="F1421" s="10">
        <v>4.1</v>
      </c>
      <c r="G1421" s="10">
        <v>827.0</v>
      </c>
    </row>
    <row r="1422">
      <c r="A1422" s="7" t="s">
        <v>1551</v>
      </c>
      <c r="B1422" s="7" t="s">
        <v>1504</v>
      </c>
      <c r="C1422" s="8">
        <v>184.0</v>
      </c>
      <c r="D1422" s="8">
        <v>450.0</v>
      </c>
      <c r="E1422" s="19">
        <v>0.59</v>
      </c>
      <c r="F1422" s="10">
        <v>4.2</v>
      </c>
      <c r="G1422" s="11">
        <v>4971.0</v>
      </c>
    </row>
    <row r="1423">
      <c r="A1423" s="7" t="s">
        <v>1552</v>
      </c>
      <c r="B1423" s="7" t="s">
        <v>1093</v>
      </c>
      <c r="C1423" s="8">
        <v>445.0</v>
      </c>
      <c r="D1423" s="8">
        <v>999.0</v>
      </c>
      <c r="E1423" s="19">
        <v>0.55</v>
      </c>
      <c r="F1423" s="10">
        <v>4.3</v>
      </c>
      <c r="G1423" s="10">
        <v>229.0</v>
      </c>
    </row>
    <row r="1424">
      <c r="A1424" s="7" t="s">
        <v>1553</v>
      </c>
      <c r="B1424" s="7" t="s">
        <v>1554</v>
      </c>
      <c r="C1424" s="8">
        <v>699.0</v>
      </c>
      <c r="D1424" s="8">
        <v>1690.0</v>
      </c>
      <c r="E1424" s="19">
        <v>0.59</v>
      </c>
      <c r="F1424" s="10">
        <v>4.1</v>
      </c>
      <c r="G1424" s="11">
        <v>3524.0</v>
      </c>
    </row>
    <row r="1425">
      <c r="A1425" s="7" t="s">
        <v>1555</v>
      </c>
      <c r="B1425" s="7" t="s">
        <v>1104</v>
      </c>
      <c r="C1425" s="8">
        <v>1601.0</v>
      </c>
      <c r="D1425" s="8">
        <v>3890.0</v>
      </c>
      <c r="E1425" s="19">
        <v>0.59</v>
      </c>
      <c r="F1425" s="10">
        <v>4.2</v>
      </c>
      <c r="G1425" s="10">
        <v>156.0</v>
      </c>
    </row>
    <row r="1426">
      <c r="A1426" s="7" t="s">
        <v>1556</v>
      </c>
      <c r="B1426" s="7" t="s">
        <v>1228</v>
      </c>
      <c r="C1426" s="8">
        <v>231.0</v>
      </c>
      <c r="D1426" s="8">
        <v>260.0</v>
      </c>
      <c r="E1426" s="19">
        <v>0.11</v>
      </c>
      <c r="F1426" s="10">
        <v>4.1</v>
      </c>
      <c r="G1426" s="10">
        <v>490.0</v>
      </c>
    </row>
    <row r="1427">
      <c r="A1427" s="7" t="s">
        <v>1557</v>
      </c>
      <c r="B1427" s="7" t="s">
        <v>1093</v>
      </c>
      <c r="C1427" s="8">
        <v>369.0</v>
      </c>
      <c r="D1427" s="8">
        <v>599.0</v>
      </c>
      <c r="E1427" s="19">
        <v>0.38</v>
      </c>
      <c r="F1427" s="10">
        <v>3.9</v>
      </c>
      <c r="G1427" s="10">
        <v>82.0</v>
      </c>
    </row>
    <row r="1428">
      <c r="A1428" s="7" t="s">
        <v>1558</v>
      </c>
      <c r="B1428" s="7" t="s">
        <v>1086</v>
      </c>
      <c r="C1428" s="8">
        <v>809.0</v>
      </c>
      <c r="D1428" s="8">
        <v>1950.0</v>
      </c>
      <c r="E1428" s="19">
        <v>0.59</v>
      </c>
      <c r="F1428" s="10">
        <v>3.9</v>
      </c>
      <c r="G1428" s="10">
        <v>710.0</v>
      </c>
    </row>
    <row r="1429">
      <c r="A1429" s="7" t="s">
        <v>1559</v>
      </c>
      <c r="B1429" s="7" t="s">
        <v>1113</v>
      </c>
      <c r="C1429" s="8">
        <v>1199.0</v>
      </c>
      <c r="D1429" s="8">
        <v>2990.0</v>
      </c>
      <c r="E1429" s="19">
        <v>0.6</v>
      </c>
      <c r="F1429" s="10">
        <v>3.8</v>
      </c>
      <c r="G1429" s="10">
        <v>133.0</v>
      </c>
    </row>
    <row r="1430">
      <c r="A1430" s="7" t="s">
        <v>1560</v>
      </c>
      <c r="B1430" s="7" t="s">
        <v>1113</v>
      </c>
      <c r="C1430" s="8">
        <v>6120.0</v>
      </c>
      <c r="D1430" s="8">
        <v>8073.0</v>
      </c>
      <c r="E1430" s="19">
        <v>0.24</v>
      </c>
      <c r="F1430" s="10">
        <v>4.6</v>
      </c>
      <c r="G1430" s="11">
        <v>2751.0</v>
      </c>
    </row>
    <row r="1431">
      <c r="A1431" s="7" t="s">
        <v>1561</v>
      </c>
      <c r="B1431" s="7" t="s">
        <v>1139</v>
      </c>
      <c r="C1431" s="8">
        <v>1799.0</v>
      </c>
      <c r="D1431" s="8">
        <v>2599.0</v>
      </c>
      <c r="E1431" s="19">
        <v>0.31</v>
      </c>
      <c r="F1431" s="10">
        <v>3.6</v>
      </c>
      <c r="G1431" s="10">
        <v>771.0</v>
      </c>
    </row>
    <row r="1432">
      <c r="A1432" s="7" t="s">
        <v>1562</v>
      </c>
      <c r="B1432" s="7" t="s">
        <v>1428</v>
      </c>
      <c r="C1432" s="8">
        <v>18999.0</v>
      </c>
      <c r="D1432" s="8">
        <v>29999.0</v>
      </c>
      <c r="E1432" s="19">
        <v>0.37</v>
      </c>
      <c r="F1432" s="10">
        <v>4.1</v>
      </c>
      <c r="G1432" s="11">
        <v>2536.0</v>
      </c>
    </row>
    <row r="1433">
      <c r="A1433" s="7" t="s">
        <v>1563</v>
      </c>
      <c r="B1433" s="7" t="s">
        <v>1222</v>
      </c>
      <c r="C1433" s="8">
        <v>1999.0</v>
      </c>
      <c r="D1433" s="8">
        <v>2360.0</v>
      </c>
      <c r="E1433" s="19">
        <v>0.15</v>
      </c>
      <c r="F1433" s="10">
        <v>4.2</v>
      </c>
      <c r="G1433" s="11">
        <v>7801.0</v>
      </c>
    </row>
    <row r="1434">
      <c r="A1434" s="7" t="s">
        <v>1564</v>
      </c>
      <c r="B1434" s="7" t="s">
        <v>1565</v>
      </c>
      <c r="C1434" s="8">
        <v>5999.0</v>
      </c>
      <c r="D1434" s="8">
        <v>11495.0</v>
      </c>
      <c r="E1434" s="19">
        <v>0.48</v>
      </c>
      <c r="F1434" s="10">
        <v>4.3</v>
      </c>
      <c r="G1434" s="10">
        <v>534.0</v>
      </c>
    </row>
    <row r="1435">
      <c r="A1435" s="7" t="s">
        <v>1566</v>
      </c>
      <c r="B1435" s="7" t="s">
        <v>1186</v>
      </c>
      <c r="C1435" s="8">
        <v>2599.0</v>
      </c>
      <c r="D1435" s="8">
        <v>4780.0</v>
      </c>
      <c r="E1435" s="19">
        <v>0.46</v>
      </c>
      <c r="F1435" s="10">
        <v>3.9</v>
      </c>
      <c r="G1435" s="10">
        <v>898.0</v>
      </c>
    </row>
    <row r="1436">
      <c r="A1436" s="7" t="s">
        <v>1567</v>
      </c>
      <c r="B1436" s="7" t="s">
        <v>1489</v>
      </c>
      <c r="C1436" s="8">
        <v>1199.0</v>
      </c>
      <c r="D1436" s="8">
        <v>2400.0</v>
      </c>
      <c r="E1436" s="19">
        <v>0.5</v>
      </c>
      <c r="F1436" s="10">
        <v>3.9</v>
      </c>
      <c r="G1436" s="11">
        <v>1202.0</v>
      </c>
    </row>
    <row r="1437">
      <c r="A1437" s="7" t="s">
        <v>1568</v>
      </c>
      <c r="B1437" s="7" t="s">
        <v>1137</v>
      </c>
      <c r="C1437" s="8">
        <v>219.0</v>
      </c>
      <c r="D1437" s="8">
        <v>249.0</v>
      </c>
      <c r="E1437" s="19">
        <v>0.12</v>
      </c>
      <c r="F1437" s="10">
        <v>4.0</v>
      </c>
      <c r="G1437" s="11">
        <v>1108.0</v>
      </c>
    </row>
    <row r="1438">
      <c r="A1438" s="7" t="s">
        <v>1569</v>
      </c>
      <c r="B1438" s="7" t="s">
        <v>1091</v>
      </c>
      <c r="C1438" s="8">
        <v>799.0</v>
      </c>
      <c r="D1438" s="8">
        <v>1199.0</v>
      </c>
      <c r="E1438" s="19">
        <v>0.33</v>
      </c>
      <c r="F1438" s="10">
        <v>4.4</v>
      </c>
      <c r="G1438" s="10">
        <v>17.0</v>
      </c>
    </row>
    <row r="1439">
      <c r="A1439" s="7" t="s">
        <v>1570</v>
      </c>
      <c r="B1439" s="7" t="s">
        <v>1263</v>
      </c>
      <c r="C1439" s="8">
        <v>6199.0</v>
      </c>
      <c r="D1439" s="8">
        <v>10999.0</v>
      </c>
      <c r="E1439" s="19">
        <v>0.44</v>
      </c>
      <c r="F1439" s="10">
        <v>4.2</v>
      </c>
      <c r="G1439" s="11">
        <v>10429.0</v>
      </c>
    </row>
    <row r="1440">
      <c r="A1440" s="7" t="s">
        <v>1571</v>
      </c>
      <c r="B1440" s="7" t="s">
        <v>1135</v>
      </c>
      <c r="C1440" s="8">
        <v>6790.0</v>
      </c>
      <c r="D1440" s="8">
        <v>10995.0</v>
      </c>
      <c r="E1440" s="19">
        <v>0.38</v>
      </c>
      <c r="F1440" s="10">
        <v>4.5</v>
      </c>
      <c r="G1440" s="11">
        <v>3192.0</v>
      </c>
    </row>
    <row r="1441">
      <c r="A1441" s="7" t="s">
        <v>1572</v>
      </c>
      <c r="B1441" s="7" t="s">
        <v>1573</v>
      </c>
      <c r="C1441" s="8">
        <v>1982.84</v>
      </c>
      <c r="D1441" s="8">
        <v>3300.0</v>
      </c>
      <c r="E1441" s="19">
        <v>0.4</v>
      </c>
      <c r="F1441" s="10">
        <v>4.1</v>
      </c>
      <c r="G1441" s="11">
        <v>5873.0</v>
      </c>
    </row>
    <row r="1442">
      <c r="A1442" s="7" t="s">
        <v>1574</v>
      </c>
      <c r="B1442" s="7" t="s">
        <v>1228</v>
      </c>
      <c r="C1442" s="8">
        <v>199.0</v>
      </c>
      <c r="D1442" s="8">
        <v>400.0</v>
      </c>
      <c r="E1442" s="19">
        <v>0.5</v>
      </c>
      <c r="F1442" s="10">
        <v>4.1</v>
      </c>
      <c r="G1442" s="11">
        <v>1379.0</v>
      </c>
    </row>
    <row r="1443">
      <c r="A1443" s="7" t="s">
        <v>1575</v>
      </c>
      <c r="B1443" s="7" t="s">
        <v>1086</v>
      </c>
      <c r="C1443" s="8">
        <v>1180.0</v>
      </c>
      <c r="D1443" s="8">
        <v>1440.0</v>
      </c>
      <c r="E1443" s="19">
        <v>0.18</v>
      </c>
      <c r="F1443" s="10">
        <v>4.2</v>
      </c>
      <c r="G1443" s="11">
        <v>1527.0</v>
      </c>
    </row>
    <row r="1444">
      <c r="A1444" s="7" t="s">
        <v>1576</v>
      </c>
      <c r="B1444" s="7" t="s">
        <v>1186</v>
      </c>
      <c r="C1444" s="8">
        <v>2199.0</v>
      </c>
      <c r="D1444" s="8">
        <v>3045.0</v>
      </c>
      <c r="E1444" s="19">
        <v>0.28</v>
      </c>
      <c r="F1444" s="10">
        <v>4.2</v>
      </c>
      <c r="G1444" s="11">
        <v>2686.0</v>
      </c>
    </row>
    <row r="1445">
      <c r="A1445" s="7" t="s">
        <v>1577</v>
      </c>
      <c r="B1445" s="7" t="s">
        <v>1225</v>
      </c>
      <c r="C1445" s="8">
        <v>2999.0</v>
      </c>
      <c r="D1445" s="8">
        <v>3595.0</v>
      </c>
      <c r="E1445" s="19">
        <v>0.17</v>
      </c>
      <c r="F1445" s="10">
        <v>4.0</v>
      </c>
      <c r="G1445" s="10">
        <v>178.0</v>
      </c>
    </row>
    <row r="1446">
      <c r="A1446" s="7" t="s">
        <v>1578</v>
      </c>
      <c r="B1446" s="7" t="s">
        <v>1579</v>
      </c>
      <c r="C1446" s="8">
        <v>253.0</v>
      </c>
      <c r="D1446" s="8">
        <v>500.0</v>
      </c>
      <c r="E1446" s="19">
        <v>0.49</v>
      </c>
      <c r="F1446" s="10">
        <v>4.3</v>
      </c>
      <c r="G1446" s="11">
        <v>2664.0</v>
      </c>
    </row>
    <row r="1447">
      <c r="A1447" s="7" t="s">
        <v>1580</v>
      </c>
      <c r="B1447" s="7" t="s">
        <v>1393</v>
      </c>
      <c r="C1447" s="8">
        <v>499.0</v>
      </c>
      <c r="D1447" s="8">
        <v>799.0</v>
      </c>
      <c r="E1447" s="19">
        <v>0.38</v>
      </c>
      <c r="F1447" s="10">
        <v>3.6</v>
      </c>
      <c r="G1447" s="10">
        <v>212.0</v>
      </c>
    </row>
    <row r="1448">
      <c r="A1448" s="7" t="s">
        <v>1581</v>
      </c>
      <c r="B1448" s="7" t="s">
        <v>1089</v>
      </c>
      <c r="C1448" s="8">
        <v>1149.0</v>
      </c>
      <c r="D1448" s="8">
        <v>1899.0</v>
      </c>
      <c r="E1448" s="19">
        <v>0.39</v>
      </c>
      <c r="F1448" s="10">
        <v>3.5</v>
      </c>
      <c r="G1448" s="10">
        <v>24.0</v>
      </c>
    </row>
    <row r="1449">
      <c r="A1449" s="7" t="s">
        <v>1582</v>
      </c>
      <c r="B1449" s="7" t="s">
        <v>1111</v>
      </c>
      <c r="C1449" s="8">
        <v>457.0</v>
      </c>
      <c r="D1449" s="8">
        <v>799.0</v>
      </c>
      <c r="E1449" s="19">
        <v>0.43</v>
      </c>
      <c r="F1449" s="10">
        <v>4.3</v>
      </c>
      <c r="G1449" s="11">
        <v>1868.0</v>
      </c>
    </row>
    <row r="1450">
      <c r="A1450" s="7" t="s">
        <v>1583</v>
      </c>
      <c r="B1450" s="7" t="s">
        <v>1388</v>
      </c>
      <c r="C1450" s="8">
        <v>229.0</v>
      </c>
      <c r="D1450" s="8">
        <v>399.0</v>
      </c>
      <c r="E1450" s="19">
        <v>0.43</v>
      </c>
      <c r="F1450" s="10">
        <v>3.6</v>
      </c>
      <c r="G1450" s="10">
        <v>451.0</v>
      </c>
    </row>
    <row r="1451">
      <c r="A1451" s="7" t="s">
        <v>1584</v>
      </c>
      <c r="B1451" s="7" t="s">
        <v>1228</v>
      </c>
      <c r="C1451" s="8">
        <v>199.0</v>
      </c>
      <c r="D1451" s="8">
        <v>699.0</v>
      </c>
      <c r="E1451" s="19">
        <v>0.72</v>
      </c>
      <c r="F1451" s="10">
        <v>2.9</v>
      </c>
      <c r="G1451" s="10">
        <v>159.0</v>
      </c>
    </row>
    <row r="1452">
      <c r="A1452" s="7" t="s">
        <v>1585</v>
      </c>
      <c r="B1452" s="7" t="s">
        <v>1489</v>
      </c>
      <c r="C1452" s="8">
        <v>899.0</v>
      </c>
      <c r="D1452" s="8">
        <v>1999.0</v>
      </c>
      <c r="E1452" s="19">
        <v>0.55</v>
      </c>
      <c r="F1452" s="10">
        <v>4.2</v>
      </c>
      <c r="G1452" s="10">
        <v>39.0</v>
      </c>
    </row>
    <row r="1453">
      <c r="A1453" s="7" t="s">
        <v>1586</v>
      </c>
      <c r="B1453" s="7" t="s">
        <v>1310</v>
      </c>
      <c r="C1453" s="8">
        <v>1499.0</v>
      </c>
      <c r="D1453" s="8">
        <v>2199.0</v>
      </c>
      <c r="E1453" s="19">
        <v>0.32</v>
      </c>
      <c r="F1453" s="10">
        <v>4.4</v>
      </c>
      <c r="G1453" s="11">
        <v>6531.0</v>
      </c>
    </row>
    <row r="1454">
      <c r="A1454" s="7" t="s">
        <v>1587</v>
      </c>
      <c r="B1454" s="7" t="s">
        <v>1109</v>
      </c>
      <c r="C1454" s="8">
        <v>426.0</v>
      </c>
      <c r="D1454" s="8">
        <v>999.0</v>
      </c>
      <c r="E1454" s="19">
        <v>0.57</v>
      </c>
      <c r="F1454" s="10">
        <v>4.1</v>
      </c>
      <c r="G1454" s="10">
        <v>222.0</v>
      </c>
    </row>
    <row r="1455">
      <c r="A1455" s="7" t="s">
        <v>1588</v>
      </c>
      <c r="B1455" s="7" t="s">
        <v>1091</v>
      </c>
      <c r="C1455" s="8">
        <v>2320.0</v>
      </c>
      <c r="D1455" s="8">
        <v>3290.0</v>
      </c>
      <c r="E1455" s="19">
        <v>0.29</v>
      </c>
      <c r="F1455" s="10">
        <v>3.8</v>
      </c>
      <c r="G1455" s="10">
        <v>195.0</v>
      </c>
    </row>
    <row r="1456">
      <c r="A1456" s="7" t="s">
        <v>1589</v>
      </c>
      <c r="B1456" s="7" t="s">
        <v>1299</v>
      </c>
      <c r="C1456" s="8">
        <v>1563.0</v>
      </c>
      <c r="D1456" s="8">
        <v>3098.0</v>
      </c>
      <c r="E1456" s="19">
        <v>0.5</v>
      </c>
      <c r="F1456" s="10">
        <v>3.5</v>
      </c>
      <c r="G1456" s="11">
        <v>2283.0</v>
      </c>
    </row>
    <row r="1457">
      <c r="A1457" s="7" t="s">
        <v>1590</v>
      </c>
      <c r="B1457" s="7" t="s">
        <v>1089</v>
      </c>
      <c r="C1457" s="8">
        <v>3487.77</v>
      </c>
      <c r="D1457" s="8">
        <v>4990.0</v>
      </c>
      <c r="E1457" s="19">
        <v>0.3</v>
      </c>
      <c r="F1457" s="10">
        <v>4.1</v>
      </c>
      <c r="G1457" s="11">
        <v>1127.0</v>
      </c>
    </row>
    <row r="1458">
      <c r="A1458" s="7" t="s">
        <v>1591</v>
      </c>
      <c r="B1458" s="7" t="s">
        <v>1173</v>
      </c>
      <c r="C1458" s="8">
        <v>498.0</v>
      </c>
      <c r="D1458" s="8">
        <v>1200.0</v>
      </c>
      <c r="E1458" s="19">
        <v>0.59</v>
      </c>
      <c r="F1458" s="10">
        <v>3.2</v>
      </c>
      <c r="G1458" s="10">
        <v>113.0</v>
      </c>
    </row>
    <row r="1459">
      <c r="A1459" s="7" t="s">
        <v>1592</v>
      </c>
      <c r="B1459" s="7" t="s">
        <v>1086</v>
      </c>
      <c r="C1459" s="8">
        <v>2695.0</v>
      </c>
      <c r="D1459" s="8">
        <v>2695.0</v>
      </c>
      <c r="E1459" s="19">
        <v>0.0</v>
      </c>
      <c r="F1459" s="10">
        <v>4.4</v>
      </c>
      <c r="G1459" s="11">
        <v>2518.0</v>
      </c>
    </row>
    <row r="1460">
      <c r="A1460" s="7" t="s">
        <v>1593</v>
      </c>
      <c r="B1460" s="7" t="s">
        <v>1089</v>
      </c>
      <c r="C1460" s="8">
        <v>949.0</v>
      </c>
      <c r="D1460" s="8">
        <v>2299.0</v>
      </c>
      <c r="E1460" s="19">
        <v>0.59</v>
      </c>
      <c r="F1460" s="10">
        <v>3.6</v>
      </c>
      <c r="G1460" s="10">
        <v>550.0</v>
      </c>
    </row>
    <row r="1461">
      <c r="A1461" s="7" t="s">
        <v>1594</v>
      </c>
      <c r="B1461" s="7" t="s">
        <v>1093</v>
      </c>
      <c r="C1461" s="8">
        <v>199.0</v>
      </c>
      <c r="D1461" s="8">
        <v>999.0</v>
      </c>
      <c r="E1461" s="19">
        <v>0.8</v>
      </c>
      <c r="F1461" s="10">
        <v>3.1</v>
      </c>
      <c r="G1461" s="10">
        <v>2.0</v>
      </c>
    </row>
    <row r="1462">
      <c r="A1462" s="7" t="s">
        <v>1595</v>
      </c>
      <c r="B1462" s="7" t="s">
        <v>1228</v>
      </c>
      <c r="C1462" s="8">
        <v>379.0</v>
      </c>
      <c r="D1462" s="8">
        <v>919.0</v>
      </c>
      <c r="E1462" s="19">
        <v>0.59</v>
      </c>
      <c r="F1462" s="10">
        <v>4.0</v>
      </c>
      <c r="G1462" s="11">
        <v>1090.0</v>
      </c>
    </row>
    <row r="1463">
      <c r="A1463" s="7" t="s">
        <v>1596</v>
      </c>
      <c r="B1463" s="7" t="s">
        <v>1236</v>
      </c>
      <c r="C1463" s="8">
        <v>2280.0</v>
      </c>
      <c r="D1463" s="8">
        <v>3045.0</v>
      </c>
      <c r="E1463" s="19">
        <v>0.25</v>
      </c>
      <c r="F1463" s="10">
        <v>4.1</v>
      </c>
      <c r="G1463" s="11">
        <v>4118.0</v>
      </c>
    </row>
    <row r="1464">
      <c r="A1464" s="7" t="s">
        <v>1597</v>
      </c>
      <c r="B1464" s="7" t="s">
        <v>1209</v>
      </c>
      <c r="C1464" s="8">
        <v>2219.0</v>
      </c>
      <c r="D1464" s="8">
        <v>3080.0</v>
      </c>
      <c r="E1464" s="19">
        <v>0.28</v>
      </c>
      <c r="F1464" s="10">
        <v>3.6</v>
      </c>
      <c r="G1464" s="10">
        <v>468.0</v>
      </c>
    </row>
    <row r="1465">
      <c r="A1465" s="7" t="s">
        <v>1598</v>
      </c>
      <c r="B1465" s="7" t="s">
        <v>1222</v>
      </c>
      <c r="C1465" s="8">
        <v>1399.0</v>
      </c>
      <c r="D1465" s="8">
        <v>1890.0</v>
      </c>
      <c r="E1465" s="19">
        <v>0.26</v>
      </c>
      <c r="F1465" s="10">
        <v>4.0</v>
      </c>
      <c r="G1465" s="11">
        <v>8031.0</v>
      </c>
    </row>
    <row r="1466">
      <c r="A1466" s="7" t="s">
        <v>1599</v>
      </c>
      <c r="B1466" s="7" t="s">
        <v>1159</v>
      </c>
      <c r="C1466" s="8">
        <v>2863.0</v>
      </c>
      <c r="D1466" s="8">
        <v>3690.0</v>
      </c>
      <c r="E1466" s="19">
        <v>0.22</v>
      </c>
      <c r="F1466" s="10">
        <v>4.3</v>
      </c>
      <c r="G1466" s="11">
        <v>6987.0</v>
      </c>
    </row>
  </sheetData>
  <mergeCells count="1">
    <mergeCell ref="I2:J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5</v>
      </c>
      <c r="B1" s="5" t="s">
        <v>6</v>
      </c>
      <c r="C1" s="5" t="s">
        <v>7</v>
      </c>
      <c r="D1" s="5" t="s">
        <v>8</v>
      </c>
      <c r="E1" s="5" t="s">
        <v>9</v>
      </c>
      <c r="F1" s="5" t="s">
        <v>10</v>
      </c>
      <c r="G1" s="5" t="s">
        <v>11</v>
      </c>
      <c r="I1" s="6" t="s">
        <v>12</v>
      </c>
      <c r="K1" s="16" t="s">
        <v>13</v>
      </c>
    </row>
    <row r="2">
      <c r="A2" s="7" t="s">
        <v>14</v>
      </c>
      <c r="B2" s="7" t="s">
        <v>15</v>
      </c>
      <c r="C2" s="8">
        <v>399.0</v>
      </c>
      <c r="D2" s="8">
        <v>1099.0</v>
      </c>
      <c r="E2" s="19">
        <v>0.64</v>
      </c>
      <c r="F2" s="10">
        <v>4.2</v>
      </c>
      <c r="G2" s="11">
        <v>24269.0</v>
      </c>
      <c r="I2" s="12" t="s">
        <v>1614</v>
      </c>
      <c r="K2" s="17"/>
    </row>
    <row r="3">
      <c r="A3" s="7" t="s">
        <v>17</v>
      </c>
      <c r="B3" s="7" t="s">
        <v>15</v>
      </c>
      <c r="C3" s="8">
        <v>199.0</v>
      </c>
      <c r="D3" s="8">
        <v>349.0</v>
      </c>
      <c r="E3" s="19">
        <v>0.43</v>
      </c>
      <c r="F3" s="10">
        <v>4.0</v>
      </c>
      <c r="G3" s="11">
        <v>43994.0</v>
      </c>
      <c r="K3" s="17"/>
    </row>
    <row r="4">
      <c r="A4" s="7" t="s">
        <v>18</v>
      </c>
      <c r="B4" s="7" t="s">
        <v>15</v>
      </c>
      <c r="C4" s="8">
        <v>199.0</v>
      </c>
      <c r="D4" s="8">
        <v>1899.0</v>
      </c>
      <c r="E4" s="19">
        <v>0.9</v>
      </c>
      <c r="F4" s="10">
        <v>3.9</v>
      </c>
      <c r="G4" s="11">
        <v>7928.0</v>
      </c>
      <c r="K4" s="17"/>
    </row>
    <row r="5">
      <c r="A5" s="7" t="s">
        <v>19</v>
      </c>
      <c r="B5" s="7" t="s">
        <v>15</v>
      </c>
      <c r="C5" s="8">
        <v>329.0</v>
      </c>
      <c r="D5" s="8">
        <v>699.0</v>
      </c>
      <c r="E5" s="19">
        <v>0.53</v>
      </c>
      <c r="F5" s="10">
        <v>4.2</v>
      </c>
      <c r="G5" s="11">
        <v>94363.0</v>
      </c>
      <c r="K5" s="17"/>
    </row>
    <row r="6">
      <c r="A6" s="7" t="s">
        <v>20</v>
      </c>
      <c r="B6" s="7" t="s">
        <v>15</v>
      </c>
      <c r="C6" s="8">
        <v>154.0</v>
      </c>
      <c r="D6" s="8">
        <v>399.0</v>
      </c>
      <c r="E6" s="19">
        <v>0.61</v>
      </c>
      <c r="F6" s="10">
        <v>4.2</v>
      </c>
      <c r="G6" s="11">
        <v>16905.0</v>
      </c>
      <c r="K6" s="17"/>
    </row>
    <row r="7">
      <c r="A7" s="7" t="s">
        <v>21</v>
      </c>
      <c r="B7" s="7" t="s">
        <v>15</v>
      </c>
      <c r="C7" s="8">
        <v>149.0</v>
      </c>
      <c r="D7" s="8">
        <v>1000.0</v>
      </c>
      <c r="E7" s="19">
        <v>0.85</v>
      </c>
      <c r="F7" s="10">
        <v>3.9</v>
      </c>
      <c r="G7" s="11">
        <v>24871.0</v>
      </c>
      <c r="K7" s="17"/>
    </row>
    <row r="8">
      <c r="A8" s="7" t="s">
        <v>22</v>
      </c>
      <c r="B8" s="7" t="s">
        <v>15</v>
      </c>
      <c r="C8" s="8">
        <v>176.63</v>
      </c>
      <c r="D8" s="8">
        <v>499.0</v>
      </c>
      <c r="E8" s="19">
        <v>0.65</v>
      </c>
      <c r="F8" s="10">
        <v>4.1</v>
      </c>
      <c r="G8" s="11">
        <v>15188.0</v>
      </c>
      <c r="K8" s="17"/>
    </row>
    <row r="9">
      <c r="A9" s="7" t="s">
        <v>23</v>
      </c>
      <c r="B9" s="7" t="s">
        <v>15</v>
      </c>
      <c r="C9" s="8">
        <v>229.0</v>
      </c>
      <c r="D9" s="8">
        <v>299.0</v>
      </c>
      <c r="E9" s="19">
        <v>0.23</v>
      </c>
      <c r="F9" s="10">
        <v>4.3</v>
      </c>
      <c r="G9" s="11">
        <v>30411.0</v>
      </c>
      <c r="K9" s="17"/>
    </row>
    <row r="10">
      <c r="A10" s="7" t="s">
        <v>24</v>
      </c>
      <c r="B10" s="7" t="s">
        <v>25</v>
      </c>
      <c r="C10" s="8">
        <v>499.0</v>
      </c>
      <c r="D10" s="8">
        <v>999.0</v>
      </c>
      <c r="E10" s="19">
        <v>0.5</v>
      </c>
      <c r="F10" s="10">
        <v>4.2</v>
      </c>
      <c r="G10" s="7" t="s">
        <v>26</v>
      </c>
      <c r="K10" s="17"/>
    </row>
    <row r="11">
      <c r="A11" s="7" t="s">
        <v>27</v>
      </c>
      <c r="B11" s="7" t="s">
        <v>15</v>
      </c>
      <c r="C11" s="8">
        <v>199.0</v>
      </c>
      <c r="D11" s="8">
        <v>299.0</v>
      </c>
      <c r="E11" s="19">
        <v>0.33</v>
      </c>
      <c r="F11" s="10">
        <v>4.0</v>
      </c>
      <c r="G11" s="11">
        <v>43994.0</v>
      </c>
      <c r="K11" s="17"/>
    </row>
    <row r="12">
      <c r="A12" s="7" t="s">
        <v>28</v>
      </c>
      <c r="B12" s="7" t="s">
        <v>15</v>
      </c>
      <c r="C12" s="8">
        <v>154.0</v>
      </c>
      <c r="D12" s="8">
        <v>339.0</v>
      </c>
      <c r="E12" s="19">
        <v>0.55</v>
      </c>
      <c r="F12" s="10">
        <v>4.3</v>
      </c>
      <c r="G12" s="11">
        <v>13391.0</v>
      </c>
      <c r="K12" s="17"/>
    </row>
    <row r="13">
      <c r="A13" s="7" t="s">
        <v>29</v>
      </c>
      <c r="B13" s="7" t="s">
        <v>15</v>
      </c>
      <c r="C13" s="8">
        <v>299.0</v>
      </c>
      <c r="D13" s="8">
        <v>799.0</v>
      </c>
      <c r="E13" s="19">
        <v>0.63</v>
      </c>
      <c r="F13" s="10">
        <v>4.2</v>
      </c>
      <c r="G13" s="11">
        <v>94363.0</v>
      </c>
      <c r="K13" s="17"/>
    </row>
    <row r="14">
      <c r="A14" s="7" t="s">
        <v>30</v>
      </c>
      <c r="B14" s="7" t="s">
        <v>31</v>
      </c>
      <c r="C14" s="8">
        <v>219.0</v>
      </c>
      <c r="D14" s="8">
        <v>700.0</v>
      </c>
      <c r="E14" s="19">
        <v>0.69</v>
      </c>
      <c r="F14" s="10">
        <v>4.4</v>
      </c>
      <c r="G14" s="7" t="s">
        <v>32</v>
      </c>
      <c r="K14" s="17"/>
    </row>
    <row r="15">
      <c r="A15" s="7" t="s">
        <v>33</v>
      </c>
      <c r="B15" s="7" t="s">
        <v>15</v>
      </c>
      <c r="C15" s="8">
        <v>350.0</v>
      </c>
      <c r="D15" s="8">
        <v>899.0</v>
      </c>
      <c r="E15" s="19">
        <v>0.61</v>
      </c>
      <c r="F15" s="10">
        <v>4.2</v>
      </c>
      <c r="G15" s="11">
        <v>2262.0</v>
      </c>
      <c r="K15" s="17"/>
    </row>
    <row r="16">
      <c r="A16" s="7" t="s">
        <v>34</v>
      </c>
      <c r="B16" s="7" t="s">
        <v>15</v>
      </c>
      <c r="C16" s="8">
        <v>159.0</v>
      </c>
      <c r="D16" s="8">
        <v>399.0</v>
      </c>
      <c r="E16" s="19">
        <v>0.6</v>
      </c>
      <c r="F16" s="10">
        <v>4.1</v>
      </c>
      <c r="G16" s="11">
        <v>4768.0</v>
      </c>
      <c r="K16" s="17"/>
    </row>
    <row r="17">
      <c r="A17" s="7" t="s">
        <v>35</v>
      </c>
      <c r="B17" s="7" t="s">
        <v>15</v>
      </c>
      <c r="C17" s="8">
        <v>349.0</v>
      </c>
      <c r="D17" s="8">
        <v>399.0</v>
      </c>
      <c r="E17" s="19">
        <v>0.13</v>
      </c>
      <c r="F17" s="10">
        <v>4.4</v>
      </c>
      <c r="G17" s="11">
        <v>18757.0</v>
      </c>
      <c r="K17" s="17"/>
    </row>
    <row r="18">
      <c r="A18" s="7" t="s">
        <v>36</v>
      </c>
      <c r="B18" s="7" t="s">
        <v>37</v>
      </c>
      <c r="C18" s="8">
        <v>13999.0</v>
      </c>
      <c r="D18" s="8">
        <v>24999.0</v>
      </c>
      <c r="E18" s="19">
        <v>0.44</v>
      </c>
      <c r="F18" s="10">
        <v>4.2</v>
      </c>
      <c r="G18" s="11">
        <v>32840.0</v>
      </c>
      <c r="K18" s="17"/>
    </row>
    <row r="19">
      <c r="A19" s="7" t="s">
        <v>38</v>
      </c>
      <c r="B19" s="7" t="s">
        <v>15</v>
      </c>
      <c r="C19" s="8">
        <v>249.0</v>
      </c>
      <c r="D19" s="8">
        <v>399.0</v>
      </c>
      <c r="E19" s="19">
        <v>0.38</v>
      </c>
      <c r="F19" s="10">
        <v>4.0</v>
      </c>
      <c r="G19" s="11">
        <v>43994.0</v>
      </c>
      <c r="K19" s="17"/>
    </row>
    <row r="20">
      <c r="A20" s="7" t="s">
        <v>39</v>
      </c>
      <c r="B20" s="7" t="s">
        <v>15</v>
      </c>
      <c r="C20" s="8">
        <v>199.0</v>
      </c>
      <c r="D20" s="8">
        <v>499.0</v>
      </c>
      <c r="E20" s="19">
        <v>0.6</v>
      </c>
      <c r="F20" s="10">
        <v>4.1</v>
      </c>
      <c r="G20" s="11">
        <v>13045.0</v>
      </c>
      <c r="K20" s="17"/>
    </row>
    <row r="21">
      <c r="A21" s="7" t="s">
        <v>40</v>
      </c>
      <c r="B21" s="7" t="s">
        <v>37</v>
      </c>
      <c r="C21" s="8">
        <v>13490.0</v>
      </c>
      <c r="D21" s="8">
        <v>21990.0</v>
      </c>
      <c r="E21" s="19">
        <v>0.39</v>
      </c>
      <c r="F21" s="10">
        <v>4.3</v>
      </c>
      <c r="G21" s="11">
        <v>11976.0</v>
      </c>
      <c r="K21" s="17"/>
    </row>
    <row r="22">
      <c r="A22" s="7" t="s">
        <v>41</v>
      </c>
      <c r="B22" s="7" t="s">
        <v>15</v>
      </c>
      <c r="C22" s="8">
        <v>970.0</v>
      </c>
      <c r="D22" s="8">
        <v>1799.0</v>
      </c>
      <c r="E22" s="19">
        <v>0.46</v>
      </c>
      <c r="F22" s="10">
        <v>4.5</v>
      </c>
      <c r="G22" s="10">
        <v>815.0</v>
      </c>
      <c r="K22" s="17"/>
    </row>
    <row r="23">
      <c r="A23" s="7" t="s">
        <v>42</v>
      </c>
      <c r="B23" s="7" t="s">
        <v>31</v>
      </c>
      <c r="C23" s="8">
        <v>279.0</v>
      </c>
      <c r="D23" s="8">
        <v>499.0</v>
      </c>
      <c r="E23" s="19">
        <v>0.44</v>
      </c>
      <c r="F23" s="10">
        <v>3.7</v>
      </c>
      <c r="G23" s="11">
        <v>10962.0</v>
      </c>
      <c r="K23" s="17"/>
    </row>
    <row r="24">
      <c r="A24" s="7" t="s">
        <v>43</v>
      </c>
      <c r="B24" s="7" t="s">
        <v>37</v>
      </c>
      <c r="C24" s="8">
        <v>13490.0</v>
      </c>
      <c r="D24" s="8">
        <v>22900.0</v>
      </c>
      <c r="E24" s="19">
        <v>0.41</v>
      </c>
      <c r="F24" s="10">
        <v>4.3</v>
      </c>
      <c r="G24" s="11">
        <v>16299.0</v>
      </c>
      <c r="K24" s="17"/>
    </row>
    <row r="25">
      <c r="A25" s="7" t="s">
        <v>44</v>
      </c>
      <c r="B25" s="7" t="s">
        <v>15</v>
      </c>
      <c r="C25" s="8">
        <v>59.0</v>
      </c>
      <c r="D25" s="8">
        <v>199.0</v>
      </c>
      <c r="E25" s="19">
        <v>0.7</v>
      </c>
      <c r="F25" s="10">
        <v>4.0</v>
      </c>
      <c r="G25" s="11">
        <v>9378.0</v>
      </c>
      <c r="K25" s="17"/>
    </row>
    <row r="26">
      <c r="A26" s="7" t="s">
        <v>45</v>
      </c>
      <c r="B26" s="7" t="s">
        <v>37</v>
      </c>
      <c r="C26" s="8">
        <v>11499.0</v>
      </c>
      <c r="D26" s="8">
        <v>19990.0</v>
      </c>
      <c r="E26" s="19">
        <v>0.42</v>
      </c>
      <c r="F26" s="10">
        <v>4.3</v>
      </c>
      <c r="G26" s="11">
        <v>4703.0</v>
      </c>
      <c r="K26" s="17"/>
    </row>
    <row r="27">
      <c r="A27" s="7" t="s">
        <v>46</v>
      </c>
      <c r="B27" s="7" t="s">
        <v>31</v>
      </c>
      <c r="C27" s="8">
        <v>199.0</v>
      </c>
      <c r="D27" s="8">
        <v>699.0</v>
      </c>
      <c r="E27" s="19">
        <v>0.72</v>
      </c>
      <c r="F27" s="10">
        <v>4.2</v>
      </c>
      <c r="G27" s="11">
        <v>12153.0</v>
      </c>
      <c r="K27" s="17"/>
    </row>
    <row r="28">
      <c r="A28" s="7" t="s">
        <v>47</v>
      </c>
      <c r="B28" s="7" t="s">
        <v>37</v>
      </c>
      <c r="C28" s="8">
        <v>14999.0</v>
      </c>
      <c r="D28" s="8">
        <v>19999.0</v>
      </c>
      <c r="E28" s="19">
        <v>0.25</v>
      </c>
      <c r="F28" s="10">
        <v>4.2</v>
      </c>
      <c r="G28" s="11">
        <v>34899.0</v>
      </c>
      <c r="K28" s="17"/>
    </row>
    <row r="29">
      <c r="A29" s="7" t="s">
        <v>48</v>
      </c>
      <c r="B29" s="7" t="s">
        <v>15</v>
      </c>
      <c r="C29" s="8">
        <v>299.0</v>
      </c>
      <c r="D29" s="8">
        <v>399.0</v>
      </c>
      <c r="E29" s="19">
        <v>0.25</v>
      </c>
      <c r="F29" s="10">
        <v>4.0</v>
      </c>
      <c r="G29" s="11">
        <v>2766.0</v>
      </c>
      <c r="K29" s="17"/>
    </row>
    <row r="30">
      <c r="A30" s="7" t="s">
        <v>49</v>
      </c>
      <c r="B30" s="7" t="s">
        <v>15</v>
      </c>
      <c r="C30" s="8">
        <v>970.0</v>
      </c>
      <c r="D30" s="8">
        <v>1999.0</v>
      </c>
      <c r="E30" s="19">
        <v>0.51</v>
      </c>
      <c r="F30" s="10">
        <v>4.4</v>
      </c>
      <c r="G30" s="10">
        <v>184.0</v>
      </c>
      <c r="K30" s="17"/>
    </row>
    <row r="31">
      <c r="A31" s="7" t="s">
        <v>50</v>
      </c>
      <c r="B31" s="7" t="s">
        <v>15</v>
      </c>
      <c r="C31" s="8">
        <v>299.0</v>
      </c>
      <c r="D31" s="8">
        <v>999.0</v>
      </c>
      <c r="E31" s="19">
        <v>0.7</v>
      </c>
      <c r="F31" s="10">
        <v>4.3</v>
      </c>
      <c r="G31" s="11">
        <v>20850.0</v>
      </c>
      <c r="K31" s="17"/>
    </row>
    <row r="32">
      <c r="A32" s="7" t="s">
        <v>51</v>
      </c>
      <c r="B32" s="7" t="s">
        <v>15</v>
      </c>
      <c r="C32" s="8">
        <v>199.0</v>
      </c>
      <c r="D32" s="8">
        <v>750.0</v>
      </c>
      <c r="E32" s="19">
        <v>0.73</v>
      </c>
      <c r="F32" s="10">
        <v>4.5</v>
      </c>
      <c r="G32" s="11">
        <v>74976.0</v>
      </c>
      <c r="K32" s="17"/>
    </row>
    <row r="33">
      <c r="A33" s="7" t="s">
        <v>52</v>
      </c>
      <c r="B33" s="7" t="s">
        <v>15</v>
      </c>
      <c r="C33" s="8">
        <v>179.0</v>
      </c>
      <c r="D33" s="8">
        <v>499.0</v>
      </c>
      <c r="E33" s="19">
        <v>0.64</v>
      </c>
      <c r="F33" s="10">
        <v>4.0</v>
      </c>
      <c r="G33" s="11">
        <v>1934.0</v>
      </c>
      <c r="K33" s="17"/>
    </row>
    <row r="34">
      <c r="A34" s="7" t="s">
        <v>53</v>
      </c>
      <c r="B34" s="7" t="s">
        <v>15</v>
      </c>
      <c r="C34" s="8">
        <v>389.0</v>
      </c>
      <c r="D34" s="8">
        <v>1099.0</v>
      </c>
      <c r="E34" s="19">
        <v>0.65</v>
      </c>
      <c r="F34" s="10">
        <v>4.3</v>
      </c>
      <c r="G34" s="10">
        <v>974.0</v>
      </c>
      <c r="K34" s="17"/>
    </row>
    <row r="35">
      <c r="A35" s="7" t="s">
        <v>54</v>
      </c>
      <c r="B35" s="7" t="s">
        <v>15</v>
      </c>
      <c r="C35" s="8">
        <v>599.0</v>
      </c>
      <c r="D35" s="8">
        <v>599.0</v>
      </c>
      <c r="E35" s="19">
        <v>0.0</v>
      </c>
      <c r="F35" s="10">
        <v>4.3</v>
      </c>
      <c r="G35" s="10">
        <v>355.0</v>
      </c>
      <c r="K35" s="17"/>
    </row>
    <row r="36">
      <c r="A36" s="7" t="s">
        <v>55</v>
      </c>
      <c r="B36" s="7" t="s">
        <v>15</v>
      </c>
      <c r="C36" s="8">
        <v>199.0</v>
      </c>
      <c r="D36" s="8">
        <v>999.0</v>
      </c>
      <c r="E36" s="19">
        <v>0.8</v>
      </c>
      <c r="F36" s="10">
        <v>3.9</v>
      </c>
      <c r="G36" s="11">
        <v>1075.0</v>
      </c>
      <c r="K36" s="17"/>
    </row>
    <row r="37">
      <c r="A37" s="7" t="s">
        <v>56</v>
      </c>
      <c r="B37" s="7" t="s">
        <v>15</v>
      </c>
      <c r="C37" s="8">
        <v>99.0</v>
      </c>
      <c r="D37" s="8">
        <v>666.66</v>
      </c>
      <c r="E37" s="19">
        <v>0.85</v>
      </c>
      <c r="F37" s="10">
        <v>3.9</v>
      </c>
      <c r="G37" s="11">
        <v>24871.0</v>
      </c>
      <c r="K37" s="17"/>
    </row>
    <row r="38">
      <c r="A38" s="7" t="s">
        <v>57</v>
      </c>
      <c r="B38" s="7" t="s">
        <v>15</v>
      </c>
      <c r="C38" s="8">
        <v>899.0</v>
      </c>
      <c r="D38" s="8">
        <v>1900.0</v>
      </c>
      <c r="E38" s="19">
        <v>0.53</v>
      </c>
      <c r="F38" s="10">
        <v>4.4</v>
      </c>
      <c r="G38" s="11">
        <v>13552.0</v>
      </c>
      <c r="K38" s="17"/>
    </row>
    <row r="39">
      <c r="A39" s="7" t="s">
        <v>58</v>
      </c>
      <c r="B39" s="7" t="s">
        <v>15</v>
      </c>
      <c r="C39" s="8">
        <v>199.0</v>
      </c>
      <c r="D39" s="8">
        <v>999.0</v>
      </c>
      <c r="E39" s="19">
        <v>0.8</v>
      </c>
      <c r="F39" s="10">
        <v>4.0</v>
      </c>
      <c r="G39" s="10">
        <v>576.0</v>
      </c>
      <c r="K39" s="17"/>
    </row>
    <row r="40">
      <c r="A40" s="7" t="s">
        <v>59</v>
      </c>
      <c r="B40" s="7" t="s">
        <v>37</v>
      </c>
      <c r="C40" s="8">
        <v>32999.0</v>
      </c>
      <c r="D40" s="8">
        <v>45999.0</v>
      </c>
      <c r="E40" s="19">
        <v>0.28</v>
      </c>
      <c r="F40" s="10">
        <v>4.2</v>
      </c>
      <c r="G40" s="11">
        <v>7298.0</v>
      </c>
      <c r="K40" s="17"/>
    </row>
    <row r="41">
      <c r="A41" s="7" t="s">
        <v>60</v>
      </c>
      <c r="B41" s="7" t="s">
        <v>15</v>
      </c>
      <c r="C41" s="8">
        <v>970.0</v>
      </c>
      <c r="D41" s="8">
        <v>1999.0</v>
      </c>
      <c r="E41" s="19">
        <v>0.51</v>
      </c>
      <c r="F41" s="10">
        <v>4.2</v>
      </c>
      <c r="G41" s="10">
        <v>462.0</v>
      </c>
      <c r="K41" s="17"/>
    </row>
    <row r="42">
      <c r="A42" s="7" t="s">
        <v>61</v>
      </c>
      <c r="B42" s="7" t="s">
        <v>15</v>
      </c>
      <c r="C42" s="8">
        <v>209.0</v>
      </c>
      <c r="D42" s="8">
        <v>695.0</v>
      </c>
      <c r="E42" s="19">
        <v>0.7</v>
      </c>
      <c r="F42" s="10">
        <v>4.5</v>
      </c>
      <c r="G42" s="7" t="s">
        <v>62</v>
      </c>
      <c r="K42" s="17"/>
    </row>
    <row r="43">
      <c r="A43" s="7" t="s">
        <v>63</v>
      </c>
      <c r="B43" s="7" t="s">
        <v>37</v>
      </c>
      <c r="C43" s="8">
        <v>19999.0</v>
      </c>
      <c r="D43" s="8">
        <v>34999.0</v>
      </c>
      <c r="E43" s="19">
        <v>0.43</v>
      </c>
      <c r="F43" s="10">
        <v>4.3</v>
      </c>
      <c r="G43" s="11">
        <v>27151.0</v>
      </c>
      <c r="K43" s="17"/>
    </row>
    <row r="44">
      <c r="A44" s="7" t="s">
        <v>64</v>
      </c>
      <c r="B44" s="7" t="s">
        <v>15</v>
      </c>
      <c r="C44" s="8">
        <v>399.0</v>
      </c>
      <c r="D44" s="8">
        <v>1099.0</v>
      </c>
      <c r="E44" s="19">
        <v>0.64</v>
      </c>
      <c r="F44" s="10">
        <v>4.2</v>
      </c>
      <c r="G44" s="11">
        <v>24269.0</v>
      </c>
      <c r="K44" s="17"/>
    </row>
    <row r="45">
      <c r="A45" s="7" t="s">
        <v>65</v>
      </c>
      <c r="B45" s="7" t="s">
        <v>25</v>
      </c>
      <c r="C45" s="8">
        <v>999.0</v>
      </c>
      <c r="D45" s="8">
        <v>1599.0</v>
      </c>
      <c r="E45" s="19">
        <v>0.38</v>
      </c>
      <c r="F45" s="10">
        <v>4.3</v>
      </c>
      <c r="G45" s="11">
        <v>12093.0</v>
      </c>
      <c r="K45" s="17"/>
    </row>
    <row r="46">
      <c r="A46" s="7" t="s">
        <v>66</v>
      </c>
      <c r="B46" s="7" t="s">
        <v>15</v>
      </c>
      <c r="C46" s="8">
        <v>59.0</v>
      </c>
      <c r="D46" s="8">
        <v>199.0</v>
      </c>
      <c r="E46" s="19">
        <v>0.7</v>
      </c>
      <c r="F46" s="10">
        <v>4.0</v>
      </c>
      <c r="G46" s="11">
        <v>9378.0</v>
      </c>
      <c r="K46" s="17"/>
    </row>
    <row r="47">
      <c r="A47" s="7" t="s">
        <v>67</v>
      </c>
      <c r="B47" s="7" t="s">
        <v>15</v>
      </c>
      <c r="C47" s="8">
        <v>333.0</v>
      </c>
      <c r="D47" s="8">
        <v>999.0</v>
      </c>
      <c r="E47" s="19">
        <v>0.67</v>
      </c>
      <c r="F47" s="10">
        <v>3.3</v>
      </c>
      <c r="G47" s="11">
        <v>9792.0</v>
      </c>
      <c r="K47" s="17"/>
    </row>
    <row r="48">
      <c r="A48" s="7" t="s">
        <v>68</v>
      </c>
      <c r="B48" s="7" t="s">
        <v>25</v>
      </c>
      <c r="C48" s="8">
        <v>507.0</v>
      </c>
      <c r="D48" s="8">
        <v>1208.0</v>
      </c>
      <c r="E48" s="19">
        <v>0.58</v>
      </c>
      <c r="F48" s="10">
        <v>4.1</v>
      </c>
      <c r="G48" s="11">
        <v>8131.0</v>
      </c>
      <c r="K48" s="17"/>
    </row>
    <row r="49">
      <c r="A49" s="7" t="s">
        <v>69</v>
      </c>
      <c r="B49" s="7" t="s">
        <v>31</v>
      </c>
      <c r="C49" s="8">
        <v>309.0</v>
      </c>
      <c r="D49" s="8">
        <v>475.0</v>
      </c>
      <c r="E49" s="19">
        <v>0.35</v>
      </c>
      <c r="F49" s="10">
        <v>4.4</v>
      </c>
      <c r="G49" s="7" t="s">
        <v>32</v>
      </c>
      <c r="K49" s="17"/>
    </row>
    <row r="50">
      <c r="A50" s="7" t="s">
        <v>70</v>
      </c>
      <c r="B50" s="7" t="s">
        <v>71</v>
      </c>
      <c r="C50" s="8">
        <v>399.0</v>
      </c>
      <c r="D50" s="8">
        <v>999.0</v>
      </c>
      <c r="E50" s="19">
        <v>0.6</v>
      </c>
      <c r="F50" s="10">
        <v>3.6</v>
      </c>
      <c r="G50" s="10">
        <v>493.0</v>
      </c>
      <c r="K50" s="17"/>
    </row>
    <row r="51">
      <c r="A51" s="7" t="s">
        <v>72</v>
      </c>
      <c r="B51" s="7" t="s">
        <v>15</v>
      </c>
      <c r="C51" s="8">
        <v>199.0</v>
      </c>
      <c r="D51" s="8">
        <v>395.0</v>
      </c>
      <c r="E51" s="19">
        <v>0.5</v>
      </c>
      <c r="F51" s="10">
        <v>4.2</v>
      </c>
      <c r="G51" s="11">
        <v>92595.0</v>
      </c>
      <c r="K51" s="17"/>
    </row>
    <row r="52">
      <c r="A52" s="7" t="s">
        <v>73</v>
      </c>
      <c r="B52" s="7" t="s">
        <v>25</v>
      </c>
      <c r="C52" s="8">
        <v>1199.0</v>
      </c>
      <c r="D52" s="8">
        <v>2199.0</v>
      </c>
      <c r="E52" s="19">
        <v>0.45</v>
      </c>
      <c r="F52" s="10">
        <v>4.4</v>
      </c>
      <c r="G52" s="11">
        <v>24780.0</v>
      </c>
      <c r="K52" s="17"/>
    </row>
    <row r="53">
      <c r="A53" s="7" t="s">
        <v>74</v>
      </c>
      <c r="B53" s="7" t="s">
        <v>15</v>
      </c>
      <c r="C53" s="8">
        <v>179.0</v>
      </c>
      <c r="D53" s="8">
        <v>500.0</v>
      </c>
      <c r="E53" s="19">
        <v>0.64</v>
      </c>
      <c r="F53" s="10">
        <v>4.2</v>
      </c>
      <c r="G53" s="11">
        <v>92595.0</v>
      </c>
      <c r="K53" s="17"/>
    </row>
    <row r="54">
      <c r="A54" s="7" t="s">
        <v>75</v>
      </c>
      <c r="B54" s="7" t="s">
        <v>15</v>
      </c>
      <c r="C54" s="8">
        <v>799.0</v>
      </c>
      <c r="D54" s="8">
        <v>2100.0</v>
      </c>
      <c r="E54" s="19">
        <v>0.62</v>
      </c>
      <c r="F54" s="10">
        <v>4.3</v>
      </c>
      <c r="G54" s="11">
        <v>8188.0</v>
      </c>
      <c r="K54" s="17"/>
    </row>
    <row r="55">
      <c r="A55" s="7" t="s">
        <v>76</v>
      </c>
      <c r="B55" s="7" t="s">
        <v>77</v>
      </c>
      <c r="C55" s="8">
        <v>6999.0</v>
      </c>
      <c r="D55" s="8">
        <v>12999.0</v>
      </c>
      <c r="E55" s="19">
        <v>0.46</v>
      </c>
      <c r="F55" s="10">
        <v>4.2</v>
      </c>
      <c r="G55" s="11">
        <v>4003.0</v>
      </c>
      <c r="K55" s="17"/>
    </row>
    <row r="56">
      <c r="A56" s="7" t="s">
        <v>78</v>
      </c>
      <c r="B56" s="7" t="s">
        <v>15</v>
      </c>
      <c r="C56" s="8">
        <v>199.0</v>
      </c>
      <c r="D56" s="8">
        <v>349.0</v>
      </c>
      <c r="E56" s="19">
        <v>0.43</v>
      </c>
      <c r="F56" s="10">
        <v>4.1</v>
      </c>
      <c r="G56" s="10">
        <v>314.0</v>
      </c>
      <c r="K56" s="17"/>
    </row>
    <row r="57">
      <c r="A57" s="7" t="s">
        <v>79</v>
      </c>
      <c r="B57" s="7" t="s">
        <v>71</v>
      </c>
      <c r="C57" s="8">
        <v>230.0</v>
      </c>
      <c r="D57" s="8">
        <v>499.0</v>
      </c>
      <c r="E57" s="19">
        <v>0.54</v>
      </c>
      <c r="F57" s="10">
        <v>3.7</v>
      </c>
      <c r="G57" s="11">
        <v>2960.0</v>
      </c>
      <c r="K57" s="17"/>
    </row>
    <row r="58">
      <c r="A58" s="7" t="s">
        <v>80</v>
      </c>
      <c r="B58" s="7" t="s">
        <v>25</v>
      </c>
      <c r="C58" s="8">
        <v>649.0</v>
      </c>
      <c r="D58" s="8">
        <v>1399.0</v>
      </c>
      <c r="E58" s="19">
        <v>0.54</v>
      </c>
      <c r="F58" s="10">
        <v>4.2</v>
      </c>
      <c r="G58" s="7" t="s">
        <v>26</v>
      </c>
      <c r="K58" s="17"/>
    </row>
    <row r="59">
      <c r="A59" s="7" t="s">
        <v>81</v>
      </c>
      <c r="B59" s="7" t="s">
        <v>37</v>
      </c>
      <c r="C59" s="8">
        <v>15999.0</v>
      </c>
      <c r="D59" s="8">
        <v>21999.0</v>
      </c>
      <c r="E59" s="19">
        <v>0.27</v>
      </c>
      <c r="F59" s="10">
        <v>4.2</v>
      </c>
      <c r="G59" s="11">
        <v>34899.0</v>
      </c>
      <c r="K59" s="17"/>
    </row>
    <row r="60">
      <c r="A60" s="7" t="s">
        <v>82</v>
      </c>
      <c r="B60" s="7" t="s">
        <v>15</v>
      </c>
      <c r="C60" s="8">
        <v>348.0</v>
      </c>
      <c r="D60" s="8">
        <v>1499.0</v>
      </c>
      <c r="E60" s="19">
        <v>0.77</v>
      </c>
      <c r="F60" s="10">
        <v>4.2</v>
      </c>
      <c r="G60" s="10">
        <v>656.0</v>
      </c>
      <c r="K60" s="17"/>
    </row>
    <row r="61">
      <c r="A61" s="7" t="s">
        <v>83</v>
      </c>
      <c r="B61" s="7" t="s">
        <v>15</v>
      </c>
      <c r="C61" s="8">
        <v>154.0</v>
      </c>
      <c r="D61" s="8">
        <v>349.0</v>
      </c>
      <c r="E61" s="19">
        <v>0.56</v>
      </c>
      <c r="F61" s="10">
        <v>4.3</v>
      </c>
      <c r="G61" s="11">
        <v>7064.0</v>
      </c>
      <c r="K61" s="17"/>
    </row>
    <row r="62">
      <c r="A62" s="7" t="s">
        <v>84</v>
      </c>
      <c r="B62" s="7" t="s">
        <v>71</v>
      </c>
      <c r="C62" s="8">
        <v>179.0</v>
      </c>
      <c r="D62" s="8">
        <v>799.0</v>
      </c>
      <c r="E62" s="19">
        <v>0.78</v>
      </c>
      <c r="F62" s="10">
        <v>3.7</v>
      </c>
      <c r="G62" s="11">
        <v>2201.0</v>
      </c>
      <c r="K62" s="17"/>
    </row>
    <row r="63">
      <c r="A63" s="7" t="s">
        <v>85</v>
      </c>
      <c r="B63" s="7" t="s">
        <v>37</v>
      </c>
      <c r="C63" s="8">
        <v>32990.0</v>
      </c>
      <c r="D63" s="8">
        <v>47900.0</v>
      </c>
      <c r="E63" s="19">
        <v>0.31</v>
      </c>
      <c r="F63" s="10">
        <v>4.3</v>
      </c>
      <c r="G63" s="11">
        <v>7109.0</v>
      </c>
      <c r="K63" s="17"/>
    </row>
    <row r="64">
      <c r="A64" s="7" t="s">
        <v>86</v>
      </c>
      <c r="B64" s="7" t="s">
        <v>15</v>
      </c>
      <c r="C64" s="8">
        <v>139.0</v>
      </c>
      <c r="D64" s="8">
        <v>999.0</v>
      </c>
      <c r="E64" s="19">
        <v>0.86</v>
      </c>
      <c r="F64" s="10">
        <v>4.0</v>
      </c>
      <c r="G64" s="11">
        <v>1313.0</v>
      </c>
      <c r="K64" s="17"/>
    </row>
    <row r="65">
      <c r="A65" s="7" t="s">
        <v>87</v>
      </c>
      <c r="B65" s="7" t="s">
        <v>15</v>
      </c>
      <c r="C65" s="8">
        <v>329.0</v>
      </c>
      <c r="D65" s="8">
        <v>845.0</v>
      </c>
      <c r="E65" s="19">
        <v>0.61</v>
      </c>
      <c r="F65" s="10">
        <v>4.2</v>
      </c>
      <c r="G65" s="11">
        <v>29746.0</v>
      </c>
      <c r="K65" s="17"/>
    </row>
    <row r="66">
      <c r="A66" s="7" t="s">
        <v>88</v>
      </c>
      <c r="B66" s="7" t="s">
        <v>37</v>
      </c>
      <c r="C66" s="8">
        <v>13999.0</v>
      </c>
      <c r="D66" s="8">
        <v>24999.0</v>
      </c>
      <c r="E66" s="19">
        <v>0.44</v>
      </c>
      <c r="F66" s="10">
        <v>4.2</v>
      </c>
      <c r="G66" s="11">
        <v>45238.0</v>
      </c>
      <c r="K66" s="17"/>
    </row>
    <row r="67">
      <c r="A67" s="7" t="s">
        <v>89</v>
      </c>
      <c r="B67" s="7" t="s">
        <v>31</v>
      </c>
      <c r="C67" s="8">
        <v>309.0</v>
      </c>
      <c r="D67" s="8">
        <v>1400.0</v>
      </c>
      <c r="E67" s="19">
        <v>0.78</v>
      </c>
      <c r="F67" s="10">
        <v>4.4</v>
      </c>
      <c r="G67" s="7" t="s">
        <v>32</v>
      </c>
      <c r="K67" s="17"/>
    </row>
    <row r="68">
      <c r="A68" s="7" t="s">
        <v>90</v>
      </c>
      <c r="B68" s="7" t="s">
        <v>15</v>
      </c>
      <c r="C68" s="8">
        <v>263.0</v>
      </c>
      <c r="D68" s="8">
        <v>699.0</v>
      </c>
      <c r="E68" s="19">
        <v>0.62</v>
      </c>
      <c r="F68" s="10">
        <v>4.1</v>
      </c>
      <c r="G68" s="10">
        <v>450.0</v>
      </c>
      <c r="K68" s="17"/>
    </row>
    <row r="69">
      <c r="A69" s="7" t="s">
        <v>91</v>
      </c>
      <c r="B69" s="7" t="s">
        <v>77</v>
      </c>
      <c r="C69" s="8">
        <v>7999.0</v>
      </c>
      <c r="D69" s="8">
        <v>14990.0</v>
      </c>
      <c r="E69" s="19">
        <v>0.47</v>
      </c>
      <c r="F69" s="10">
        <v>4.3</v>
      </c>
      <c r="G69" s="10">
        <v>457.0</v>
      </c>
      <c r="K69" s="17"/>
    </row>
    <row r="70">
      <c r="A70" s="7" t="s">
        <v>92</v>
      </c>
      <c r="B70" s="7" t="s">
        <v>93</v>
      </c>
      <c r="C70" s="8">
        <v>1599.0</v>
      </c>
      <c r="D70" s="8">
        <v>2999.0</v>
      </c>
      <c r="E70" s="19">
        <v>0.47</v>
      </c>
      <c r="F70" s="10">
        <v>4.2</v>
      </c>
      <c r="G70" s="11">
        <v>2727.0</v>
      </c>
      <c r="K70" s="17"/>
    </row>
    <row r="71">
      <c r="A71" s="7" t="s">
        <v>94</v>
      </c>
      <c r="B71" s="7" t="s">
        <v>15</v>
      </c>
      <c r="C71" s="8">
        <v>219.0</v>
      </c>
      <c r="D71" s="8">
        <v>700.0</v>
      </c>
      <c r="E71" s="19">
        <v>0.69</v>
      </c>
      <c r="F71" s="10">
        <v>4.3</v>
      </c>
      <c r="G71" s="11">
        <v>20053.0</v>
      </c>
      <c r="K71" s="17"/>
    </row>
    <row r="72">
      <c r="A72" s="7" t="s">
        <v>95</v>
      </c>
      <c r="B72" s="7" t="s">
        <v>15</v>
      </c>
      <c r="C72" s="8">
        <v>349.0</v>
      </c>
      <c r="D72" s="8">
        <v>899.0</v>
      </c>
      <c r="E72" s="19">
        <v>0.61</v>
      </c>
      <c r="F72" s="10">
        <v>4.5</v>
      </c>
      <c r="G72" s="10">
        <v>149.0</v>
      </c>
      <c r="K72" s="17"/>
    </row>
    <row r="73">
      <c r="A73" s="7" t="s">
        <v>96</v>
      </c>
      <c r="B73" s="7" t="s">
        <v>15</v>
      </c>
      <c r="C73" s="8">
        <v>349.0</v>
      </c>
      <c r="D73" s="8">
        <v>599.0</v>
      </c>
      <c r="E73" s="19">
        <v>0.42</v>
      </c>
      <c r="F73" s="10">
        <v>4.1</v>
      </c>
      <c r="G73" s="10">
        <v>210.0</v>
      </c>
      <c r="K73" s="17"/>
    </row>
    <row r="74">
      <c r="A74" s="7" t="s">
        <v>97</v>
      </c>
      <c r="B74" s="7" t="s">
        <v>37</v>
      </c>
      <c r="C74" s="8">
        <v>26999.0</v>
      </c>
      <c r="D74" s="8">
        <v>42999.0</v>
      </c>
      <c r="E74" s="19">
        <v>0.37</v>
      </c>
      <c r="F74" s="10">
        <v>4.2</v>
      </c>
      <c r="G74" s="11">
        <v>45238.0</v>
      </c>
      <c r="K74" s="17"/>
    </row>
    <row r="75">
      <c r="A75" s="7" t="s">
        <v>98</v>
      </c>
      <c r="B75" s="7" t="s">
        <v>15</v>
      </c>
      <c r="C75" s="8">
        <v>115.0</v>
      </c>
      <c r="D75" s="8">
        <v>499.0</v>
      </c>
      <c r="E75" s="19">
        <v>0.77</v>
      </c>
      <c r="F75" s="10">
        <v>4.0</v>
      </c>
      <c r="G75" s="11">
        <v>7732.0</v>
      </c>
      <c r="K75" s="17"/>
    </row>
    <row r="76">
      <c r="A76" s="7" t="s">
        <v>99</v>
      </c>
      <c r="B76" s="7" t="s">
        <v>15</v>
      </c>
      <c r="C76" s="8">
        <v>399.0</v>
      </c>
      <c r="D76" s="8">
        <v>999.0</v>
      </c>
      <c r="E76" s="19">
        <v>0.6</v>
      </c>
      <c r="F76" s="10">
        <v>4.1</v>
      </c>
      <c r="G76" s="11">
        <v>1780.0</v>
      </c>
      <c r="K76" s="17"/>
    </row>
    <row r="77">
      <c r="A77" s="7" t="s">
        <v>100</v>
      </c>
      <c r="B77" s="7" t="s">
        <v>15</v>
      </c>
      <c r="C77" s="8">
        <v>199.0</v>
      </c>
      <c r="D77" s="8">
        <v>499.0</v>
      </c>
      <c r="E77" s="19">
        <v>0.6</v>
      </c>
      <c r="F77" s="10">
        <v>4.1</v>
      </c>
      <c r="G77" s="10">
        <v>602.0</v>
      </c>
      <c r="K77" s="17"/>
    </row>
    <row r="78">
      <c r="A78" s="7" t="s">
        <v>101</v>
      </c>
      <c r="B78" s="7" t="s">
        <v>15</v>
      </c>
      <c r="C78" s="8">
        <v>179.0</v>
      </c>
      <c r="D78" s="8">
        <v>399.0</v>
      </c>
      <c r="E78" s="19">
        <v>0.55</v>
      </c>
      <c r="F78" s="10">
        <v>4.0</v>
      </c>
      <c r="G78" s="11">
        <v>1423.0</v>
      </c>
      <c r="K78" s="17"/>
    </row>
    <row r="79">
      <c r="A79" s="7" t="s">
        <v>102</v>
      </c>
      <c r="B79" s="7" t="s">
        <v>37</v>
      </c>
      <c r="C79" s="8">
        <v>10901.0</v>
      </c>
      <c r="D79" s="8">
        <v>30990.0</v>
      </c>
      <c r="E79" s="19">
        <v>0.65</v>
      </c>
      <c r="F79" s="10">
        <v>4.1</v>
      </c>
      <c r="G79" s="10">
        <v>398.0</v>
      </c>
      <c r="K79" s="17"/>
    </row>
    <row r="80">
      <c r="A80" s="7" t="s">
        <v>103</v>
      </c>
      <c r="B80" s="7" t="s">
        <v>15</v>
      </c>
      <c r="C80" s="8">
        <v>209.0</v>
      </c>
      <c r="D80" s="8">
        <v>499.0</v>
      </c>
      <c r="E80" s="19">
        <v>0.58</v>
      </c>
      <c r="F80" s="10">
        <v>3.9</v>
      </c>
      <c r="G80" s="10">
        <v>536.0</v>
      </c>
      <c r="K80" s="17"/>
    </row>
    <row r="81">
      <c r="A81" s="7" t="s">
        <v>104</v>
      </c>
      <c r="B81" s="7" t="s">
        <v>71</v>
      </c>
      <c r="C81" s="8">
        <v>1434.0</v>
      </c>
      <c r="D81" s="8">
        <v>3999.0</v>
      </c>
      <c r="E81" s="19">
        <v>0.64</v>
      </c>
      <c r="F81" s="10">
        <v>4.0</v>
      </c>
      <c r="G81" s="10">
        <v>32.0</v>
      </c>
      <c r="K81" s="17"/>
    </row>
    <row r="82">
      <c r="A82" s="7" t="s">
        <v>105</v>
      </c>
      <c r="B82" s="7" t="s">
        <v>15</v>
      </c>
      <c r="C82" s="8">
        <v>399.0</v>
      </c>
      <c r="D82" s="8">
        <v>1099.0</v>
      </c>
      <c r="E82" s="19">
        <v>0.64</v>
      </c>
      <c r="F82" s="10">
        <v>4.2</v>
      </c>
      <c r="G82" s="11">
        <v>24269.0</v>
      </c>
      <c r="K82" s="17"/>
    </row>
    <row r="83">
      <c r="A83" s="7" t="s">
        <v>106</v>
      </c>
      <c r="B83" s="7" t="s">
        <v>15</v>
      </c>
      <c r="C83" s="8">
        <v>139.0</v>
      </c>
      <c r="D83" s="8">
        <v>249.0</v>
      </c>
      <c r="E83" s="19">
        <v>0.44</v>
      </c>
      <c r="F83" s="10">
        <v>4.0</v>
      </c>
      <c r="G83" s="11">
        <v>9378.0</v>
      </c>
      <c r="K83" s="17"/>
    </row>
    <row r="84">
      <c r="A84" s="7" t="s">
        <v>107</v>
      </c>
      <c r="B84" s="7" t="s">
        <v>37</v>
      </c>
      <c r="C84" s="8">
        <v>7299.0</v>
      </c>
      <c r="D84" s="8">
        <v>19125.0</v>
      </c>
      <c r="E84" s="19">
        <v>0.62</v>
      </c>
      <c r="F84" s="10">
        <v>3.4</v>
      </c>
      <c r="G84" s="10">
        <v>902.0</v>
      </c>
      <c r="K84" s="17"/>
    </row>
    <row r="85">
      <c r="A85" s="7" t="s">
        <v>108</v>
      </c>
      <c r="B85" s="7" t="s">
        <v>15</v>
      </c>
      <c r="C85" s="8">
        <v>299.0</v>
      </c>
      <c r="D85" s="8">
        <v>799.0</v>
      </c>
      <c r="E85" s="19">
        <v>0.63</v>
      </c>
      <c r="F85" s="10">
        <v>4.4</v>
      </c>
      <c r="G85" s="11">
        <v>28791.0</v>
      </c>
      <c r="K85" s="17"/>
    </row>
    <row r="86">
      <c r="A86" s="7" t="s">
        <v>109</v>
      </c>
      <c r="B86" s="7" t="s">
        <v>15</v>
      </c>
      <c r="C86" s="8">
        <v>325.0</v>
      </c>
      <c r="D86" s="8">
        <v>1299.0</v>
      </c>
      <c r="E86" s="19">
        <v>0.75</v>
      </c>
      <c r="F86" s="10">
        <v>4.2</v>
      </c>
      <c r="G86" s="11">
        <v>10576.0</v>
      </c>
      <c r="K86" s="17"/>
    </row>
    <row r="87">
      <c r="A87" s="7" t="s">
        <v>110</v>
      </c>
      <c r="B87" s="7" t="s">
        <v>37</v>
      </c>
      <c r="C87" s="8">
        <v>29999.0</v>
      </c>
      <c r="D87" s="8">
        <v>39999.0</v>
      </c>
      <c r="E87" s="19">
        <v>0.25</v>
      </c>
      <c r="F87" s="10">
        <v>4.2</v>
      </c>
      <c r="G87" s="11">
        <v>7298.0</v>
      </c>
      <c r="K87" s="17"/>
    </row>
    <row r="88">
      <c r="A88" s="7" t="s">
        <v>111</v>
      </c>
      <c r="B88" s="7" t="s">
        <v>37</v>
      </c>
      <c r="C88" s="8">
        <v>27999.0</v>
      </c>
      <c r="D88" s="8">
        <v>40990.0</v>
      </c>
      <c r="E88" s="19">
        <v>0.32</v>
      </c>
      <c r="F88" s="10">
        <v>4.3</v>
      </c>
      <c r="G88" s="11">
        <v>4703.0</v>
      </c>
      <c r="K88" s="17"/>
    </row>
    <row r="89">
      <c r="A89" s="7" t="s">
        <v>112</v>
      </c>
      <c r="B89" s="7" t="s">
        <v>37</v>
      </c>
      <c r="C89" s="8">
        <v>30990.0</v>
      </c>
      <c r="D89" s="8">
        <v>52900.0</v>
      </c>
      <c r="E89" s="19">
        <v>0.41</v>
      </c>
      <c r="F89" s="10">
        <v>4.3</v>
      </c>
      <c r="G89" s="11">
        <v>7109.0</v>
      </c>
      <c r="K89" s="17"/>
    </row>
    <row r="90">
      <c r="A90" s="7" t="s">
        <v>113</v>
      </c>
      <c r="B90" s="7" t="s">
        <v>15</v>
      </c>
      <c r="C90" s="8">
        <v>199.0</v>
      </c>
      <c r="D90" s="8">
        <v>999.0</v>
      </c>
      <c r="E90" s="19">
        <v>0.8</v>
      </c>
      <c r="F90" s="10">
        <v>4.5</v>
      </c>
      <c r="G90" s="10">
        <v>127.0</v>
      </c>
      <c r="K90" s="17"/>
    </row>
    <row r="91">
      <c r="A91" s="7" t="s">
        <v>114</v>
      </c>
      <c r="B91" s="7" t="s">
        <v>15</v>
      </c>
      <c r="C91" s="8">
        <v>649.0</v>
      </c>
      <c r="D91" s="8">
        <v>1999.0</v>
      </c>
      <c r="E91" s="19">
        <v>0.68</v>
      </c>
      <c r="F91" s="10">
        <v>4.2</v>
      </c>
      <c r="G91" s="11">
        <v>24269.0</v>
      </c>
      <c r="K91" s="17"/>
    </row>
    <row r="92">
      <c r="A92" s="7" t="s">
        <v>115</v>
      </c>
      <c r="B92" s="7" t="s">
        <v>25</v>
      </c>
      <c r="C92" s="8">
        <v>269.0</v>
      </c>
      <c r="D92" s="8">
        <v>800.0</v>
      </c>
      <c r="E92" s="19">
        <v>0.66</v>
      </c>
      <c r="F92" s="10">
        <v>3.6</v>
      </c>
      <c r="G92" s="11">
        <v>10134.0</v>
      </c>
      <c r="K92" s="17"/>
    </row>
    <row r="93">
      <c r="A93" s="7" t="s">
        <v>116</v>
      </c>
      <c r="B93" s="7" t="s">
        <v>37</v>
      </c>
      <c r="C93" s="8">
        <v>24999.0</v>
      </c>
      <c r="D93" s="8">
        <v>31999.0</v>
      </c>
      <c r="E93" s="19">
        <v>0.22</v>
      </c>
      <c r="F93" s="10">
        <v>4.2</v>
      </c>
      <c r="G93" s="11">
        <v>34899.0</v>
      </c>
      <c r="K93" s="17"/>
    </row>
    <row r="94">
      <c r="A94" s="7" t="s">
        <v>117</v>
      </c>
      <c r="B94" s="7" t="s">
        <v>15</v>
      </c>
      <c r="C94" s="8">
        <v>299.0</v>
      </c>
      <c r="D94" s="8">
        <v>699.0</v>
      </c>
      <c r="E94" s="19">
        <v>0.57</v>
      </c>
      <c r="F94" s="10">
        <v>4.2</v>
      </c>
      <c r="G94" s="11">
        <v>94363.0</v>
      </c>
      <c r="K94" s="17"/>
    </row>
    <row r="95">
      <c r="A95" s="7" t="s">
        <v>118</v>
      </c>
      <c r="B95" s="7" t="s">
        <v>15</v>
      </c>
      <c r="C95" s="8">
        <v>199.0</v>
      </c>
      <c r="D95" s="8">
        <v>999.0</v>
      </c>
      <c r="E95" s="19">
        <v>0.8</v>
      </c>
      <c r="F95" s="10">
        <v>4.1</v>
      </c>
      <c r="G95" s="10">
        <v>425.0</v>
      </c>
      <c r="K95" s="17"/>
    </row>
    <row r="96">
      <c r="A96" s="7" t="s">
        <v>119</v>
      </c>
      <c r="B96" s="7" t="s">
        <v>37</v>
      </c>
      <c r="C96" s="8">
        <v>18990.0</v>
      </c>
      <c r="D96" s="8">
        <v>40990.0</v>
      </c>
      <c r="E96" s="19">
        <v>0.54</v>
      </c>
      <c r="F96" s="10">
        <v>4.2</v>
      </c>
      <c r="G96" s="11">
        <v>6659.0</v>
      </c>
      <c r="K96" s="17"/>
    </row>
    <row r="97">
      <c r="A97" s="7" t="s">
        <v>120</v>
      </c>
      <c r="B97" s="7" t="s">
        <v>25</v>
      </c>
      <c r="C97" s="8">
        <v>290.0</v>
      </c>
      <c r="D97" s="8">
        <v>349.0</v>
      </c>
      <c r="E97" s="19">
        <v>0.17</v>
      </c>
      <c r="F97" s="10">
        <v>3.7</v>
      </c>
      <c r="G97" s="11">
        <v>1977.0</v>
      </c>
      <c r="K97" s="17"/>
    </row>
    <row r="98">
      <c r="A98" s="7" t="s">
        <v>121</v>
      </c>
      <c r="B98" s="7" t="s">
        <v>71</v>
      </c>
      <c r="C98" s="8">
        <v>249.0</v>
      </c>
      <c r="D98" s="8">
        <v>799.0</v>
      </c>
      <c r="E98" s="19">
        <v>0.69</v>
      </c>
      <c r="F98" s="10">
        <v>3.8</v>
      </c>
      <c r="G98" s="11">
        <v>1079.0</v>
      </c>
      <c r="K98" s="17"/>
    </row>
    <row r="99">
      <c r="A99" s="7" t="s">
        <v>122</v>
      </c>
      <c r="B99" s="7" t="s">
        <v>15</v>
      </c>
      <c r="C99" s="8">
        <v>345.0</v>
      </c>
      <c r="D99" s="8">
        <v>999.0</v>
      </c>
      <c r="E99" s="19">
        <v>0.65</v>
      </c>
      <c r="F99" s="10">
        <v>3.7</v>
      </c>
      <c r="G99" s="11">
        <v>1097.0</v>
      </c>
      <c r="K99" s="17"/>
    </row>
    <row r="100">
      <c r="A100" s="7" t="s">
        <v>123</v>
      </c>
      <c r="B100" s="7" t="s">
        <v>25</v>
      </c>
      <c r="C100" s="8">
        <v>1099.0</v>
      </c>
      <c r="D100" s="8">
        <v>1899.0</v>
      </c>
      <c r="E100" s="19">
        <v>0.42</v>
      </c>
      <c r="F100" s="10">
        <v>4.5</v>
      </c>
      <c r="G100" s="11">
        <v>22420.0</v>
      </c>
      <c r="K100" s="17"/>
    </row>
    <row r="101">
      <c r="A101" s="7" t="s">
        <v>124</v>
      </c>
      <c r="B101" s="7" t="s">
        <v>15</v>
      </c>
      <c r="C101" s="8">
        <v>719.0</v>
      </c>
      <c r="D101" s="8">
        <v>1499.0</v>
      </c>
      <c r="E101" s="19">
        <v>0.52</v>
      </c>
      <c r="F101" s="10">
        <v>4.1</v>
      </c>
      <c r="G101" s="11">
        <v>1045.0</v>
      </c>
      <c r="K101" s="17"/>
    </row>
    <row r="102">
      <c r="A102" s="7" t="s">
        <v>125</v>
      </c>
      <c r="B102" s="7" t="s">
        <v>71</v>
      </c>
      <c r="C102" s="8">
        <v>349.0</v>
      </c>
      <c r="D102" s="8">
        <v>1499.0</v>
      </c>
      <c r="E102" s="19">
        <v>0.77</v>
      </c>
      <c r="F102" s="10">
        <v>4.3</v>
      </c>
      <c r="G102" s="11">
        <v>4145.0</v>
      </c>
      <c r="K102" s="17"/>
    </row>
    <row r="103">
      <c r="A103" s="7" t="s">
        <v>126</v>
      </c>
      <c r="B103" s="7" t="s">
        <v>15</v>
      </c>
      <c r="C103" s="8">
        <v>849.0</v>
      </c>
      <c r="D103" s="8">
        <v>1809.0</v>
      </c>
      <c r="E103" s="19">
        <v>0.53</v>
      </c>
      <c r="F103" s="10">
        <v>4.3</v>
      </c>
      <c r="G103" s="11">
        <v>6547.0</v>
      </c>
      <c r="K103" s="17"/>
    </row>
    <row r="104">
      <c r="A104" s="7" t="s">
        <v>127</v>
      </c>
      <c r="B104" s="7" t="s">
        <v>71</v>
      </c>
      <c r="C104" s="8">
        <v>299.0</v>
      </c>
      <c r="D104" s="8">
        <v>899.0</v>
      </c>
      <c r="E104" s="19">
        <v>0.67</v>
      </c>
      <c r="F104" s="10">
        <v>4.0</v>
      </c>
      <c r="G104" s="11">
        <v>1588.0</v>
      </c>
      <c r="K104" s="17"/>
    </row>
    <row r="105">
      <c r="A105" s="7" t="s">
        <v>128</v>
      </c>
      <c r="B105" s="7" t="s">
        <v>37</v>
      </c>
      <c r="C105" s="8">
        <v>21999.0</v>
      </c>
      <c r="D105" s="8">
        <v>29999.0</v>
      </c>
      <c r="E105" s="19">
        <v>0.27</v>
      </c>
      <c r="F105" s="10">
        <v>4.2</v>
      </c>
      <c r="G105" s="11">
        <v>32840.0</v>
      </c>
      <c r="K105" s="17"/>
    </row>
    <row r="106">
      <c r="A106" s="7" t="s">
        <v>129</v>
      </c>
      <c r="B106" s="7" t="s">
        <v>15</v>
      </c>
      <c r="C106" s="8">
        <v>349.0</v>
      </c>
      <c r="D106" s="8">
        <v>999.0</v>
      </c>
      <c r="E106" s="19">
        <v>0.65</v>
      </c>
      <c r="F106" s="10">
        <v>4.2</v>
      </c>
      <c r="G106" s="11">
        <v>13120.0</v>
      </c>
      <c r="K106" s="17"/>
    </row>
    <row r="107">
      <c r="A107" s="7" t="s">
        <v>130</v>
      </c>
      <c r="B107" s="7" t="s">
        <v>15</v>
      </c>
      <c r="C107" s="8">
        <v>399.0</v>
      </c>
      <c r="D107" s="8">
        <v>999.0</v>
      </c>
      <c r="E107" s="19">
        <v>0.6</v>
      </c>
      <c r="F107" s="10">
        <v>4.3</v>
      </c>
      <c r="G107" s="11">
        <v>2806.0</v>
      </c>
      <c r="K107" s="17"/>
    </row>
    <row r="108">
      <c r="A108" s="7" t="s">
        <v>131</v>
      </c>
      <c r="B108" s="7" t="s">
        <v>15</v>
      </c>
      <c r="C108" s="8">
        <v>449.0</v>
      </c>
      <c r="D108" s="8">
        <v>1299.0</v>
      </c>
      <c r="E108" s="19">
        <v>0.65</v>
      </c>
      <c r="F108" s="10">
        <v>4.2</v>
      </c>
      <c r="G108" s="11">
        <v>24269.0</v>
      </c>
      <c r="K108" s="17"/>
    </row>
    <row r="109">
      <c r="A109" s="7" t="s">
        <v>132</v>
      </c>
      <c r="B109" s="7" t="s">
        <v>15</v>
      </c>
      <c r="C109" s="8">
        <v>299.0</v>
      </c>
      <c r="D109" s="8">
        <v>999.0</v>
      </c>
      <c r="E109" s="19">
        <v>0.7</v>
      </c>
      <c r="F109" s="10">
        <v>4.3</v>
      </c>
      <c r="G109" s="10">
        <v>766.0</v>
      </c>
      <c r="K109" s="17"/>
    </row>
    <row r="110">
      <c r="A110" s="7" t="s">
        <v>133</v>
      </c>
      <c r="B110" s="7" t="s">
        <v>37</v>
      </c>
      <c r="C110" s="8">
        <v>37999.0</v>
      </c>
      <c r="D110" s="8">
        <v>65000.0</v>
      </c>
      <c r="E110" s="19">
        <v>0.42</v>
      </c>
      <c r="F110" s="10">
        <v>4.3</v>
      </c>
      <c r="G110" s="11">
        <v>3587.0</v>
      </c>
      <c r="K110" s="17"/>
    </row>
    <row r="111">
      <c r="A111" s="7" t="s">
        <v>134</v>
      </c>
      <c r="B111" s="7" t="s">
        <v>15</v>
      </c>
      <c r="C111" s="8">
        <v>99.0</v>
      </c>
      <c r="D111" s="8">
        <v>800.0</v>
      </c>
      <c r="E111" s="19">
        <v>0.88</v>
      </c>
      <c r="F111" s="10">
        <v>3.9</v>
      </c>
      <c r="G111" s="11">
        <v>24871.0</v>
      </c>
      <c r="K111" s="17"/>
    </row>
    <row r="112">
      <c r="A112" s="7" t="s">
        <v>135</v>
      </c>
      <c r="B112" s="7" t="s">
        <v>77</v>
      </c>
      <c r="C112" s="8">
        <v>7390.0</v>
      </c>
      <c r="D112" s="8">
        <v>20000.0</v>
      </c>
      <c r="E112" s="19">
        <v>0.63</v>
      </c>
      <c r="F112" s="10">
        <v>4.1</v>
      </c>
      <c r="G112" s="11">
        <v>2581.0</v>
      </c>
      <c r="K112" s="17"/>
    </row>
    <row r="113">
      <c r="A113" s="7" t="s">
        <v>136</v>
      </c>
      <c r="B113" s="7" t="s">
        <v>15</v>
      </c>
      <c r="C113" s="8">
        <v>273.1</v>
      </c>
      <c r="D113" s="8">
        <v>999.0</v>
      </c>
      <c r="E113" s="19">
        <v>0.73</v>
      </c>
      <c r="F113" s="10">
        <v>4.3</v>
      </c>
      <c r="G113" s="11">
        <v>20850.0</v>
      </c>
      <c r="K113" s="17"/>
    </row>
    <row r="114">
      <c r="A114" s="7" t="s">
        <v>137</v>
      </c>
      <c r="B114" s="7" t="s">
        <v>37</v>
      </c>
      <c r="C114" s="8">
        <v>15990.0</v>
      </c>
      <c r="D114" s="8">
        <v>23990.0</v>
      </c>
      <c r="E114" s="19">
        <v>0.33</v>
      </c>
      <c r="F114" s="10">
        <v>4.3</v>
      </c>
      <c r="G114" s="11">
        <v>1035.0</v>
      </c>
      <c r="K114" s="17"/>
    </row>
    <row r="115">
      <c r="A115" s="7" t="s">
        <v>138</v>
      </c>
      <c r="B115" s="7" t="s">
        <v>15</v>
      </c>
      <c r="C115" s="8">
        <v>399.0</v>
      </c>
      <c r="D115" s="8">
        <v>999.0</v>
      </c>
      <c r="E115" s="19">
        <v>0.6</v>
      </c>
      <c r="F115" s="10">
        <v>4.1</v>
      </c>
      <c r="G115" s="11">
        <v>1780.0</v>
      </c>
      <c r="K115" s="17"/>
    </row>
    <row r="116">
      <c r="A116" s="7" t="s">
        <v>139</v>
      </c>
      <c r="B116" s="7" t="s">
        <v>71</v>
      </c>
      <c r="C116" s="8">
        <v>399.0</v>
      </c>
      <c r="D116" s="8">
        <v>1999.0</v>
      </c>
      <c r="E116" s="19">
        <v>0.8</v>
      </c>
      <c r="F116" s="10">
        <v>4.5</v>
      </c>
      <c r="G116" s="10">
        <v>505.0</v>
      </c>
      <c r="K116" s="17"/>
    </row>
    <row r="117">
      <c r="A117" s="7" t="s">
        <v>140</v>
      </c>
      <c r="B117" s="7" t="s">
        <v>15</v>
      </c>
      <c r="C117" s="8">
        <v>210.0</v>
      </c>
      <c r="D117" s="8">
        <v>399.0</v>
      </c>
      <c r="E117" s="19">
        <v>0.47</v>
      </c>
      <c r="F117" s="10">
        <v>4.1</v>
      </c>
      <c r="G117" s="11">
        <v>1717.0</v>
      </c>
      <c r="K117" s="17"/>
    </row>
    <row r="118">
      <c r="A118" s="7" t="s">
        <v>141</v>
      </c>
      <c r="B118" s="7" t="s">
        <v>71</v>
      </c>
      <c r="C118" s="8">
        <v>1299.0</v>
      </c>
      <c r="D118" s="8">
        <v>1999.0</v>
      </c>
      <c r="E118" s="19">
        <v>0.35</v>
      </c>
      <c r="F118" s="10">
        <v>3.6</v>
      </c>
      <c r="G118" s="10">
        <v>590.0</v>
      </c>
      <c r="K118" s="17"/>
    </row>
    <row r="119">
      <c r="A119" s="7" t="s">
        <v>142</v>
      </c>
      <c r="B119" s="7" t="s">
        <v>15</v>
      </c>
      <c r="C119" s="8">
        <v>347.0</v>
      </c>
      <c r="D119" s="8">
        <v>999.0</v>
      </c>
      <c r="E119" s="19">
        <v>0.65</v>
      </c>
      <c r="F119" s="10">
        <v>3.5</v>
      </c>
      <c r="G119" s="11">
        <v>1121.0</v>
      </c>
      <c r="K119" s="17"/>
    </row>
    <row r="120">
      <c r="A120" s="7" t="s">
        <v>143</v>
      </c>
      <c r="B120" s="7" t="s">
        <v>15</v>
      </c>
      <c r="C120" s="8">
        <v>149.0</v>
      </c>
      <c r="D120" s="8">
        <v>999.0</v>
      </c>
      <c r="E120" s="19">
        <v>0.85</v>
      </c>
      <c r="F120" s="10">
        <v>4.0</v>
      </c>
      <c r="G120" s="11">
        <v>1313.0</v>
      </c>
      <c r="K120" s="17"/>
    </row>
    <row r="121">
      <c r="A121" s="7" t="s">
        <v>144</v>
      </c>
      <c r="B121" s="7" t="s">
        <v>15</v>
      </c>
      <c r="C121" s="8">
        <v>228.0</v>
      </c>
      <c r="D121" s="8">
        <v>899.0</v>
      </c>
      <c r="E121" s="19">
        <v>0.75</v>
      </c>
      <c r="F121" s="10">
        <v>3.8</v>
      </c>
      <c r="G121" s="10">
        <v>132.0</v>
      </c>
      <c r="K121" s="17"/>
    </row>
    <row r="122">
      <c r="A122" s="7" t="s">
        <v>145</v>
      </c>
      <c r="B122" s="7" t="s">
        <v>15</v>
      </c>
      <c r="C122" s="8">
        <v>1599.0</v>
      </c>
      <c r="D122" s="8">
        <v>1999.0</v>
      </c>
      <c r="E122" s="19">
        <v>0.2</v>
      </c>
      <c r="F122" s="10">
        <v>4.4</v>
      </c>
      <c r="G122" s="11">
        <v>1951.0</v>
      </c>
      <c r="K122" s="17"/>
    </row>
    <row r="123">
      <c r="A123" s="7" t="s">
        <v>146</v>
      </c>
      <c r="B123" s="7" t="s">
        <v>71</v>
      </c>
      <c r="C123" s="8">
        <v>1499.0</v>
      </c>
      <c r="D123" s="8">
        <v>3999.0</v>
      </c>
      <c r="E123" s="19">
        <v>0.63</v>
      </c>
      <c r="F123" s="10">
        <v>3.7</v>
      </c>
      <c r="G123" s="10">
        <v>37.0</v>
      </c>
      <c r="K123" s="17"/>
    </row>
    <row r="124">
      <c r="A124" s="7" t="s">
        <v>147</v>
      </c>
      <c r="B124" s="7" t="s">
        <v>37</v>
      </c>
      <c r="C124" s="8">
        <v>8499.0</v>
      </c>
      <c r="D124" s="8">
        <v>15999.0</v>
      </c>
      <c r="E124" s="19">
        <v>0.47</v>
      </c>
      <c r="F124" s="10">
        <v>4.3</v>
      </c>
      <c r="G124" s="10">
        <v>592.0</v>
      </c>
      <c r="K124" s="17"/>
    </row>
    <row r="125">
      <c r="A125" s="7" t="s">
        <v>148</v>
      </c>
      <c r="B125" s="7" t="s">
        <v>37</v>
      </c>
      <c r="C125" s="8">
        <v>20990.0</v>
      </c>
      <c r="D125" s="8">
        <v>44990.0</v>
      </c>
      <c r="E125" s="19">
        <v>0.53</v>
      </c>
      <c r="F125" s="10">
        <v>4.1</v>
      </c>
      <c r="G125" s="11">
        <v>1259.0</v>
      </c>
      <c r="K125" s="17"/>
    </row>
    <row r="126">
      <c r="A126" s="7" t="s">
        <v>149</v>
      </c>
      <c r="B126" s="7" t="s">
        <v>37</v>
      </c>
      <c r="C126" s="8">
        <v>32999.0</v>
      </c>
      <c r="D126" s="8">
        <v>44999.0</v>
      </c>
      <c r="E126" s="19">
        <v>0.27</v>
      </c>
      <c r="F126" s="10">
        <v>4.2</v>
      </c>
      <c r="G126" s="11">
        <v>45238.0</v>
      </c>
      <c r="K126" s="17"/>
    </row>
    <row r="127">
      <c r="A127" s="7" t="s">
        <v>150</v>
      </c>
      <c r="B127" s="7" t="s">
        <v>31</v>
      </c>
      <c r="C127" s="8">
        <v>799.0</v>
      </c>
      <c r="D127" s="8">
        <v>1700.0</v>
      </c>
      <c r="E127" s="19">
        <v>0.53</v>
      </c>
      <c r="F127" s="10">
        <v>4.1</v>
      </c>
      <c r="G127" s="11">
        <v>28638.0</v>
      </c>
      <c r="K127" s="17"/>
    </row>
    <row r="128">
      <c r="A128" s="7" t="s">
        <v>151</v>
      </c>
      <c r="B128" s="7" t="s">
        <v>31</v>
      </c>
      <c r="C128" s="8">
        <v>229.0</v>
      </c>
      <c r="D128" s="8">
        <v>595.0</v>
      </c>
      <c r="E128" s="19">
        <v>0.62</v>
      </c>
      <c r="F128" s="10">
        <v>4.3</v>
      </c>
      <c r="G128" s="11">
        <v>12835.0</v>
      </c>
      <c r="K128" s="17"/>
    </row>
    <row r="129">
      <c r="A129" s="7" t="s">
        <v>152</v>
      </c>
      <c r="B129" s="7" t="s">
        <v>37</v>
      </c>
      <c r="C129" s="8">
        <v>9999.0</v>
      </c>
      <c r="D129" s="8">
        <v>27990.0</v>
      </c>
      <c r="E129" s="19">
        <v>0.64</v>
      </c>
      <c r="F129" s="10">
        <v>4.2</v>
      </c>
      <c r="G129" s="11">
        <v>1269.0</v>
      </c>
      <c r="K129" s="17"/>
    </row>
    <row r="130">
      <c r="A130" s="7" t="s">
        <v>153</v>
      </c>
      <c r="B130" s="7" t="s">
        <v>71</v>
      </c>
      <c r="C130" s="8">
        <v>349.0</v>
      </c>
      <c r="D130" s="8">
        <v>599.0</v>
      </c>
      <c r="E130" s="19">
        <v>0.42</v>
      </c>
      <c r="F130" s="10">
        <v>4.2</v>
      </c>
      <c r="G130" s="10">
        <v>284.0</v>
      </c>
      <c r="K130" s="17"/>
    </row>
    <row r="131">
      <c r="A131" s="7" t="s">
        <v>154</v>
      </c>
      <c r="B131" s="7" t="s">
        <v>155</v>
      </c>
      <c r="C131" s="8">
        <v>489.0</v>
      </c>
      <c r="D131" s="8">
        <v>1200.0</v>
      </c>
      <c r="E131" s="19">
        <v>0.59</v>
      </c>
      <c r="F131" s="10">
        <v>4.4</v>
      </c>
      <c r="G131" s="11">
        <v>69538.0</v>
      </c>
      <c r="K131" s="17"/>
    </row>
    <row r="132">
      <c r="A132" s="7" t="s">
        <v>156</v>
      </c>
      <c r="B132" s="7" t="s">
        <v>37</v>
      </c>
      <c r="C132" s="8">
        <v>23999.0</v>
      </c>
      <c r="D132" s="8">
        <v>34990.0</v>
      </c>
      <c r="E132" s="19">
        <v>0.31</v>
      </c>
      <c r="F132" s="10">
        <v>4.3</v>
      </c>
      <c r="G132" s="11">
        <v>4703.0</v>
      </c>
      <c r="K132" s="17"/>
    </row>
    <row r="133">
      <c r="A133" s="7" t="s">
        <v>157</v>
      </c>
      <c r="B133" s="7" t="s">
        <v>15</v>
      </c>
      <c r="C133" s="8">
        <v>399.0</v>
      </c>
      <c r="D133" s="8">
        <v>999.0</v>
      </c>
      <c r="E133" s="19">
        <v>0.6</v>
      </c>
      <c r="F133" s="10">
        <v>4.3</v>
      </c>
      <c r="G133" s="11">
        <v>2806.0</v>
      </c>
      <c r="K133" s="17"/>
    </row>
    <row r="134">
      <c r="A134" s="7" t="s">
        <v>158</v>
      </c>
      <c r="B134" s="7" t="s">
        <v>159</v>
      </c>
      <c r="C134" s="8">
        <v>349.0</v>
      </c>
      <c r="D134" s="8">
        <v>1299.0</v>
      </c>
      <c r="E134" s="19">
        <v>0.73</v>
      </c>
      <c r="F134" s="10">
        <v>4.0</v>
      </c>
      <c r="G134" s="11">
        <v>3295.0</v>
      </c>
      <c r="K134" s="17"/>
    </row>
    <row r="135">
      <c r="A135" s="7" t="s">
        <v>160</v>
      </c>
      <c r="B135" s="7" t="s">
        <v>15</v>
      </c>
      <c r="C135" s="8">
        <v>179.0</v>
      </c>
      <c r="D135" s="8">
        <v>299.0</v>
      </c>
      <c r="E135" s="19">
        <v>0.4</v>
      </c>
      <c r="F135" s="10">
        <v>3.9</v>
      </c>
      <c r="G135" s="10">
        <v>81.0</v>
      </c>
      <c r="K135" s="17"/>
    </row>
    <row r="136">
      <c r="A136" s="7" t="s">
        <v>161</v>
      </c>
      <c r="B136" s="7" t="s">
        <v>15</v>
      </c>
      <c r="C136" s="8">
        <v>689.0</v>
      </c>
      <c r="D136" s="8">
        <v>1500.0</v>
      </c>
      <c r="E136" s="19">
        <v>0.54</v>
      </c>
      <c r="F136" s="10">
        <v>4.2</v>
      </c>
      <c r="G136" s="11">
        <v>42301.0</v>
      </c>
      <c r="K136" s="17"/>
    </row>
    <row r="137">
      <c r="A137" s="7" t="s">
        <v>162</v>
      </c>
      <c r="B137" s="7" t="s">
        <v>37</v>
      </c>
      <c r="C137" s="8">
        <v>30990.0</v>
      </c>
      <c r="D137" s="8">
        <v>49990.0</v>
      </c>
      <c r="E137" s="19">
        <v>0.38</v>
      </c>
      <c r="F137" s="10">
        <v>4.3</v>
      </c>
      <c r="G137" s="11">
        <v>1376.0</v>
      </c>
      <c r="K137" s="17"/>
    </row>
    <row r="138">
      <c r="A138" s="7" t="s">
        <v>163</v>
      </c>
      <c r="B138" s="7" t="s">
        <v>15</v>
      </c>
      <c r="C138" s="8">
        <v>249.0</v>
      </c>
      <c r="D138" s="8">
        <v>931.0</v>
      </c>
      <c r="E138" s="19">
        <v>0.73</v>
      </c>
      <c r="F138" s="10">
        <v>3.9</v>
      </c>
      <c r="G138" s="11">
        <v>1075.0</v>
      </c>
      <c r="K138" s="17"/>
    </row>
    <row r="139">
      <c r="A139" s="7" t="s">
        <v>164</v>
      </c>
      <c r="B139" s="7" t="s">
        <v>31</v>
      </c>
      <c r="C139" s="8">
        <v>999.0</v>
      </c>
      <c r="D139" s="8">
        <v>2399.0</v>
      </c>
      <c r="E139" s="19">
        <v>0.58</v>
      </c>
      <c r="F139" s="10">
        <v>4.6</v>
      </c>
      <c r="G139" s="11">
        <v>3664.0</v>
      </c>
      <c r="K139" s="17"/>
    </row>
    <row r="140">
      <c r="A140" s="7" t="s">
        <v>165</v>
      </c>
      <c r="B140" s="7" t="s">
        <v>71</v>
      </c>
      <c r="C140" s="8">
        <v>399.0</v>
      </c>
      <c r="D140" s="8">
        <v>399.0</v>
      </c>
      <c r="E140" s="19">
        <v>0.0</v>
      </c>
      <c r="F140" s="10">
        <v>3.9</v>
      </c>
      <c r="G140" s="11">
        <v>1951.0</v>
      </c>
      <c r="K140" s="17"/>
    </row>
    <row r="141">
      <c r="A141" s="7" t="s">
        <v>166</v>
      </c>
      <c r="B141" s="7" t="s">
        <v>15</v>
      </c>
      <c r="C141" s="8">
        <v>349.0</v>
      </c>
      <c r="D141" s="8">
        <v>699.0</v>
      </c>
      <c r="E141" s="19">
        <v>0.5</v>
      </c>
      <c r="F141" s="10">
        <v>4.3</v>
      </c>
      <c r="G141" s="11">
        <v>20850.0</v>
      </c>
      <c r="K141" s="17"/>
    </row>
    <row r="142">
      <c r="A142" s="7" t="s">
        <v>167</v>
      </c>
      <c r="B142" s="7" t="s">
        <v>15</v>
      </c>
      <c r="C142" s="8">
        <v>399.0</v>
      </c>
      <c r="D142" s="8">
        <v>1099.0</v>
      </c>
      <c r="E142" s="19">
        <v>0.64</v>
      </c>
      <c r="F142" s="10">
        <v>4.1</v>
      </c>
      <c r="G142" s="11">
        <v>2685.0</v>
      </c>
      <c r="K142" s="17"/>
    </row>
    <row r="143">
      <c r="A143" s="7" t="s">
        <v>168</v>
      </c>
      <c r="B143" s="7" t="s">
        <v>25</v>
      </c>
      <c r="C143" s="8">
        <v>1699.0</v>
      </c>
      <c r="D143" s="8">
        <v>2999.0</v>
      </c>
      <c r="E143" s="19">
        <v>0.43</v>
      </c>
      <c r="F143" s="10">
        <v>4.4</v>
      </c>
      <c r="G143" s="11">
        <v>24780.0</v>
      </c>
      <c r="K143" s="17"/>
    </row>
    <row r="144">
      <c r="A144" s="7" t="s">
        <v>169</v>
      </c>
      <c r="B144" s="7" t="s">
        <v>71</v>
      </c>
      <c r="C144" s="8">
        <v>655.0</v>
      </c>
      <c r="D144" s="8">
        <v>1099.0</v>
      </c>
      <c r="E144" s="19">
        <v>0.4</v>
      </c>
      <c r="F144" s="10">
        <v>3.2</v>
      </c>
      <c r="G144" s="10">
        <v>285.0</v>
      </c>
      <c r="K144" s="17"/>
    </row>
    <row r="145">
      <c r="A145" s="7" t="s">
        <v>170</v>
      </c>
      <c r="B145" s="7" t="s">
        <v>25</v>
      </c>
      <c r="C145" s="8">
        <v>749.0</v>
      </c>
      <c r="D145" s="8">
        <v>1339.0</v>
      </c>
      <c r="E145" s="19">
        <v>0.44</v>
      </c>
      <c r="F145" s="10">
        <v>4.2</v>
      </c>
      <c r="G145" s="7" t="s">
        <v>171</v>
      </c>
      <c r="K145" s="17"/>
    </row>
    <row r="146">
      <c r="A146" s="7" t="s">
        <v>172</v>
      </c>
      <c r="B146" s="7" t="s">
        <v>37</v>
      </c>
      <c r="C146" s="8">
        <v>9999.0</v>
      </c>
      <c r="D146" s="8">
        <v>12999.0</v>
      </c>
      <c r="E146" s="19">
        <v>0.23</v>
      </c>
      <c r="F146" s="10">
        <v>4.2</v>
      </c>
      <c r="G146" s="11">
        <v>6088.0</v>
      </c>
      <c r="K146" s="17"/>
    </row>
    <row r="147">
      <c r="A147" s="7" t="s">
        <v>173</v>
      </c>
      <c r="B147" s="7" t="s">
        <v>71</v>
      </c>
      <c r="C147" s="8">
        <v>195.0</v>
      </c>
      <c r="D147" s="8">
        <v>499.0</v>
      </c>
      <c r="E147" s="19">
        <v>0.61</v>
      </c>
      <c r="F147" s="10">
        <v>3.7</v>
      </c>
      <c r="G147" s="11">
        <v>1383.0</v>
      </c>
      <c r="K147" s="17"/>
    </row>
    <row r="148">
      <c r="A148" s="7" t="s">
        <v>174</v>
      </c>
      <c r="B148" s="7" t="s">
        <v>15</v>
      </c>
      <c r="C148" s="8">
        <v>999.0</v>
      </c>
      <c r="D148" s="8">
        <v>2100.0</v>
      </c>
      <c r="E148" s="19">
        <v>0.52</v>
      </c>
      <c r="F148" s="10">
        <v>4.5</v>
      </c>
      <c r="G148" s="11">
        <v>5492.0</v>
      </c>
      <c r="K148" s="17"/>
    </row>
    <row r="149">
      <c r="A149" s="7" t="s">
        <v>175</v>
      </c>
      <c r="B149" s="7" t="s">
        <v>15</v>
      </c>
      <c r="C149" s="8">
        <v>499.0</v>
      </c>
      <c r="D149" s="8">
        <v>899.0</v>
      </c>
      <c r="E149" s="19">
        <v>0.44</v>
      </c>
      <c r="F149" s="10">
        <v>4.2</v>
      </c>
      <c r="G149" s="10">
        <v>919.0</v>
      </c>
      <c r="K149" s="17"/>
    </row>
    <row r="150">
      <c r="A150" s="7" t="s">
        <v>176</v>
      </c>
      <c r="B150" s="7" t="s">
        <v>177</v>
      </c>
      <c r="C150" s="8">
        <v>416.0</v>
      </c>
      <c r="D150" s="8">
        <v>599.0</v>
      </c>
      <c r="E150" s="19">
        <v>0.31</v>
      </c>
      <c r="F150" s="10">
        <v>4.2</v>
      </c>
      <c r="G150" s="11">
        <v>30023.0</v>
      </c>
      <c r="K150" s="17"/>
    </row>
    <row r="151">
      <c r="A151" s="7" t="s">
        <v>178</v>
      </c>
      <c r="B151" s="7" t="s">
        <v>15</v>
      </c>
      <c r="C151" s="8">
        <v>368.0</v>
      </c>
      <c r="D151" s="8">
        <v>699.0</v>
      </c>
      <c r="E151" s="19">
        <v>0.47</v>
      </c>
      <c r="F151" s="10">
        <v>4.2</v>
      </c>
      <c r="G151" s="10">
        <v>387.0</v>
      </c>
      <c r="K151" s="17"/>
    </row>
    <row r="152">
      <c r="A152" s="7" t="s">
        <v>179</v>
      </c>
      <c r="B152" s="7" t="s">
        <v>37</v>
      </c>
      <c r="C152" s="8">
        <v>29990.0</v>
      </c>
      <c r="D152" s="8">
        <v>65000.0</v>
      </c>
      <c r="E152" s="19">
        <v>0.54</v>
      </c>
      <c r="F152" s="10">
        <v>4.1</v>
      </c>
      <c r="G152" s="10">
        <v>211.0</v>
      </c>
      <c r="K152" s="17"/>
    </row>
    <row r="153">
      <c r="A153" s="7" t="s">
        <v>180</v>
      </c>
      <c r="B153" s="7" t="s">
        <v>15</v>
      </c>
      <c r="C153" s="8">
        <v>339.0</v>
      </c>
      <c r="D153" s="8">
        <v>1099.0</v>
      </c>
      <c r="E153" s="19">
        <v>0.69</v>
      </c>
      <c r="F153" s="10">
        <v>4.3</v>
      </c>
      <c r="G153" s="10">
        <v>974.0</v>
      </c>
      <c r="K153" s="17"/>
    </row>
    <row r="154">
      <c r="A154" s="7" t="s">
        <v>181</v>
      </c>
      <c r="B154" s="7" t="s">
        <v>37</v>
      </c>
      <c r="C154" s="8">
        <v>15490.0</v>
      </c>
      <c r="D154" s="8">
        <v>20900.0</v>
      </c>
      <c r="E154" s="19">
        <v>0.26</v>
      </c>
      <c r="F154" s="10">
        <v>4.3</v>
      </c>
      <c r="G154" s="11">
        <v>16299.0</v>
      </c>
      <c r="K154" s="17"/>
    </row>
    <row r="155">
      <c r="A155" s="7" t="s">
        <v>182</v>
      </c>
      <c r="B155" s="7" t="s">
        <v>15</v>
      </c>
      <c r="C155" s="8">
        <v>499.0</v>
      </c>
      <c r="D155" s="8">
        <v>1299.0</v>
      </c>
      <c r="E155" s="19">
        <v>0.62</v>
      </c>
      <c r="F155" s="10">
        <v>4.3</v>
      </c>
      <c r="G155" s="11">
        <v>30411.0</v>
      </c>
      <c r="K155" s="17"/>
    </row>
    <row r="156">
      <c r="A156" s="7" t="s">
        <v>183</v>
      </c>
      <c r="B156" s="7" t="s">
        <v>25</v>
      </c>
      <c r="C156" s="8">
        <v>249.0</v>
      </c>
      <c r="D156" s="8">
        <v>399.0</v>
      </c>
      <c r="E156" s="19">
        <v>0.38</v>
      </c>
      <c r="F156" s="10">
        <v>3.4</v>
      </c>
      <c r="G156" s="11">
        <v>4642.0</v>
      </c>
      <c r="K156" s="17"/>
    </row>
    <row r="157">
      <c r="A157" s="7" t="s">
        <v>184</v>
      </c>
      <c r="B157" s="7" t="s">
        <v>71</v>
      </c>
      <c r="C157" s="8">
        <v>399.0</v>
      </c>
      <c r="D157" s="8">
        <v>799.0</v>
      </c>
      <c r="E157" s="19">
        <v>0.5</v>
      </c>
      <c r="F157" s="10">
        <v>4.3</v>
      </c>
      <c r="G157" s="10">
        <v>12.0</v>
      </c>
      <c r="K157" s="17"/>
    </row>
    <row r="158">
      <c r="A158" s="7" t="s">
        <v>185</v>
      </c>
      <c r="B158" s="7" t="s">
        <v>15</v>
      </c>
      <c r="C158" s="8">
        <v>1499.0</v>
      </c>
      <c r="D158" s="8">
        <v>1999.0</v>
      </c>
      <c r="E158" s="19">
        <v>0.25</v>
      </c>
      <c r="F158" s="10">
        <v>4.4</v>
      </c>
      <c r="G158" s="11">
        <v>1951.0</v>
      </c>
      <c r="K158" s="17"/>
    </row>
    <row r="159">
      <c r="A159" s="7" t="s">
        <v>186</v>
      </c>
      <c r="B159" s="7" t="s">
        <v>187</v>
      </c>
      <c r="C159" s="8">
        <v>9490.0</v>
      </c>
      <c r="D159" s="8">
        <v>15990.0</v>
      </c>
      <c r="E159" s="19">
        <v>0.41</v>
      </c>
      <c r="F159" s="10">
        <v>3.9</v>
      </c>
      <c r="G159" s="11">
        <v>10480.0</v>
      </c>
      <c r="K159" s="17"/>
    </row>
    <row r="160">
      <c r="A160" s="7" t="s">
        <v>188</v>
      </c>
      <c r="B160" s="7" t="s">
        <v>31</v>
      </c>
      <c r="C160" s="8">
        <v>637.0</v>
      </c>
      <c r="D160" s="8">
        <v>1499.0</v>
      </c>
      <c r="E160" s="19">
        <v>0.58</v>
      </c>
      <c r="F160" s="10">
        <v>4.1</v>
      </c>
      <c r="G160" s="10">
        <v>24.0</v>
      </c>
      <c r="K160" s="17"/>
    </row>
    <row r="161">
      <c r="A161" s="7" t="s">
        <v>189</v>
      </c>
      <c r="B161" s="7" t="s">
        <v>71</v>
      </c>
      <c r="C161" s="8">
        <v>399.0</v>
      </c>
      <c r="D161" s="8">
        <v>899.0</v>
      </c>
      <c r="E161" s="19">
        <v>0.56</v>
      </c>
      <c r="F161" s="10">
        <v>3.9</v>
      </c>
      <c r="G161" s="10">
        <v>254.0</v>
      </c>
      <c r="K161" s="17"/>
    </row>
    <row r="162">
      <c r="A162" s="7" t="s">
        <v>190</v>
      </c>
      <c r="B162" s="7" t="s">
        <v>177</v>
      </c>
      <c r="C162" s="8">
        <v>1089.0</v>
      </c>
      <c r="D162" s="8">
        <v>1600.0</v>
      </c>
      <c r="E162" s="19">
        <v>0.32</v>
      </c>
      <c r="F162" s="10">
        <v>4.0</v>
      </c>
      <c r="G162" s="11">
        <v>3565.0</v>
      </c>
      <c r="K162" s="17"/>
    </row>
    <row r="163">
      <c r="A163" s="7" t="s">
        <v>191</v>
      </c>
      <c r="B163" s="7" t="s">
        <v>15</v>
      </c>
      <c r="C163" s="8">
        <v>339.0</v>
      </c>
      <c r="D163" s="8">
        <v>999.0</v>
      </c>
      <c r="E163" s="19">
        <v>0.66</v>
      </c>
      <c r="F163" s="10">
        <v>4.3</v>
      </c>
      <c r="G163" s="11">
        <v>6255.0</v>
      </c>
      <c r="K163" s="17"/>
    </row>
    <row r="164">
      <c r="A164" s="7" t="s">
        <v>192</v>
      </c>
      <c r="B164" s="7" t="s">
        <v>15</v>
      </c>
      <c r="C164" s="8">
        <v>149.0</v>
      </c>
      <c r="D164" s="8">
        <v>499.0</v>
      </c>
      <c r="E164" s="19">
        <v>0.7</v>
      </c>
      <c r="F164" s="10">
        <v>4.0</v>
      </c>
      <c r="G164" s="11">
        <v>7732.0</v>
      </c>
      <c r="K164" s="17"/>
    </row>
    <row r="165">
      <c r="A165" s="7" t="s">
        <v>193</v>
      </c>
      <c r="B165" s="7" t="s">
        <v>15</v>
      </c>
      <c r="C165" s="8">
        <v>149.0</v>
      </c>
      <c r="D165" s="8">
        <v>399.0</v>
      </c>
      <c r="E165" s="19">
        <v>0.63</v>
      </c>
      <c r="F165" s="10">
        <v>3.9</v>
      </c>
      <c r="G165" s="10">
        <v>57.0</v>
      </c>
      <c r="K165" s="17"/>
    </row>
    <row r="166">
      <c r="A166" s="7" t="s">
        <v>194</v>
      </c>
      <c r="B166" s="7" t="s">
        <v>15</v>
      </c>
      <c r="C166" s="8">
        <v>599.0</v>
      </c>
      <c r="D166" s="8">
        <v>849.0</v>
      </c>
      <c r="E166" s="19">
        <v>0.29</v>
      </c>
      <c r="F166" s="10">
        <v>4.5</v>
      </c>
      <c r="G166" s="10">
        <v>577.0</v>
      </c>
      <c r="K166" s="17"/>
    </row>
    <row r="167">
      <c r="A167" s="7" t="s">
        <v>195</v>
      </c>
      <c r="B167" s="7" t="s">
        <v>71</v>
      </c>
      <c r="C167" s="8">
        <v>299.0</v>
      </c>
      <c r="D167" s="8">
        <v>1199.0</v>
      </c>
      <c r="E167" s="19">
        <v>0.75</v>
      </c>
      <c r="F167" s="10">
        <v>3.9</v>
      </c>
      <c r="G167" s="11">
        <v>1193.0</v>
      </c>
      <c r="K167" s="17"/>
    </row>
    <row r="168">
      <c r="A168" s="7" t="s">
        <v>196</v>
      </c>
      <c r="B168" s="7" t="s">
        <v>15</v>
      </c>
      <c r="C168" s="8">
        <v>399.0</v>
      </c>
      <c r="D168" s="8">
        <v>1299.0</v>
      </c>
      <c r="E168" s="19">
        <v>0.69</v>
      </c>
      <c r="F168" s="10">
        <v>4.2</v>
      </c>
      <c r="G168" s="11">
        <v>13120.0</v>
      </c>
      <c r="K168" s="17"/>
    </row>
    <row r="169">
      <c r="A169" s="7" t="s">
        <v>197</v>
      </c>
      <c r="B169" s="7" t="s">
        <v>71</v>
      </c>
      <c r="C169" s="8">
        <v>339.0</v>
      </c>
      <c r="D169" s="8">
        <v>1999.0</v>
      </c>
      <c r="E169" s="19">
        <v>0.83</v>
      </c>
      <c r="F169" s="10">
        <v>4.0</v>
      </c>
      <c r="G169" s="10">
        <v>343.0</v>
      </c>
      <c r="K169" s="17"/>
    </row>
    <row r="170">
      <c r="A170" s="7" t="s">
        <v>198</v>
      </c>
      <c r="B170" s="7" t="s">
        <v>37</v>
      </c>
      <c r="C170" s="8">
        <v>12499.0</v>
      </c>
      <c r="D170" s="8">
        <v>22990.0</v>
      </c>
      <c r="E170" s="19">
        <v>0.46</v>
      </c>
      <c r="F170" s="10">
        <v>4.3</v>
      </c>
      <c r="G170" s="11">
        <v>1611.0</v>
      </c>
      <c r="K170" s="17"/>
    </row>
    <row r="171">
      <c r="A171" s="7" t="s">
        <v>199</v>
      </c>
      <c r="B171" s="7" t="s">
        <v>15</v>
      </c>
      <c r="C171" s="8">
        <v>249.0</v>
      </c>
      <c r="D171" s="8">
        <v>399.0</v>
      </c>
      <c r="E171" s="19">
        <v>0.38</v>
      </c>
      <c r="F171" s="10">
        <v>4.0</v>
      </c>
      <c r="G171" s="11">
        <v>6558.0</v>
      </c>
      <c r="K171" s="17"/>
    </row>
    <row r="172">
      <c r="A172" s="7" t="s">
        <v>200</v>
      </c>
      <c r="B172" s="7" t="s">
        <v>25</v>
      </c>
      <c r="C172" s="8">
        <v>1399.0</v>
      </c>
      <c r="D172" s="8">
        <v>2499.0</v>
      </c>
      <c r="E172" s="19">
        <v>0.44</v>
      </c>
      <c r="F172" s="10">
        <v>4.4</v>
      </c>
      <c r="G172" s="11">
        <v>23169.0</v>
      </c>
      <c r="K172" s="17"/>
    </row>
    <row r="173">
      <c r="A173" s="7" t="s">
        <v>201</v>
      </c>
      <c r="B173" s="7" t="s">
        <v>37</v>
      </c>
      <c r="C173" s="8">
        <v>32999.0</v>
      </c>
      <c r="D173" s="8">
        <v>47990.0</v>
      </c>
      <c r="E173" s="19">
        <v>0.31</v>
      </c>
      <c r="F173" s="10">
        <v>4.3</v>
      </c>
      <c r="G173" s="11">
        <v>4703.0</v>
      </c>
      <c r="K173" s="17"/>
    </row>
    <row r="174">
      <c r="A174" s="7" t="s">
        <v>202</v>
      </c>
      <c r="B174" s="7" t="s">
        <v>15</v>
      </c>
      <c r="C174" s="8">
        <v>149.0</v>
      </c>
      <c r="D174" s="8">
        <v>399.0</v>
      </c>
      <c r="E174" s="19">
        <v>0.63</v>
      </c>
      <c r="F174" s="10">
        <v>4.0</v>
      </c>
      <c r="G174" s="11">
        <v>1423.0</v>
      </c>
      <c r="K174" s="17"/>
    </row>
    <row r="175">
      <c r="A175" s="7" t="s">
        <v>203</v>
      </c>
      <c r="B175" s="7" t="s">
        <v>15</v>
      </c>
      <c r="C175" s="8">
        <v>325.0</v>
      </c>
      <c r="D175" s="8">
        <v>999.0</v>
      </c>
      <c r="E175" s="19">
        <v>0.67</v>
      </c>
      <c r="F175" s="10">
        <v>4.3</v>
      </c>
      <c r="G175" s="11">
        <v>2651.0</v>
      </c>
      <c r="K175" s="17"/>
    </row>
    <row r="176">
      <c r="A176" s="7" t="s">
        <v>204</v>
      </c>
      <c r="B176" s="7" t="s">
        <v>15</v>
      </c>
      <c r="C176" s="8">
        <v>399.0</v>
      </c>
      <c r="D176" s="8">
        <v>1999.0</v>
      </c>
      <c r="E176" s="19">
        <v>0.8</v>
      </c>
      <c r="F176" s="10">
        <v>5.0</v>
      </c>
      <c r="G176" s="10">
        <v>5.0</v>
      </c>
      <c r="K176" s="17"/>
    </row>
    <row r="177">
      <c r="A177" s="7" t="s">
        <v>205</v>
      </c>
      <c r="B177" s="7" t="s">
        <v>25</v>
      </c>
      <c r="C177" s="8">
        <v>199.0</v>
      </c>
      <c r="D177" s="8">
        <v>499.0</v>
      </c>
      <c r="E177" s="19">
        <v>0.6</v>
      </c>
      <c r="F177" s="10">
        <v>3.7</v>
      </c>
      <c r="G177" s="10">
        <v>612.0</v>
      </c>
      <c r="K177" s="17"/>
    </row>
    <row r="178">
      <c r="A178" s="7" t="s">
        <v>206</v>
      </c>
      <c r="B178" s="7" t="s">
        <v>15</v>
      </c>
      <c r="C178" s="8">
        <v>88.0</v>
      </c>
      <c r="D178" s="8">
        <v>299.0</v>
      </c>
      <c r="E178" s="19">
        <v>0.71</v>
      </c>
      <c r="F178" s="10">
        <v>4.0</v>
      </c>
      <c r="G178" s="11">
        <v>9378.0</v>
      </c>
      <c r="K178" s="17"/>
    </row>
    <row r="179">
      <c r="A179" s="7" t="s">
        <v>207</v>
      </c>
      <c r="B179" s="7" t="s">
        <v>15</v>
      </c>
      <c r="C179" s="8">
        <v>399.0</v>
      </c>
      <c r="D179" s="8">
        <v>1099.0</v>
      </c>
      <c r="E179" s="19">
        <v>0.64</v>
      </c>
      <c r="F179" s="10">
        <v>4.1</v>
      </c>
      <c r="G179" s="11">
        <v>2685.0</v>
      </c>
      <c r="K179" s="17"/>
    </row>
    <row r="180">
      <c r="A180" s="7" t="s">
        <v>208</v>
      </c>
      <c r="B180" s="7" t="s">
        <v>15</v>
      </c>
      <c r="C180" s="8">
        <v>57.89</v>
      </c>
      <c r="D180" s="8">
        <v>199.0</v>
      </c>
      <c r="E180" s="19">
        <v>0.71</v>
      </c>
      <c r="F180" s="10">
        <v>4.0</v>
      </c>
      <c r="G180" s="11">
        <v>9378.0</v>
      </c>
      <c r="K180" s="17"/>
    </row>
    <row r="181">
      <c r="A181" s="7" t="s">
        <v>209</v>
      </c>
      <c r="B181" s="7" t="s">
        <v>71</v>
      </c>
      <c r="C181" s="8">
        <v>799.0</v>
      </c>
      <c r="D181" s="8">
        <v>1999.0</v>
      </c>
      <c r="E181" s="19">
        <v>0.6</v>
      </c>
      <c r="F181" s="10">
        <v>3.3</v>
      </c>
      <c r="G181" s="10">
        <v>576.0</v>
      </c>
      <c r="K181" s="17"/>
    </row>
    <row r="182">
      <c r="A182" s="7" t="s">
        <v>210</v>
      </c>
      <c r="B182" s="7" t="s">
        <v>71</v>
      </c>
      <c r="C182" s="8">
        <v>205.0</v>
      </c>
      <c r="D182" s="8">
        <v>499.0</v>
      </c>
      <c r="E182" s="19">
        <v>0.59</v>
      </c>
      <c r="F182" s="10">
        <v>3.8</v>
      </c>
      <c r="G182" s="10">
        <v>313.0</v>
      </c>
      <c r="K182" s="17"/>
    </row>
    <row r="183">
      <c r="A183" s="7" t="s">
        <v>211</v>
      </c>
      <c r="B183" s="7" t="s">
        <v>15</v>
      </c>
      <c r="C183" s="8">
        <v>299.0</v>
      </c>
      <c r="D183" s="8">
        <v>699.0</v>
      </c>
      <c r="E183" s="19">
        <v>0.57</v>
      </c>
      <c r="F183" s="10">
        <v>4.1</v>
      </c>
      <c r="G183" s="11">
        <v>2957.0</v>
      </c>
      <c r="K183" s="17"/>
    </row>
    <row r="184">
      <c r="A184" s="7" t="s">
        <v>212</v>
      </c>
      <c r="B184" s="7" t="s">
        <v>15</v>
      </c>
      <c r="C184" s="8">
        <v>849.0</v>
      </c>
      <c r="D184" s="8">
        <v>999.0</v>
      </c>
      <c r="E184" s="19">
        <v>0.15</v>
      </c>
      <c r="F184" s="10">
        <v>4.1</v>
      </c>
      <c r="G184" s="11">
        <v>6736.0</v>
      </c>
      <c r="K184" s="17"/>
    </row>
    <row r="185">
      <c r="A185" s="7" t="s">
        <v>213</v>
      </c>
      <c r="B185" s="7" t="s">
        <v>15</v>
      </c>
      <c r="C185" s="8">
        <v>949.0</v>
      </c>
      <c r="D185" s="8">
        <v>1999.0</v>
      </c>
      <c r="E185" s="19">
        <v>0.53</v>
      </c>
      <c r="F185" s="10">
        <v>4.4</v>
      </c>
      <c r="G185" s="11">
        <v>13552.0</v>
      </c>
      <c r="K185" s="17"/>
    </row>
    <row r="186">
      <c r="A186" s="7" t="s">
        <v>214</v>
      </c>
      <c r="B186" s="7" t="s">
        <v>15</v>
      </c>
      <c r="C186" s="8">
        <v>499.0</v>
      </c>
      <c r="D186" s="8">
        <v>1200.0</v>
      </c>
      <c r="E186" s="19">
        <v>0.58</v>
      </c>
      <c r="F186" s="10">
        <v>4.3</v>
      </c>
      <c r="G186" s="11">
        <v>5451.0</v>
      </c>
      <c r="K186" s="17"/>
    </row>
    <row r="187">
      <c r="A187" s="7" t="s">
        <v>215</v>
      </c>
      <c r="B187" s="7" t="s">
        <v>15</v>
      </c>
      <c r="C187" s="8">
        <v>299.0</v>
      </c>
      <c r="D187" s="8">
        <v>485.0</v>
      </c>
      <c r="E187" s="19">
        <v>0.38</v>
      </c>
      <c r="F187" s="10">
        <v>4.3</v>
      </c>
      <c r="G187" s="11">
        <v>10911.0</v>
      </c>
      <c r="K187" s="17"/>
    </row>
    <row r="188">
      <c r="A188" s="7" t="s">
        <v>216</v>
      </c>
      <c r="B188" s="7" t="s">
        <v>15</v>
      </c>
      <c r="C188" s="8">
        <v>949.0</v>
      </c>
      <c r="D188" s="8">
        <v>1999.0</v>
      </c>
      <c r="E188" s="19">
        <v>0.53</v>
      </c>
      <c r="F188" s="10">
        <v>4.4</v>
      </c>
      <c r="G188" s="11">
        <v>13552.0</v>
      </c>
      <c r="K188" s="17"/>
    </row>
    <row r="189">
      <c r="A189" s="7" t="s">
        <v>217</v>
      </c>
      <c r="B189" s="7" t="s">
        <v>15</v>
      </c>
      <c r="C189" s="8">
        <v>379.0</v>
      </c>
      <c r="D189" s="8">
        <v>1099.0</v>
      </c>
      <c r="E189" s="19">
        <v>0.66</v>
      </c>
      <c r="F189" s="10">
        <v>4.3</v>
      </c>
      <c r="G189" s="11">
        <v>2806.0</v>
      </c>
      <c r="K189" s="17"/>
    </row>
    <row r="190">
      <c r="A190" s="7" t="s">
        <v>218</v>
      </c>
      <c r="B190" s="7" t="s">
        <v>37</v>
      </c>
      <c r="C190" s="8">
        <v>8990.0</v>
      </c>
      <c r="D190" s="8">
        <v>18990.0</v>
      </c>
      <c r="E190" s="19">
        <v>0.53</v>
      </c>
      <c r="F190" s="10">
        <v>3.9</v>
      </c>
      <c r="G190" s="10">
        <v>350.0</v>
      </c>
      <c r="K190" s="17"/>
    </row>
    <row r="191">
      <c r="A191" s="7" t="s">
        <v>219</v>
      </c>
      <c r="B191" s="7" t="s">
        <v>177</v>
      </c>
      <c r="C191" s="8">
        <v>486.0</v>
      </c>
      <c r="D191" s="8">
        <v>1999.0</v>
      </c>
      <c r="E191" s="19">
        <v>0.76</v>
      </c>
      <c r="F191" s="10">
        <v>4.2</v>
      </c>
      <c r="G191" s="11">
        <v>30023.0</v>
      </c>
      <c r="K191" s="17"/>
    </row>
    <row r="192">
      <c r="A192" s="7" t="s">
        <v>220</v>
      </c>
      <c r="B192" s="7" t="s">
        <v>77</v>
      </c>
      <c r="C192" s="8">
        <v>5699.0</v>
      </c>
      <c r="D192" s="8">
        <v>11000.0</v>
      </c>
      <c r="E192" s="19">
        <v>0.48</v>
      </c>
      <c r="F192" s="10">
        <v>4.2</v>
      </c>
      <c r="G192" s="11">
        <v>4003.0</v>
      </c>
      <c r="K192" s="17"/>
    </row>
    <row r="193">
      <c r="A193" s="7" t="s">
        <v>221</v>
      </c>
      <c r="B193" s="7" t="s">
        <v>15</v>
      </c>
      <c r="C193" s="8">
        <v>709.0</v>
      </c>
      <c r="D193" s="8">
        <v>1999.0</v>
      </c>
      <c r="E193" s="19">
        <v>0.65</v>
      </c>
      <c r="F193" s="10">
        <v>4.1</v>
      </c>
      <c r="G193" s="7" t="s">
        <v>222</v>
      </c>
      <c r="K193" s="17"/>
    </row>
    <row r="194">
      <c r="A194" s="7" t="s">
        <v>223</v>
      </c>
      <c r="B194" s="7" t="s">
        <v>37</v>
      </c>
      <c r="C194" s="8">
        <v>47990.0</v>
      </c>
      <c r="D194" s="8">
        <v>70900.0</v>
      </c>
      <c r="E194" s="19">
        <v>0.32</v>
      </c>
      <c r="F194" s="10">
        <v>4.3</v>
      </c>
      <c r="G194" s="11">
        <v>7109.0</v>
      </c>
      <c r="K194" s="17"/>
    </row>
    <row r="195">
      <c r="A195" s="7" t="s">
        <v>224</v>
      </c>
      <c r="B195" s="7" t="s">
        <v>71</v>
      </c>
      <c r="C195" s="8">
        <v>299.0</v>
      </c>
      <c r="D195" s="8">
        <v>1199.0</v>
      </c>
      <c r="E195" s="19">
        <v>0.75</v>
      </c>
      <c r="F195" s="10">
        <v>3.7</v>
      </c>
      <c r="G195" s="10">
        <v>490.0</v>
      </c>
      <c r="K195" s="17"/>
    </row>
    <row r="196">
      <c r="A196" s="7" t="s">
        <v>225</v>
      </c>
      <c r="B196" s="7" t="s">
        <v>15</v>
      </c>
      <c r="C196" s="8">
        <v>320.0</v>
      </c>
      <c r="D196" s="8">
        <v>599.0</v>
      </c>
      <c r="E196" s="19">
        <v>0.47</v>
      </c>
      <c r="F196" s="10">
        <v>4.1</v>
      </c>
      <c r="G196" s="10">
        <v>491.0</v>
      </c>
      <c r="K196" s="17"/>
    </row>
    <row r="197">
      <c r="A197" s="7" t="s">
        <v>226</v>
      </c>
      <c r="B197" s="7" t="s">
        <v>15</v>
      </c>
      <c r="C197" s="8">
        <v>139.0</v>
      </c>
      <c r="D197" s="8">
        <v>549.0</v>
      </c>
      <c r="E197" s="19">
        <v>0.75</v>
      </c>
      <c r="F197" s="10">
        <v>3.9</v>
      </c>
      <c r="G197" s="10">
        <v>61.0</v>
      </c>
      <c r="K197" s="17"/>
    </row>
    <row r="198">
      <c r="A198" s="7" t="s">
        <v>227</v>
      </c>
      <c r="B198" s="7" t="s">
        <v>15</v>
      </c>
      <c r="C198" s="8">
        <v>129.0</v>
      </c>
      <c r="D198" s="8">
        <v>249.0</v>
      </c>
      <c r="E198" s="19">
        <v>0.48</v>
      </c>
      <c r="F198" s="10">
        <v>4.0</v>
      </c>
      <c r="G198" s="11">
        <v>9378.0</v>
      </c>
      <c r="K198" s="17"/>
    </row>
    <row r="199">
      <c r="A199" s="7" t="s">
        <v>228</v>
      </c>
      <c r="B199" s="7" t="s">
        <v>37</v>
      </c>
      <c r="C199" s="8">
        <v>24999.0</v>
      </c>
      <c r="D199" s="8">
        <v>35999.0</v>
      </c>
      <c r="E199" s="19">
        <v>0.31</v>
      </c>
      <c r="F199" s="10">
        <v>4.2</v>
      </c>
      <c r="G199" s="11">
        <v>32840.0</v>
      </c>
      <c r="K199" s="17"/>
    </row>
    <row r="200">
      <c r="A200" s="7" t="s">
        <v>229</v>
      </c>
      <c r="B200" s="7" t="s">
        <v>15</v>
      </c>
      <c r="C200" s="8">
        <v>999.0</v>
      </c>
      <c r="D200" s="8">
        <v>1699.0</v>
      </c>
      <c r="E200" s="19">
        <v>0.41</v>
      </c>
      <c r="F200" s="10">
        <v>4.4</v>
      </c>
      <c r="G200" s="11">
        <v>7318.0</v>
      </c>
      <c r="K200" s="17"/>
    </row>
    <row r="201">
      <c r="A201" s="7" t="s">
        <v>230</v>
      </c>
      <c r="B201" s="7" t="s">
        <v>15</v>
      </c>
      <c r="C201" s="8">
        <v>225.0</v>
      </c>
      <c r="D201" s="8">
        <v>499.0</v>
      </c>
      <c r="E201" s="19">
        <v>0.55</v>
      </c>
      <c r="F201" s="10">
        <v>4.1</v>
      </c>
      <c r="G201" s="10">
        <v>789.0</v>
      </c>
      <c r="K201" s="17"/>
    </row>
    <row r="202">
      <c r="A202" s="7" t="s">
        <v>231</v>
      </c>
      <c r="B202" s="7" t="s">
        <v>71</v>
      </c>
      <c r="C202" s="8">
        <v>547.0</v>
      </c>
      <c r="D202" s="8">
        <v>2999.0</v>
      </c>
      <c r="E202" s="19">
        <v>0.82</v>
      </c>
      <c r="F202" s="10">
        <v>4.3</v>
      </c>
      <c r="G202" s="10">
        <v>407.0</v>
      </c>
      <c r="K202" s="17"/>
    </row>
    <row r="203">
      <c r="A203" s="7" t="s">
        <v>232</v>
      </c>
      <c r="B203" s="7" t="s">
        <v>15</v>
      </c>
      <c r="C203" s="8">
        <v>259.0</v>
      </c>
      <c r="D203" s="8">
        <v>699.0</v>
      </c>
      <c r="E203" s="19">
        <v>0.63</v>
      </c>
      <c r="F203" s="10">
        <v>3.8</v>
      </c>
      <c r="G203" s="11">
        <v>2399.0</v>
      </c>
      <c r="K203" s="17"/>
    </row>
    <row r="204">
      <c r="A204" s="7" t="s">
        <v>233</v>
      </c>
      <c r="B204" s="7" t="s">
        <v>71</v>
      </c>
      <c r="C204" s="8">
        <v>239.0</v>
      </c>
      <c r="D204" s="8">
        <v>699.0</v>
      </c>
      <c r="E204" s="19">
        <v>0.66</v>
      </c>
      <c r="F204" s="10">
        <v>4.4</v>
      </c>
      <c r="G204" s="11">
        <v>2640.0</v>
      </c>
      <c r="K204" s="17"/>
    </row>
    <row r="205">
      <c r="A205" s="7" t="s">
        <v>234</v>
      </c>
      <c r="B205" s="7" t="s">
        <v>71</v>
      </c>
      <c r="C205" s="8">
        <v>349.0</v>
      </c>
      <c r="D205" s="8">
        <v>999.0</v>
      </c>
      <c r="E205" s="19">
        <v>0.65</v>
      </c>
      <c r="F205" s="10">
        <v>4.0</v>
      </c>
      <c r="G205" s="10">
        <v>839.0</v>
      </c>
      <c r="K205" s="17"/>
    </row>
    <row r="206">
      <c r="A206" s="7" t="s">
        <v>235</v>
      </c>
      <c r="B206" s="7" t="s">
        <v>31</v>
      </c>
      <c r="C206" s="8">
        <v>467.0</v>
      </c>
      <c r="D206" s="8">
        <v>599.0</v>
      </c>
      <c r="E206" s="19">
        <v>0.22</v>
      </c>
      <c r="F206" s="10">
        <v>4.4</v>
      </c>
      <c r="G206" s="11">
        <v>44054.0</v>
      </c>
      <c r="K206" s="17"/>
    </row>
    <row r="207">
      <c r="A207" s="7" t="s">
        <v>236</v>
      </c>
      <c r="B207" s="7" t="s">
        <v>15</v>
      </c>
      <c r="C207" s="8">
        <v>449.0</v>
      </c>
      <c r="D207" s="8">
        <v>599.0</v>
      </c>
      <c r="E207" s="19">
        <v>0.25</v>
      </c>
      <c r="F207" s="10">
        <v>4.0</v>
      </c>
      <c r="G207" s="11">
        <v>3231.0</v>
      </c>
      <c r="K207" s="17"/>
    </row>
    <row r="208">
      <c r="A208" s="7" t="s">
        <v>237</v>
      </c>
      <c r="B208" s="7" t="s">
        <v>37</v>
      </c>
      <c r="C208" s="8">
        <v>11990.0</v>
      </c>
      <c r="D208" s="8">
        <v>31990.0</v>
      </c>
      <c r="E208" s="19">
        <v>0.63</v>
      </c>
      <c r="F208" s="10">
        <v>4.2</v>
      </c>
      <c r="G208" s="10">
        <v>64.0</v>
      </c>
      <c r="K208" s="17"/>
    </row>
    <row r="209">
      <c r="A209" s="7" t="s">
        <v>238</v>
      </c>
      <c r="B209" s="7" t="s">
        <v>15</v>
      </c>
      <c r="C209" s="8">
        <v>350.0</v>
      </c>
      <c r="D209" s="8">
        <v>599.0</v>
      </c>
      <c r="E209" s="19">
        <v>0.42</v>
      </c>
      <c r="F209" s="10">
        <v>3.9</v>
      </c>
      <c r="G209" s="11">
        <v>8314.0</v>
      </c>
      <c r="K209" s="17"/>
    </row>
    <row r="210">
      <c r="A210" s="7" t="s">
        <v>239</v>
      </c>
      <c r="B210" s="7" t="s">
        <v>15</v>
      </c>
      <c r="C210" s="8">
        <v>252.0</v>
      </c>
      <c r="D210" s="8">
        <v>999.0</v>
      </c>
      <c r="E210" s="19">
        <v>0.75</v>
      </c>
      <c r="F210" s="10">
        <v>3.7</v>
      </c>
      <c r="G210" s="11">
        <v>2249.0</v>
      </c>
      <c r="K210" s="17"/>
    </row>
    <row r="211">
      <c r="A211" s="7" t="s">
        <v>240</v>
      </c>
      <c r="B211" s="7" t="s">
        <v>71</v>
      </c>
      <c r="C211" s="8">
        <v>204.0</v>
      </c>
      <c r="D211" s="8">
        <v>599.0</v>
      </c>
      <c r="E211" s="19">
        <v>0.66</v>
      </c>
      <c r="F211" s="10">
        <v>3.6</v>
      </c>
      <c r="G211" s="10">
        <v>339.0</v>
      </c>
      <c r="K211" s="17"/>
    </row>
    <row r="212">
      <c r="A212" s="7" t="s">
        <v>241</v>
      </c>
      <c r="B212" s="7" t="s">
        <v>187</v>
      </c>
      <c r="C212" s="8">
        <v>6490.0</v>
      </c>
      <c r="D212" s="8">
        <v>9990.0</v>
      </c>
      <c r="E212" s="19">
        <v>0.35</v>
      </c>
      <c r="F212" s="10">
        <v>4.0</v>
      </c>
      <c r="G212" s="10">
        <v>27.0</v>
      </c>
      <c r="K212" s="17"/>
    </row>
    <row r="213">
      <c r="A213" s="7" t="s">
        <v>242</v>
      </c>
      <c r="B213" s="7" t="s">
        <v>71</v>
      </c>
      <c r="C213" s="8">
        <v>235.0</v>
      </c>
      <c r="D213" s="8">
        <v>599.0</v>
      </c>
      <c r="E213" s="19">
        <v>0.61</v>
      </c>
      <c r="F213" s="10">
        <v>3.5</v>
      </c>
      <c r="G213" s="10">
        <v>197.0</v>
      </c>
      <c r="K213" s="17"/>
    </row>
    <row r="214">
      <c r="A214" s="7" t="s">
        <v>243</v>
      </c>
      <c r="B214" s="7" t="s">
        <v>15</v>
      </c>
      <c r="C214" s="8">
        <v>299.0</v>
      </c>
      <c r="D214" s="8">
        <v>800.0</v>
      </c>
      <c r="E214" s="19">
        <v>0.63</v>
      </c>
      <c r="F214" s="10">
        <v>4.5</v>
      </c>
      <c r="G214" s="11">
        <v>74977.0</v>
      </c>
      <c r="K214" s="17"/>
    </row>
    <row r="215">
      <c r="A215" s="7" t="s">
        <v>244</v>
      </c>
      <c r="B215" s="7" t="s">
        <v>15</v>
      </c>
      <c r="C215" s="8">
        <v>799.0</v>
      </c>
      <c r="D215" s="8">
        <v>1999.0</v>
      </c>
      <c r="E215" s="19">
        <v>0.6</v>
      </c>
      <c r="F215" s="10">
        <v>4.2</v>
      </c>
      <c r="G215" s="11">
        <v>8583.0</v>
      </c>
      <c r="K215" s="17"/>
    </row>
    <row r="216">
      <c r="A216" s="7" t="s">
        <v>245</v>
      </c>
      <c r="B216" s="7" t="s">
        <v>71</v>
      </c>
      <c r="C216" s="8">
        <v>299.0</v>
      </c>
      <c r="D216" s="8">
        <v>999.0</v>
      </c>
      <c r="E216" s="19">
        <v>0.7</v>
      </c>
      <c r="F216" s="10">
        <v>3.8</v>
      </c>
      <c r="G216" s="10">
        <v>928.0</v>
      </c>
      <c r="K216" s="17"/>
    </row>
    <row r="217">
      <c r="A217" s="7" t="s">
        <v>246</v>
      </c>
      <c r="B217" s="7" t="s">
        <v>77</v>
      </c>
      <c r="C217" s="8">
        <v>6999.0</v>
      </c>
      <c r="D217" s="8">
        <v>16990.0</v>
      </c>
      <c r="E217" s="19">
        <v>0.59</v>
      </c>
      <c r="F217" s="10">
        <v>3.8</v>
      </c>
      <c r="G217" s="10">
        <v>110.0</v>
      </c>
      <c r="K217" s="17"/>
    </row>
    <row r="218">
      <c r="A218" s="7" t="s">
        <v>247</v>
      </c>
      <c r="B218" s="7" t="s">
        <v>37</v>
      </c>
      <c r="C218" s="8">
        <v>42999.0</v>
      </c>
      <c r="D218" s="8">
        <v>59999.0</v>
      </c>
      <c r="E218" s="19">
        <v>0.28</v>
      </c>
      <c r="F218" s="10">
        <v>4.1</v>
      </c>
      <c r="G218" s="11">
        <v>6753.0</v>
      </c>
      <c r="K218" s="17"/>
    </row>
    <row r="219">
      <c r="A219" s="7" t="s">
        <v>248</v>
      </c>
      <c r="B219" s="7" t="s">
        <v>31</v>
      </c>
      <c r="C219" s="8">
        <v>173.0</v>
      </c>
      <c r="D219" s="8">
        <v>999.0</v>
      </c>
      <c r="E219" s="19">
        <v>0.83</v>
      </c>
      <c r="F219" s="10">
        <v>4.3</v>
      </c>
      <c r="G219" s="11">
        <v>1237.0</v>
      </c>
      <c r="K219" s="17"/>
    </row>
    <row r="220">
      <c r="A220" s="7" t="s">
        <v>249</v>
      </c>
      <c r="B220" s="7" t="s">
        <v>250</v>
      </c>
      <c r="C220" s="8">
        <v>209.0</v>
      </c>
      <c r="D220" s="8">
        <v>600.0</v>
      </c>
      <c r="E220" s="19">
        <v>0.65</v>
      </c>
      <c r="F220" s="10">
        <v>4.4</v>
      </c>
      <c r="G220" s="11">
        <v>18872.0</v>
      </c>
      <c r="K220" s="17"/>
    </row>
    <row r="221">
      <c r="A221" s="7" t="s">
        <v>251</v>
      </c>
      <c r="B221" s="7" t="s">
        <v>15</v>
      </c>
      <c r="C221" s="8">
        <v>848.99</v>
      </c>
      <c r="D221" s="8">
        <v>1490.0</v>
      </c>
      <c r="E221" s="19">
        <v>0.43</v>
      </c>
      <c r="F221" s="10">
        <v>3.9</v>
      </c>
      <c r="G221" s="10">
        <v>356.0</v>
      </c>
      <c r="K221" s="17"/>
    </row>
    <row r="222">
      <c r="A222" s="7" t="s">
        <v>252</v>
      </c>
      <c r="B222" s="7" t="s">
        <v>15</v>
      </c>
      <c r="C222" s="8">
        <v>649.0</v>
      </c>
      <c r="D222" s="8">
        <v>1999.0</v>
      </c>
      <c r="E222" s="19">
        <v>0.68</v>
      </c>
      <c r="F222" s="10">
        <v>4.2</v>
      </c>
      <c r="G222" s="11">
        <v>24269.0</v>
      </c>
      <c r="K222" s="17"/>
    </row>
    <row r="223">
      <c r="A223" s="7" t="s">
        <v>253</v>
      </c>
      <c r="B223" s="7" t="s">
        <v>71</v>
      </c>
      <c r="C223" s="8">
        <v>299.0</v>
      </c>
      <c r="D223" s="8">
        <v>899.0</v>
      </c>
      <c r="E223" s="19">
        <v>0.67</v>
      </c>
      <c r="F223" s="10">
        <v>3.8</v>
      </c>
      <c r="G223" s="10">
        <v>425.0</v>
      </c>
      <c r="K223" s="17"/>
    </row>
    <row r="224">
      <c r="A224" s="7" t="s">
        <v>254</v>
      </c>
      <c r="B224" s="7" t="s">
        <v>93</v>
      </c>
      <c r="C224" s="8">
        <v>399.0</v>
      </c>
      <c r="D224" s="8">
        <v>799.0</v>
      </c>
      <c r="E224" s="19">
        <v>0.5</v>
      </c>
      <c r="F224" s="10">
        <v>4.1</v>
      </c>
      <c r="G224" s="11">
        <v>1161.0</v>
      </c>
      <c r="K224" s="17"/>
    </row>
    <row r="225">
      <c r="A225" s="7" t="s">
        <v>255</v>
      </c>
      <c r="B225" s="7" t="s">
        <v>15</v>
      </c>
      <c r="C225" s="8">
        <v>249.0</v>
      </c>
      <c r="D225" s="8">
        <v>499.0</v>
      </c>
      <c r="E225" s="19">
        <v>0.5</v>
      </c>
      <c r="F225" s="10">
        <v>4.1</v>
      </c>
      <c r="G225" s="11">
        <v>1508.0</v>
      </c>
      <c r="K225" s="17"/>
    </row>
    <row r="226">
      <c r="A226" s="7" t="s">
        <v>256</v>
      </c>
      <c r="B226" s="7" t="s">
        <v>257</v>
      </c>
      <c r="C226" s="8">
        <v>1249.0</v>
      </c>
      <c r="D226" s="8">
        <v>2299.0</v>
      </c>
      <c r="E226" s="19">
        <v>0.46</v>
      </c>
      <c r="F226" s="10">
        <v>4.3</v>
      </c>
      <c r="G226" s="11">
        <v>7636.0</v>
      </c>
      <c r="K226" s="17"/>
    </row>
    <row r="227">
      <c r="A227" s="7" t="s">
        <v>258</v>
      </c>
      <c r="B227" s="7" t="s">
        <v>71</v>
      </c>
      <c r="C227" s="8">
        <v>213.0</v>
      </c>
      <c r="D227" s="8">
        <v>499.0</v>
      </c>
      <c r="E227" s="19">
        <v>0.57</v>
      </c>
      <c r="F227" s="10">
        <v>3.7</v>
      </c>
      <c r="G227" s="10">
        <v>246.0</v>
      </c>
      <c r="K227" s="17"/>
    </row>
    <row r="228">
      <c r="A228" s="7" t="s">
        <v>259</v>
      </c>
      <c r="B228" s="7" t="s">
        <v>71</v>
      </c>
      <c r="C228" s="8">
        <v>209.0</v>
      </c>
      <c r="D228" s="8">
        <v>499.0</v>
      </c>
      <c r="E228" s="19">
        <v>0.58</v>
      </c>
      <c r="F228" s="10">
        <v>4.0</v>
      </c>
      <c r="G228" s="10">
        <v>479.0</v>
      </c>
      <c r="K228" s="17"/>
    </row>
    <row r="229">
      <c r="A229" s="7" t="s">
        <v>260</v>
      </c>
      <c r="B229" s="7" t="s">
        <v>31</v>
      </c>
      <c r="C229" s="8">
        <v>598.0</v>
      </c>
      <c r="D229" s="8">
        <v>4999.0</v>
      </c>
      <c r="E229" s="19">
        <v>0.88</v>
      </c>
      <c r="F229" s="10">
        <v>4.2</v>
      </c>
      <c r="G229" s="10">
        <v>910.0</v>
      </c>
      <c r="K229" s="17"/>
    </row>
    <row r="230">
      <c r="A230" s="7" t="s">
        <v>261</v>
      </c>
      <c r="B230" s="7" t="s">
        <v>15</v>
      </c>
      <c r="C230" s="8">
        <v>799.0</v>
      </c>
      <c r="D230" s="8">
        <v>1749.0</v>
      </c>
      <c r="E230" s="19">
        <v>0.54</v>
      </c>
      <c r="F230" s="10">
        <v>4.1</v>
      </c>
      <c r="G230" s="11">
        <v>5626.0</v>
      </c>
      <c r="K230" s="17"/>
    </row>
    <row r="231">
      <c r="A231" s="7" t="s">
        <v>262</v>
      </c>
      <c r="B231" s="7" t="s">
        <v>15</v>
      </c>
      <c r="C231" s="8">
        <v>159.0</v>
      </c>
      <c r="D231" s="8">
        <v>595.0</v>
      </c>
      <c r="E231" s="19">
        <v>0.73</v>
      </c>
      <c r="F231" s="10">
        <v>4.3</v>
      </c>
      <c r="G231" s="11">
        <v>14184.0</v>
      </c>
      <c r="K231" s="17"/>
    </row>
    <row r="232">
      <c r="A232" s="7" t="s">
        <v>263</v>
      </c>
      <c r="B232" s="7" t="s">
        <v>264</v>
      </c>
      <c r="C232" s="8">
        <v>499.0</v>
      </c>
      <c r="D232" s="8">
        <v>1100.0</v>
      </c>
      <c r="E232" s="19">
        <v>0.55</v>
      </c>
      <c r="F232" s="10">
        <v>4.4</v>
      </c>
      <c r="G232" s="11">
        <v>25177.0</v>
      </c>
      <c r="K232" s="17"/>
    </row>
    <row r="233">
      <c r="A233" s="7" t="s">
        <v>265</v>
      </c>
      <c r="B233" s="7" t="s">
        <v>37</v>
      </c>
      <c r="C233" s="8">
        <v>31999.0</v>
      </c>
      <c r="D233" s="8">
        <v>49999.0</v>
      </c>
      <c r="E233" s="19">
        <v>0.36</v>
      </c>
      <c r="F233" s="10">
        <v>4.3</v>
      </c>
      <c r="G233" s="11">
        <v>21252.0</v>
      </c>
      <c r="K233" s="17"/>
    </row>
    <row r="234">
      <c r="A234" s="7" t="s">
        <v>266</v>
      </c>
      <c r="B234" s="7" t="s">
        <v>37</v>
      </c>
      <c r="C234" s="8">
        <v>32990.0</v>
      </c>
      <c r="D234" s="8">
        <v>56790.0</v>
      </c>
      <c r="E234" s="19">
        <v>0.42</v>
      </c>
      <c r="F234" s="10">
        <v>4.3</v>
      </c>
      <c r="G234" s="10">
        <v>567.0</v>
      </c>
      <c r="K234" s="17"/>
    </row>
    <row r="235">
      <c r="A235" s="7" t="s">
        <v>267</v>
      </c>
      <c r="B235" s="7" t="s">
        <v>71</v>
      </c>
      <c r="C235" s="8">
        <v>299.0</v>
      </c>
      <c r="D235" s="8">
        <v>1199.0</v>
      </c>
      <c r="E235" s="19">
        <v>0.75</v>
      </c>
      <c r="F235" s="10">
        <v>3.5</v>
      </c>
      <c r="G235" s="10">
        <v>466.0</v>
      </c>
      <c r="K235" s="17"/>
    </row>
    <row r="236">
      <c r="A236" s="7" t="s">
        <v>268</v>
      </c>
      <c r="B236" s="7" t="s">
        <v>15</v>
      </c>
      <c r="C236" s="8">
        <v>128.31</v>
      </c>
      <c r="D236" s="8">
        <v>549.0</v>
      </c>
      <c r="E236" s="19">
        <v>0.77</v>
      </c>
      <c r="F236" s="10">
        <v>3.9</v>
      </c>
      <c r="G236" s="10">
        <v>61.0</v>
      </c>
      <c r="K236" s="17"/>
    </row>
    <row r="237">
      <c r="A237" s="7" t="s">
        <v>269</v>
      </c>
      <c r="B237" s="7" t="s">
        <v>15</v>
      </c>
      <c r="C237" s="8">
        <v>599.0</v>
      </c>
      <c r="D237" s="8">
        <v>849.0</v>
      </c>
      <c r="E237" s="19">
        <v>0.29</v>
      </c>
      <c r="F237" s="10">
        <v>4.5</v>
      </c>
      <c r="G237" s="10">
        <v>474.0</v>
      </c>
      <c r="K237" s="17"/>
    </row>
    <row r="238">
      <c r="A238" s="7" t="s">
        <v>270</v>
      </c>
      <c r="B238" s="7" t="s">
        <v>71</v>
      </c>
      <c r="C238" s="8">
        <v>399.0</v>
      </c>
      <c r="D238" s="8">
        <v>899.0</v>
      </c>
      <c r="E238" s="19">
        <v>0.56</v>
      </c>
      <c r="F238" s="10">
        <v>3.4</v>
      </c>
      <c r="G238" s="10">
        <v>431.0</v>
      </c>
      <c r="K238" s="17"/>
    </row>
    <row r="239">
      <c r="A239" s="7" t="s">
        <v>271</v>
      </c>
      <c r="B239" s="7" t="s">
        <v>15</v>
      </c>
      <c r="C239" s="8">
        <v>449.0</v>
      </c>
      <c r="D239" s="8">
        <v>1099.0</v>
      </c>
      <c r="E239" s="19">
        <v>0.59</v>
      </c>
      <c r="F239" s="10">
        <v>4.0</v>
      </c>
      <c r="G239" s="10">
        <v>242.0</v>
      </c>
      <c r="K239" s="17"/>
    </row>
    <row r="240">
      <c r="A240" s="7" t="s">
        <v>272</v>
      </c>
      <c r="B240" s="7" t="s">
        <v>15</v>
      </c>
      <c r="C240" s="8">
        <v>254.0</v>
      </c>
      <c r="D240" s="8">
        <v>799.0</v>
      </c>
      <c r="E240" s="19">
        <v>0.68</v>
      </c>
      <c r="F240" s="10">
        <v>4.0</v>
      </c>
      <c r="G240" s="11">
        <v>2905.0</v>
      </c>
      <c r="K240" s="17"/>
    </row>
    <row r="241">
      <c r="A241" s="7" t="s">
        <v>273</v>
      </c>
      <c r="B241" s="7" t="s">
        <v>274</v>
      </c>
      <c r="C241" s="8">
        <v>399.0</v>
      </c>
      <c r="D241" s="8">
        <v>795.0</v>
      </c>
      <c r="E241" s="19">
        <v>0.5</v>
      </c>
      <c r="F241" s="10">
        <v>4.4</v>
      </c>
      <c r="G241" s="11">
        <v>12091.0</v>
      </c>
      <c r="K241" s="17"/>
    </row>
    <row r="242">
      <c r="A242" s="7" t="s">
        <v>275</v>
      </c>
      <c r="B242" s="7" t="s">
        <v>15</v>
      </c>
      <c r="C242" s="8">
        <v>179.0</v>
      </c>
      <c r="D242" s="8">
        <v>399.0</v>
      </c>
      <c r="E242" s="19">
        <v>0.55</v>
      </c>
      <c r="F242" s="10">
        <v>4.0</v>
      </c>
      <c r="G242" s="11">
        <v>1423.0</v>
      </c>
      <c r="K242" s="17"/>
    </row>
    <row r="243">
      <c r="A243" s="7" t="s">
        <v>276</v>
      </c>
      <c r="B243" s="7" t="s">
        <v>15</v>
      </c>
      <c r="C243" s="8">
        <v>339.0</v>
      </c>
      <c r="D243" s="8">
        <v>999.0</v>
      </c>
      <c r="E243" s="19">
        <v>0.66</v>
      </c>
      <c r="F243" s="10">
        <v>4.3</v>
      </c>
      <c r="G243" s="11">
        <v>6255.0</v>
      </c>
      <c r="K243" s="17"/>
    </row>
    <row r="244">
      <c r="A244" s="7" t="s">
        <v>277</v>
      </c>
      <c r="B244" s="7" t="s">
        <v>93</v>
      </c>
      <c r="C244" s="8">
        <v>399.0</v>
      </c>
      <c r="D244" s="8">
        <v>999.0</v>
      </c>
      <c r="E244" s="19">
        <v>0.6</v>
      </c>
      <c r="F244" s="10">
        <v>4.0</v>
      </c>
      <c r="G244" s="11">
        <v>1236.0</v>
      </c>
      <c r="K244" s="17"/>
    </row>
    <row r="245">
      <c r="A245" s="7" t="s">
        <v>278</v>
      </c>
      <c r="B245" s="7" t="s">
        <v>71</v>
      </c>
      <c r="C245" s="8">
        <v>199.0</v>
      </c>
      <c r="D245" s="8">
        <v>399.0</v>
      </c>
      <c r="E245" s="19">
        <v>0.5</v>
      </c>
      <c r="F245" s="10">
        <v>4.2</v>
      </c>
      <c r="G245" s="11">
        <v>1335.0</v>
      </c>
      <c r="K245" s="17"/>
    </row>
    <row r="246">
      <c r="A246" s="7" t="s">
        <v>279</v>
      </c>
      <c r="B246" s="7" t="s">
        <v>71</v>
      </c>
      <c r="C246" s="8">
        <v>349.0</v>
      </c>
      <c r="D246" s="8">
        <v>1999.0</v>
      </c>
      <c r="E246" s="19">
        <v>0.83</v>
      </c>
      <c r="F246" s="10">
        <v>3.8</v>
      </c>
      <c r="G246" s="10">
        <v>197.0</v>
      </c>
      <c r="K246" s="17"/>
    </row>
    <row r="247">
      <c r="A247" s="7" t="s">
        <v>280</v>
      </c>
      <c r="B247" s="7" t="s">
        <v>15</v>
      </c>
      <c r="C247" s="8">
        <v>299.0</v>
      </c>
      <c r="D247" s="8">
        <v>798.0</v>
      </c>
      <c r="E247" s="19">
        <v>0.63</v>
      </c>
      <c r="F247" s="10">
        <v>4.4</v>
      </c>
      <c r="G247" s="11">
        <v>28791.0</v>
      </c>
      <c r="K247" s="17"/>
    </row>
    <row r="248">
      <c r="A248" s="7" t="s">
        <v>281</v>
      </c>
      <c r="B248" s="7" t="s">
        <v>15</v>
      </c>
      <c r="C248" s="8">
        <v>89.0</v>
      </c>
      <c r="D248" s="8">
        <v>800.0</v>
      </c>
      <c r="E248" s="19">
        <v>0.89</v>
      </c>
      <c r="F248" s="10">
        <v>3.9</v>
      </c>
      <c r="G248" s="11">
        <v>1075.0</v>
      </c>
      <c r="K248" s="17"/>
    </row>
    <row r="249">
      <c r="A249" s="7" t="s">
        <v>282</v>
      </c>
      <c r="B249" s="7" t="s">
        <v>15</v>
      </c>
      <c r="C249" s="8">
        <v>549.0</v>
      </c>
      <c r="D249" s="8">
        <v>995.0</v>
      </c>
      <c r="E249" s="19">
        <v>0.45</v>
      </c>
      <c r="F249" s="10">
        <v>4.2</v>
      </c>
      <c r="G249" s="11">
        <v>29746.0</v>
      </c>
      <c r="K249" s="17"/>
    </row>
    <row r="250">
      <c r="A250" s="7" t="s">
        <v>283</v>
      </c>
      <c r="B250" s="7" t="s">
        <v>15</v>
      </c>
      <c r="C250" s="8">
        <v>129.0</v>
      </c>
      <c r="D250" s="8">
        <v>1000.0</v>
      </c>
      <c r="E250" s="19">
        <v>0.87</v>
      </c>
      <c r="F250" s="10">
        <v>3.9</v>
      </c>
      <c r="G250" s="10">
        <v>295.0</v>
      </c>
      <c r="K250" s="17"/>
    </row>
    <row r="251">
      <c r="A251" s="7" t="s">
        <v>284</v>
      </c>
      <c r="B251" s="7" t="s">
        <v>37</v>
      </c>
      <c r="C251" s="8">
        <v>77990.0</v>
      </c>
      <c r="D251" s="8" t="s">
        <v>285</v>
      </c>
      <c r="E251" s="19">
        <v>0.44</v>
      </c>
      <c r="F251" s="10">
        <v>4.7</v>
      </c>
      <c r="G251" s="11">
        <v>5935.0</v>
      </c>
      <c r="K251" s="17"/>
    </row>
    <row r="252">
      <c r="A252" s="7" t="s">
        <v>286</v>
      </c>
      <c r="B252" s="7" t="s">
        <v>71</v>
      </c>
      <c r="C252" s="8">
        <v>349.0</v>
      </c>
      <c r="D252" s="8">
        <v>799.0</v>
      </c>
      <c r="E252" s="19">
        <v>0.56</v>
      </c>
      <c r="F252" s="10">
        <v>3.6</v>
      </c>
      <c r="G252" s="10">
        <v>323.0</v>
      </c>
      <c r="K252" s="17"/>
    </row>
    <row r="253">
      <c r="A253" s="7" t="s">
        <v>287</v>
      </c>
      <c r="B253" s="7" t="s">
        <v>71</v>
      </c>
      <c r="C253" s="8">
        <v>499.0</v>
      </c>
      <c r="D253" s="8">
        <v>899.0</v>
      </c>
      <c r="E253" s="19">
        <v>0.44</v>
      </c>
      <c r="F253" s="10">
        <v>3.7</v>
      </c>
      <c r="G253" s="10">
        <v>185.0</v>
      </c>
      <c r="K253" s="17"/>
    </row>
    <row r="254">
      <c r="A254" s="7" t="s">
        <v>288</v>
      </c>
      <c r="B254" s="7" t="s">
        <v>15</v>
      </c>
      <c r="C254" s="8">
        <v>299.0</v>
      </c>
      <c r="D254" s="8">
        <v>799.0</v>
      </c>
      <c r="E254" s="19">
        <v>0.63</v>
      </c>
      <c r="F254" s="10">
        <v>4.2</v>
      </c>
      <c r="G254" s="11">
        <v>2117.0</v>
      </c>
      <c r="K254" s="17"/>
    </row>
    <row r="255">
      <c r="A255" s="7" t="s">
        <v>289</v>
      </c>
      <c r="B255" s="7" t="s">
        <v>15</v>
      </c>
      <c r="C255" s="8">
        <v>182.0</v>
      </c>
      <c r="D255" s="8">
        <v>599.0</v>
      </c>
      <c r="E255" s="19">
        <v>0.7</v>
      </c>
      <c r="F255" s="10">
        <v>4.0</v>
      </c>
      <c r="G255" s="11">
        <v>9378.0</v>
      </c>
      <c r="K255" s="17"/>
    </row>
    <row r="256">
      <c r="A256" s="7" t="s">
        <v>290</v>
      </c>
      <c r="B256" s="7" t="s">
        <v>93</v>
      </c>
      <c r="C256" s="8">
        <v>96.0</v>
      </c>
      <c r="D256" s="8">
        <v>399.0</v>
      </c>
      <c r="E256" s="19">
        <v>0.76</v>
      </c>
      <c r="F256" s="10">
        <v>3.6</v>
      </c>
      <c r="G256" s="11">
        <v>1796.0</v>
      </c>
      <c r="K256" s="17"/>
    </row>
    <row r="257">
      <c r="A257" s="7" t="s">
        <v>291</v>
      </c>
      <c r="B257" s="7" t="s">
        <v>37</v>
      </c>
      <c r="C257" s="8">
        <v>54990.0</v>
      </c>
      <c r="D257" s="8">
        <v>85000.0</v>
      </c>
      <c r="E257" s="19">
        <v>0.35</v>
      </c>
      <c r="F257" s="10">
        <v>4.3</v>
      </c>
      <c r="G257" s="11">
        <v>3587.0</v>
      </c>
      <c r="K257" s="17"/>
    </row>
    <row r="258">
      <c r="A258" s="7" t="s">
        <v>292</v>
      </c>
      <c r="B258" s="7" t="s">
        <v>155</v>
      </c>
      <c r="C258" s="8">
        <v>439.0</v>
      </c>
      <c r="D258" s="8">
        <v>758.0</v>
      </c>
      <c r="E258" s="19">
        <v>0.42</v>
      </c>
      <c r="F258" s="10">
        <v>4.2</v>
      </c>
      <c r="G258" s="11">
        <v>4296.0</v>
      </c>
      <c r="K258" s="17"/>
    </row>
    <row r="259">
      <c r="A259" s="7" t="s">
        <v>293</v>
      </c>
      <c r="B259" s="7" t="s">
        <v>15</v>
      </c>
      <c r="C259" s="8">
        <v>299.0</v>
      </c>
      <c r="D259" s="8">
        <v>999.0</v>
      </c>
      <c r="E259" s="19">
        <v>0.7</v>
      </c>
      <c r="F259" s="10">
        <v>4.3</v>
      </c>
      <c r="G259" s="11">
        <v>2651.0</v>
      </c>
      <c r="K259" s="17"/>
    </row>
    <row r="260">
      <c r="A260" s="7" t="s">
        <v>294</v>
      </c>
      <c r="B260" s="7" t="s">
        <v>15</v>
      </c>
      <c r="C260" s="8">
        <v>299.0</v>
      </c>
      <c r="D260" s="8">
        <v>799.0</v>
      </c>
      <c r="E260" s="19">
        <v>0.63</v>
      </c>
      <c r="F260" s="10">
        <v>4.2</v>
      </c>
      <c r="G260" s="11">
        <v>94363.0</v>
      </c>
      <c r="K260" s="17"/>
    </row>
    <row r="261">
      <c r="A261" s="7" t="s">
        <v>295</v>
      </c>
      <c r="B261" s="7" t="s">
        <v>15</v>
      </c>
      <c r="C261" s="8">
        <v>789.0</v>
      </c>
      <c r="D261" s="8">
        <v>1999.0</v>
      </c>
      <c r="E261" s="19">
        <v>0.61</v>
      </c>
      <c r="F261" s="10">
        <v>4.2</v>
      </c>
      <c r="G261" s="11">
        <v>34540.0</v>
      </c>
      <c r="K261" s="17"/>
    </row>
    <row r="262">
      <c r="A262" s="7" t="s">
        <v>296</v>
      </c>
      <c r="B262" s="7" t="s">
        <v>31</v>
      </c>
      <c r="C262" s="8">
        <v>299.0</v>
      </c>
      <c r="D262" s="8">
        <v>700.0</v>
      </c>
      <c r="E262" s="19">
        <v>0.57</v>
      </c>
      <c r="F262" s="10">
        <v>4.4</v>
      </c>
      <c r="G262" s="11">
        <v>8714.0</v>
      </c>
      <c r="K262" s="17"/>
    </row>
    <row r="263">
      <c r="A263" s="7" t="s">
        <v>297</v>
      </c>
      <c r="B263" s="7" t="s">
        <v>15</v>
      </c>
      <c r="C263" s="8">
        <v>325.0</v>
      </c>
      <c r="D263" s="8">
        <v>1099.0</v>
      </c>
      <c r="E263" s="19">
        <v>0.7</v>
      </c>
      <c r="F263" s="10">
        <v>4.2</v>
      </c>
      <c r="G263" s="11">
        <v>10576.0</v>
      </c>
      <c r="K263" s="17"/>
    </row>
    <row r="264">
      <c r="A264" s="7" t="s">
        <v>298</v>
      </c>
      <c r="B264" s="7" t="s">
        <v>15</v>
      </c>
      <c r="C264" s="8">
        <v>1299.0</v>
      </c>
      <c r="D264" s="8">
        <v>1999.0</v>
      </c>
      <c r="E264" s="19">
        <v>0.35</v>
      </c>
      <c r="F264" s="10">
        <v>4.4</v>
      </c>
      <c r="G264" s="11">
        <v>7318.0</v>
      </c>
      <c r="K264" s="17"/>
    </row>
    <row r="265">
      <c r="A265" s="7" t="s">
        <v>299</v>
      </c>
      <c r="B265" s="7" t="s">
        <v>71</v>
      </c>
      <c r="C265" s="8">
        <v>790.0</v>
      </c>
      <c r="D265" s="8">
        <v>1999.0</v>
      </c>
      <c r="E265" s="19">
        <v>0.6</v>
      </c>
      <c r="F265" s="10">
        <v>3.0</v>
      </c>
      <c r="G265" s="10">
        <v>103.0</v>
      </c>
      <c r="K265" s="17"/>
    </row>
    <row r="266">
      <c r="A266" s="7" t="s">
        <v>300</v>
      </c>
      <c r="B266" s="7" t="s">
        <v>301</v>
      </c>
      <c r="C266" s="8">
        <v>4699.0</v>
      </c>
      <c r="D266" s="8">
        <v>4699.0</v>
      </c>
      <c r="E266" s="19">
        <v>0.0</v>
      </c>
      <c r="F266" s="10">
        <v>4.5</v>
      </c>
      <c r="G266" s="10">
        <v>224.0</v>
      </c>
      <c r="K266" s="17"/>
    </row>
    <row r="267">
      <c r="A267" s="7" t="s">
        <v>302</v>
      </c>
      <c r="B267" s="7" t="s">
        <v>37</v>
      </c>
      <c r="C267" s="8">
        <v>18999.0</v>
      </c>
      <c r="D267" s="8">
        <v>24990.0</v>
      </c>
      <c r="E267" s="19">
        <v>0.24</v>
      </c>
      <c r="F267" s="10">
        <v>4.3</v>
      </c>
      <c r="G267" s="11">
        <v>4702.0</v>
      </c>
      <c r="K267" s="17"/>
    </row>
    <row r="268">
      <c r="A268" s="7" t="s">
        <v>303</v>
      </c>
      <c r="B268" s="7" t="s">
        <v>15</v>
      </c>
      <c r="C268" s="8">
        <v>199.0</v>
      </c>
      <c r="D268" s="8">
        <v>999.0</v>
      </c>
      <c r="E268" s="19">
        <v>0.8</v>
      </c>
      <c r="F268" s="10">
        <v>4.2</v>
      </c>
      <c r="G268" s="10">
        <v>85.0</v>
      </c>
      <c r="K268" s="17"/>
    </row>
    <row r="269">
      <c r="A269" s="7" t="s">
        <v>304</v>
      </c>
      <c r="B269" s="7" t="s">
        <v>31</v>
      </c>
      <c r="C269" s="8">
        <v>269.0</v>
      </c>
      <c r="D269" s="8">
        <v>650.0</v>
      </c>
      <c r="E269" s="19">
        <v>0.59</v>
      </c>
      <c r="F269" s="10">
        <v>4.4</v>
      </c>
      <c r="G269" s="11">
        <v>35877.0</v>
      </c>
      <c r="K269" s="17"/>
    </row>
    <row r="270">
      <c r="A270" s="7" t="s">
        <v>305</v>
      </c>
      <c r="B270" s="7" t="s">
        <v>306</v>
      </c>
      <c r="C270" s="8">
        <v>1990.0</v>
      </c>
      <c r="D270" s="8">
        <v>3100.0</v>
      </c>
      <c r="E270" s="19">
        <v>0.36</v>
      </c>
      <c r="F270" s="10">
        <v>4.0</v>
      </c>
      <c r="G270" s="10">
        <v>897.0</v>
      </c>
      <c r="K270" s="17"/>
    </row>
    <row r="271">
      <c r="A271" s="7" t="s">
        <v>307</v>
      </c>
      <c r="B271" s="7" t="s">
        <v>308</v>
      </c>
      <c r="C271" s="8">
        <v>2299.0</v>
      </c>
      <c r="D271" s="8">
        <v>3999.0</v>
      </c>
      <c r="E271" s="19">
        <v>0.43</v>
      </c>
      <c r="F271" s="10">
        <v>3.8</v>
      </c>
      <c r="G271" s="10">
        <v>282.0</v>
      </c>
      <c r="K271" s="17"/>
    </row>
    <row r="272">
      <c r="A272" s="7" t="s">
        <v>309</v>
      </c>
      <c r="B272" s="7" t="s">
        <v>37</v>
      </c>
      <c r="C272" s="8">
        <v>35999.0</v>
      </c>
      <c r="D272" s="8">
        <v>49990.0</v>
      </c>
      <c r="E272" s="19">
        <v>0.28</v>
      </c>
      <c r="F272" s="10">
        <v>4.3</v>
      </c>
      <c r="G272" s="11">
        <v>1611.0</v>
      </c>
      <c r="K272" s="17"/>
    </row>
    <row r="273">
      <c r="A273" s="7" t="s">
        <v>310</v>
      </c>
      <c r="B273" s="7" t="s">
        <v>71</v>
      </c>
      <c r="C273" s="8">
        <v>349.0</v>
      </c>
      <c r="D273" s="8">
        <v>999.0</v>
      </c>
      <c r="E273" s="19">
        <v>0.65</v>
      </c>
      <c r="F273" s="10">
        <v>4.2</v>
      </c>
      <c r="G273" s="10">
        <v>513.0</v>
      </c>
      <c r="K273" s="17"/>
    </row>
    <row r="274">
      <c r="A274" s="7" t="s">
        <v>311</v>
      </c>
      <c r="B274" s="7" t="s">
        <v>15</v>
      </c>
      <c r="C274" s="8">
        <v>719.0</v>
      </c>
      <c r="D274" s="8">
        <v>1499.0</v>
      </c>
      <c r="E274" s="19">
        <v>0.52</v>
      </c>
      <c r="F274" s="10">
        <v>4.1</v>
      </c>
      <c r="G274" s="11">
        <v>1045.0</v>
      </c>
      <c r="K274" s="17"/>
    </row>
    <row r="275">
      <c r="A275" s="7" t="s">
        <v>312</v>
      </c>
      <c r="B275" s="7" t="s">
        <v>37</v>
      </c>
      <c r="C275" s="8">
        <v>8999.0</v>
      </c>
      <c r="D275" s="8">
        <v>18999.0</v>
      </c>
      <c r="E275" s="19">
        <v>0.53</v>
      </c>
      <c r="F275" s="10">
        <v>4.0</v>
      </c>
      <c r="G275" s="11">
        <v>6347.0</v>
      </c>
      <c r="K275" s="17"/>
    </row>
    <row r="276">
      <c r="A276" s="7" t="s">
        <v>313</v>
      </c>
      <c r="B276" s="7" t="s">
        <v>257</v>
      </c>
      <c r="C276" s="8">
        <v>917.0</v>
      </c>
      <c r="D276" s="8">
        <v>2299.0</v>
      </c>
      <c r="E276" s="19">
        <v>0.6</v>
      </c>
      <c r="F276" s="10">
        <v>4.2</v>
      </c>
      <c r="G276" s="11">
        <v>3300.0</v>
      </c>
      <c r="K276" s="17"/>
    </row>
    <row r="277">
      <c r="A277" s="7" t="s">
        <v>314</v>
      </c>
      <c r="B277" s="7" t="s">
        <v>71</v>
      </c>
      <c r="C277" s="8">
        <v>399.0</v>
      </c>
      <c r="D277" s="8">
        <v>999.0</v>
      </c>
      <c r="E277" s="19">
        <v>0.6</v>
      </c>
      <c r="F277" s="10">
        <v>3.3</v>
      </c>
      <c r="G277" s="10">
        <v>23.0</v>
      </c>
      <c r="K277" s="17"/>
    </row>
    <row r="278">
      <c r="A278" s="7" t="s">
        <v>315</v>
      </c>
      <c r="B278" s="7" t="s">
        <v>37</v>
      </c>
      <c r="C278" s="8">
        <v>45999.0</v>
      </c>
      <c r="D278" s="8">
        <v>69900.0</v>
      </c>
      <c r="E278" s="19">
        <v>0.34</v>
      </c>
      <c r="F278" s="10">
        <v>4.3</v>
      </c>
      <c r="G278" s="11">
        <v>7109.0</v>
      </c>
      <c r="K278" s="17"/>
    </row>
    <row r="279">
      <c r="A279" s="7" t="s">
        <v>316</v>
      </c>
      <c r="B279" s="7" t="s">
        <v>15</v>
      </c>
      <c r="C279" s="8">
        <v>119.0</v>
      </c>
      <c r="D279" s="8">
        <v>299.0</v>
      </c>
      <c r="E279" s="19">
        <v>0.6</v>
      </c>
      <c r="F279" s="10">
        <v>3.8</v>
      </c>
      <c r="G279" s="10">
        <v>51.0</v>
      </c>
      <c r="K279" s="17"/>
    </row>
    <row r="280">
      <c r="A280" s="7" t="s">
        <v>317</v>
      </c>
      <c r="B280" s="7" t="s">
        <v>37</v>
      </c>
      <c r="C280" s="8">
        <v>21999.0</v>
      </c>
      <c r="D280" s="8">
        <v>29999.0</v>
      </c>
      <c r="E280" s="19">
        <v>0.27</v>
      </c>
      <c r="F280" s="10">
        <v>4.2</v>
      </c>
      <c r="G280" s="11">
        <v>32840.0</v>
      </c>
      <c r="K280" s="17"/>
    </row>
    <row r="281">
      <c r="A281" s="7" t="s">
        <v>318</v>
      </c>
      <c r="B281" s="7" t="s">
        <v>71</v>
      </c>
      <c r="C281" s="8">
        <v>299.0</v>
      </c>
      <c r="D281" s="8">
        <v>599.0</v>
      </c>
      <c r="E281" s="19">
        <v>0.5</v>
      </c>
      <c r="F281" s="10">
        <v>3.7</v>
      </c>
      <c r="G281" s="10">
        <v>708.0</v>
      </c>
      <c r="K281" s="17"/>
    </row>
    <row r="282">
      <c r="A282" s="7" t="s">
        <v>319</v>
      </c>
      <c r="B282" s="7" t="s">
        <v>37</v>
      </c>
      <c r="C282" s="8">
        <v>21990.0</v>
      </c>
      <c r="D282" s="8">
        <v>34990.0</v>
      </c>
      <c r="E282" s="19">
        <v>0.37</v>
      </c>
      <c r="F282" s="10">
        <v>4.3</v>
      </c>
      <c r="G282" s="11">
        <v>1657.0</v>
      </c>
      <c r="K282" s="17"/>
    </row>
    <row r="283">
      <c r="A283" s="7" t="s">
        <v>320</v>
      </c>
      <c r="B283" s="7" t="s">
        <v>15</v>
      </c>
      <c r="C283" s="8">
        <v>417.44</v>
      </c>
      <c r="D283" s="8">
        <v>670.0</v>
      </c>
      <c r="E283" s="19">
        <v>0.38</v>
      </c>
      <c r="F283" s="10">
        <v>3.9</v>
      </c>
      <c r="G283" s="10">
        <v>523.0</v>
      </c>
      <c r="K283" s="17"/>
    </row>
    <row r="284">
      <c r="A284" s="7" t="s">
        <v>321</v>
      </c>
      <c r="B284" s="7" t="s">
        <v>15</v>
      </c>
      <c r="C284" s="8">
        <v>199.0</v>
      </c>
      <c r="D284" s="8">
        <v>999.0</v>
      </c>
      <c r="E284" s="19">
        <v>0.8</v>
      </c>
      <c r="F284" s="10">
        <v>3.0</v>
      </c>
      <c r="G284" s="7"/>
      <c r="K284" s="17"/>
    </row>
    <row r="285">
      <c r="A285" s="7" t="s">
        <v>322</v>
      </c>
      <c r="B285" s="7" t="s">
        <v>37</v>
      </c>
      <c r="C285" s="8">
        <v>47990.0</v>
      </c>
      <c r="D285" s="8">
        <v>79990.0</v>
      </c>
      <c r="E285" s="19">
        <v>0.4</v>
      </c>
      <c r="F285" s="10">
        <v>4.3</v>
      </c>
      <c r="G285" s="11">
        <v>1376.0</v>
      </c>
      <c r="K285" s="17"/>
    </row>
    <row r="286">
      <c r="A286" s="7" t="s">
        <v>323</v>
      </c>
      <c r="B286" s="7" t="s">
        <v>71</v>
      </c>
      <c r="C286" s="8">
        <v>215.0</v>
      </c>
      <c r="D286" s="8">
        <v>499.0</v>
      </c>
      <c r="E286" s="19">
        <v>0.57</v>
      </c>
      <c r="F286" s="10">
        <v>3.5</v>
      </c>
      <c r="G286" s="10">
        <v>121.0</v>
      </c>
      <c r="K286" s="17"/>
    </row>
    <row r="287">
      <c r="A287" s="7" t="s">
        <v>324</v>
      </c>
      <c r="B287" s="7" t="s">
        <v>15</v>
      </c>
      <c r="C287" s="8">
        <v>99.0</v>
      </c>
      <c r="D287" s="8">
        <v>800.0</v>
      </c>
      <c r="E287" s="19">
        <v>0.88</v>
      </c>
      <c r="F287" s="10">
        <v>3.9</v>
      </c>
      <c r="G287" s="11">
        <v>1075.0</v>
      </c>
      <c r="K287" s="17"/>
    </row>
    <row r="288">
      <c r="A288" s="7" t="s">
        <v>325</v>
      </c>
      <c r="B288" s="7" t="s">
        <v>37</v>
      </c>
      <c r="C288" s="8">
        <v>18999.0</v>
      </c>
      <c r="D288" s="8">
        <v>35000.0</v>
      </c>
      <c r="E288" s="19">
        <v>0.46</v>
      </c>
      <c r="F288" s="10">
        <v>4.0</v>
      </c>
      <c r="G288" s="11">
        <v>1001.0</v>
      </c>
      <c r="K288" s="17"/>
    </row>
    <row r="289">
      <c r="A289" s="7" t="s">
        <v>326</v>
      </c>
      <c r="B289" s="7" t="s">
        <v>15</v>
      </c>
      <c r="C289" s="8">
        <v>249.0</v>
      </c>
      <c r="D289" s="8">
        <v>999.0</v>
      </c>
      <c r="E289" s="19">
        <v>0.75</v>
      </c>
      <c r="F289" s="10">
        <v>4.3</v>
      </c>
      <c r="G289" s="10">
        <v>112.0</v>
      </c>
      <c r="K289" s="17"/>
    </row>
    <row r="290">
      <c r="A290" s="7" t="s">
        <v>327</v>
      </c>
      <c r="B290" s="7" t="s">
        <v>77</v>
      </c>
      <c r="C290" s="8">
        <v>7999.0</v>
      </c>
      <c r="D290" s="8">
        <v>15999.0</v>
      </c>
      <c r="E290" s="19">
        <v>0.5</v>
      </c>
      <c r="F290" s="10">
        <v>3.8</v>
      </c>
      <c r="G290" s="11">
        <v>3022.0</v>
      </c>
      <c r="K290" s="17"/>
    </row>
    <row r="291">
      <c r="A291" s="7" t="s">
        <v>328</v>
      </c>
      <c r="B291" s="7" t="s">
        <v>15</v>
      </c>
      <c r="C291" s="8">
        <v>649.0</v>
      </c>
      <c r="D291" s="8">
        <v>1600.0</v>
      </c>
      <c r="E291" s="19">
        <v>0.59</v>
      </c>
      <c r="F291" s="10">
        <v>4.3</v>
      </c>
      <c r="G291" s="11">
        <v>5451.0</v>
      </c>
      <c r="K291" s="17"/>
    </row>
    <row r="292">
      <c r="A292" s="7" t="s">
        <v>104</v>
      </c>
      <c r="B292" s="7" t="s">
        <v>71</v>
      </c>
      <c r="C292" s="8">
        <v>1289.0</v>
      </c>
      <c r="D292" s="8">
        <v>2499.0</v>
      </c>
      <c r="E292" s="19">
        <v>0.48</v>
      </c>
      <c r="F292" s="10">
        <v>3.3</v>
      </c>
      <c r="G292" s="10">
        <v>73.0</v>
      </c>
      <c r="K292" s="17"/>
    </row>
    <row r="293">
      <c r="A293" s="7" t="s">
        <v>329</v>
      </c>
      <c r="B293" s="7" t="s">
        <v>31</v>
      </c>
      <c r="C293" s="8">
        <v>609.0</v>
      </c>
      <c r="D293" s="8">
        <v>1500.0</v>
      </c>
      <c r="E293" s="19">
        <v>0.59</v>
      </c>
      <c r="F293" s="10">
        <v>4.5</v>
      </c>
      <c r="G293" s="11">
        <v>1029.0</v>
      </c>
      <c r="K293" s="17"/>
    </row>
    <row r="294">
      <c r="A294" s="7" t="s">
        <v>330</v>
      </c>
      <c r="B294" s="7" t="s">
        <v>37</v>
      </c>
      <c r="C294" s="8">
        <v>32990.0</v>
      </c>
      <c r="D294" s="8">
        <v>54990.0</v>
      </c>
      <c r="E294" s="19">
        <v>0.4</v>
      </c>
      <c r="F294" s="10">
        <v>4.1</v>
      </c>
      <c r="G294" s="11">
        <v>1555.0</v>
      </c>
      <c r="K294" s="17"/>
    </row>
    <row r="295">
      <c r="A295" s="7" t="s">
        <v>331</v>
      </c>
      <c r="B295" s="7" t="s">
        <v>31</v>
      </c>
      <c r="C295" s="8">
        <v>599.0</v>
      </c>
      <c r="D295" s="8">
        <v>1999.0</v>
      </c>
      <c r="E295" s="19">
        <v>0.7</v>
      </c>
      <c r="F295" s="10">
        <v>4.2</v>
      </c>
      <c r="G295" s="10">
        <v>47.0</v>
      </c>
      <c r="K295" s="17"/>
    </row>
    <row r="296">
      <c r="A296" s="7" t="s">
        <v>332</v>
      </c>
      <c r="B296" s="7" t="s">
        <v>15</v>
      </c>
      <c r="C296" s="8">
        <v>349.0</v>
      </c>
      <c r="D296" s="8">
        <v>899.0</v>
      </c>
      <c r="E296" s="19">
        <v>0.61</v>
      </c>
      <c r="F296" s="10">
        <v>4.1</v>
      </c>
      <c r="G296" s="11">
        <v>14896.0</v>
      </c>
      <c r="K296" s="17"/>
    </row>
    <row r="297">
      <c r="A297" s="7" t="s">
        <v>333</v>
      </c>
      <c r="B297" s="7" t="s">
        <v>37</v>
      </c>
      <c r="C297" s="8">
        <v>29999.0</v>
      </c>
      <c r="D297" s="8">
        <v>50999.0</v>
      </c>
      <c r="E297" s="19">
        <v>0.41</v>
      </c>
      <c r="F297" s="10">
        <v>4.4</v>
      </c>
      <c r="G297" s="11">
        <v>1712.0</v>
      </c>
      <c r="K297" s="17"/>
    </row>
    <row r="298">
      <c r="A298" s="7" t="s">
        <v>278</v>
      </c>
      <c r="B298" s="7" t="s">
        <v>71</v>
      </c>
      <c r="C298" s="8">
        <v>199.0</v>
      </c>
      <c r="D298" s="8">
        <v>399.0</v>
      </c>
      <c r="E298" s="19">
        <v>0.5</v>
      </c>
      <c r="F298" s="10">
        <v>4.2</v>
      </c>
      <c r="G298" s="11">
        <v>1335.0</v>
      </c>
      <c r="K298" s="17"/>
    </row>
    <row r="299">
      <c r="A299" s="7" t="s">
        <v>334</v>
      </c>
      <c r="B299" s="7" t="s">
        <v>71</v>
      </c>
      <c r="C299" s="8">
        <v>349.0</v>
      </c>
      <c r="D299" s="8">
        <v>699.0</v>
      </c>
      <c r="E299" s="19">
        <v>0.5</v>
      </c>
      <c r="F299" s="10">
        <v>3.9</v>
      </c>
      <c r="G299" s="10">
        <v>214.0</v>
      </c>
      <c r="K299" s="17"/>
    </row>
    <row r="300">
      <c r="A300" s="7" t="s">
        <v>335</v>
      </c>
      <c r="B300" s="7" t="s">
        <v>93</v>
      </c>
      <c r="C300" s="8">
        <v>1850.0</v>
      </c>
      <c r="D300" s="8">
        <v>4500.0</v>
      </c>
      <c r="E300" s="19">
        <v>0.59</v>
      </c>
      <c r="F300" s="10">
        <v>4.0</v>
      </c>
      <c r="G300" s="10">
        <v>184.0</v>
      </c>
      <c r="K300" s="17"/>
    </row>
    <row r="301">
      <c r="A301" s="7" t="s">
        <v>336</v>
      </c>
      <c r="B301" s="7" t="s">
        <v>187</v>
      </c>
      <c r="C301" s="8">
        <v>13990.0</v>
      </c>
      <c r="D301" s="8">
        <v>28900.0</v>
      </c>
      <c r="E301" s="19">
        <v>0.52</v>
      </c>
      <c r="F301" s="10">
        <v>4.5</v>
      </c>
      <c r="G301" s="10">
        <v>7.0</v>
      </c>
      <c r="K301" s="17"/>
    </row>
    <row r="302">
      <c r="A302" s="7" t="s">
        <v>337</v>
      </c>
      <c r="B302" s="7" t="s">
        <v>15</v>
      </c>
      <c r="C302" s="8">
        <v>129.0</v>
      </c>
      <c r="D302" s="8">
        <v>449.0</v>
      </c>
      <c r="E302" s="19">
        <v>0.71</v>
      </c>
      <c r="F302" s="10">
        <v>3.7</v>
      </c>
      <c r="G302" s="10">
        <v>41.0</v>
      </c>
      <c r="K302" s="17"/>
    </row>
    <row r="303">
      <c r="A303" s="7" t="s">
        <v>338</v>
      </c>
      <c r="B303" s="7" t="s">
        <v>31</v>
      </c>
      <c r="C303" s="8">
        <v>379.0</v>
      </c>
      <c r="D303" s="8">
        <v>999.0</v>
      </c>
      <c r="E303" s="19">
        <v>0.62</v>
      </c>
      <c r="F303" s="10">
        <v>4.2</v>
      </c>
      <c r="G303" s="11">
        <v>12153.0</v>
      </c>
      <c r="K303" s="17"/>
    </row>
    <row r="304">
      <c r="A304" s="7" t="s">
        <v>339</v>
      </c>
      <c r="B304" s="7" t="s">
        <v>31</v>
      </c>
      <c r="C304" s="8">
        <v>185.0</v>
      </c>
      <c r="D304" s="8">
        <v>499.0</v>
      </c>
      <c r="E304" s="19">
        <v>0.63</v>
      </c>
      <c r="F304" s="10">
        <v>4.2</v>
      </c>
      <c r="G304" s="10">
        <v>25.0</v>
      </c>
      <c r="K304" s="17"/>
    </row>
    <row r="305">
      <c r="A305" s="7" t="s">
        <v>340</v>
      </c>
      <c r="B305" s="7" t="s">
        <v>25</v>
      </c>
      <c r="C305" s="8">
        <v>218.0</v>
      </c>
      <c r="D305" s="8">
        <v>999.0</v>
      </c>
      <c r="E305" s="19">
        <v>0.78</v>
      </c>
      <c r="F305" s="10">
        <v>4.2</v>
      </c>
      <c r="G305" s="10">
        <v>163.0</v>
      </c>
      <c r="K305" s="17"/>
    </row>
    <row r="306">
      <c r="A306" s="7" t="s">
        <v>341</v>
      </c>
      <c r="B306" s="7" t="s">
        <v>15</v>
      </c>
      <c r="C306" s="8">
        <v>199.0</v>
      </c>
      <c r="D306" s="8">
        <v>999.0</v>
      </c>
      <c r="E306" s="19">
        <v>0.8</v>
      </c>
      <c r="F306" s="10">
        <v>4.3</v>
      </c>
      <c r="G306" s="10">
        <v>87.0</v>
      </c>
      <c r="K306" s="17"/>
    </row>
    <row r="307">
      <c r="A307" s="7" t="s">
        <v>342</v>
      </c>
      <c r="B307" s="7" t="s">
        <v>31</v>
      </c>
      <c r="C307" s="8">
        <v>499.0</v>
      </c>
      <c r="D307" s="8">
        <v>900.0</v>
      </c>
      <c r="E307" s="19">
        <v>0.45</v>
      </c>
      <c r="F307" s="10">
        <v>4.4</v>
      </c>
      <c r="G307" s="11">
        <v>2165.0</v>
      </c>
      <c r="K307" s="17"/>
    </row>
    <row r="308">
      <c r="A308" s="7" t="s">
        <v>343</v>
      </c>
      <c r="B308" s="7" t="s">
        <v>37</v>
      </c>
      <c r="C308" s="8">
        <v>26999.0</v>
      </c>
      <c r="D308" s="8">
        <v>42999.0</v>
      </c>
      <c r="E308" s="19">
        <v>0.37</v>
      </c>
      <c r="F308" s="10">
        <v>4.2</v>
      </c>
      <c r="G308" s="11">
        <v>1510.0</v>
      </c>
      <c r="K308" s="17"/>
    </row>
    <row r="309">
      <c r="A309" s="7" t="s">
        <v>344</v>
      </c>
      <c r="B309" s="7" t="s">
        <v>93</v>
      </c>
      <c r="C309" s="8">
        <v>893.0</v>
      </c>
      <c r="D309" s="8">
        <v>1052.0</v>
      </c>
      <c r="E309" s="19">
        <v>0.15</v>
      </c>
      <c r="F309" s="10">
        <v>4.3</v>
      </c>
      <c r="G309" s="10">
        <v>106.0</v>
      </c>
      <c r="K309" s="17"/>
    </row>
    <row r="310">
      <c r="A310" s="7" t="s">
        <v>345</v>
      </c>
      <c r="B310" s="7" t="s">
        <v>37</v>
      </c>
      <c r="C310" s="8">
        <v>10990.0</v>
      </c>
      <c r="D310" s="8">
        <v>19990.0</v>
      </c>
      <c r="E310" s="19">
        <v>0.45</v>
      </c>
      <c r="F310" s="10">
        <v>3.7</v>
      </c>
      <c r="G310" s="10">
        <v>129.0</v>
      </c>
      <c r="K310" s="17"/>
    </row>
    <row r="311">
      <c r="A311" s="7" t="s">
        <v>346</v>
      </c>
      <c r="B311" s="7" t="s">
        <v>15</v>
      </c>
      <c r="C311" s="8">
        <v>379.0</v>
      </c>
      <c r="D311" s="8">
        <v>1099.0</v>
      </c>
      <c r="E311" s="19">
        <v>0.66</v>
      </c>
      <c r="F311" s="10">
        <v>4.3</v>
      </c>
      <c r="G311" s="11">
        <v>3049.0</v>
      </c>
      <c r="K311" s="17"/>
    </row>
    <row r="312">
      <c r="A312" s="7" t="s">
        <v>347</v>
      </c>
      <c r="B312" s="7" t="s">
        <v>37</v>
      </c>
      <c r="C312" s="8">
        <v>16999.0</v>
      </c>
      <c r="D312" s="8">
        <v>25999.0</v>
      </c>
      <c r="E312" s="19">
        <v>0.35</v>
      </c>
      <c r="F312" s="10">
        <v>4.2</v>
      </c>
      <c r="G312" s="11">
        <v>32840.0</v>
      </c>
      <c r="K312" s="17"/>
    </row>
    <row r="313">
      <c r="A313" s="7" t="s">
        <v>348</v>
      </c>
      <c r="B313" s="7" t="s">
        <v>31</v>
      </c>
      <c r="C313" s="8">
        <v>699.0</v>
      </c>
      <c r="D313" s="8">
        <v>1899.0</v>
      </c>
      <c r="E313" s="19">
        <v>0.63</v>
      </c>
      <c r="F313" s="10">
        <v>4.4</v>
      </c>
      <c r="G313" s="10">
        <v>390.0</v>
      </c>
      <c r="K313" s="17"/>
    </row>
    <row r="314">
      <c r="A314" s="7" t="s">
        <v>349</v>
      </c>
      <c r="B314" s="7" t="s">
        <v>350</v>
      </c>
      <c r="C314" s="8">
        <v>2699.0</v>
      </c>
      <c r="D314" s="8">
        <v>3500.0</v>
      </c>
      <c r="E314" s="19">
        <v>0.23</v>
      </c>
      <c r="F314" s="10">
        <v>3.5</v>
      </c>
      <c r="G314" s="10">
        <v>621.0</v>
      </c>
      <c r="K314" s="17"/>
    </row>
    <row r="315">
      <c r="A315" s="7" t="s">
        <v>351</v>
      </c>
      <c r="B315" s="7" t="s">
        <v>15</v>
      </c>
      <c r="C315" s="8">
        <v>129.0</v>
      </c>
      <c r="D315" s="8">
        <v>599.0</v>
      </c>
      <c r="E315" s="19">
        <v>0.78</v>
      </c>
      <c r="F315" s="10">
        <v>4.1</v>
      </c>
      <c r="G315" s="10">
        <v>265.0</v>
      </c>
      <c r="K315" s="17"/>
    </row>
    <row r="316">
      <c r="A316" s="7" t="s">
        <v>352</v>
      </c>
      <c r="B316" s="7" t="s">
        <v>15</v>
      </c>
      <c r="C316" s="8">
        <v>389.0</v>
      </c>
      <c r="D316" s="8">
        <v>999.0</v>
      </c>
      <c r="E316" s="19">
        <v>0.61</v>
      </c>
      <c r="F316" s="10">
        <v>4.3</v>
      </c>
      <c r="G316" s="10">
        <v>838.0</v>
      </c>
      <c r="K316" s="17"/>
    </row>
    <row r="317">
      <c r="A317" s="7" t="s">
        <v>353</v>
      </c>
      <c r="B317" s="7" t="s">
        <v>71</v>
      </c>
      <c r="C317" s="8">
        <v>246.0</v>
      </c>
      <c r="D317" s="8">
        <v>600.0</v>
      </c>
      <c r="E317" s="19">
        <v>0.59</v>
      </c>
      <c r="F317" s="10">
        <v>4.2</v>
      </c>
      <c r="G317" s="10">
        <v>143.0</v>
      </c>
      <c r="K317" s="17"/>
    </row>
    <row r="318">
      <c r="A318" s="7" t="s">
        <v>354</v>
      </c>
      <c r="B318" s="7" t="s">
        <v>15</v>
      </c>
      <c r="C318" s="8">
        <v>299.0</v>
      </c>
      <c r="D318" s="8">
        <v>799.0</v>
      </c>
      <c r="E318" s="19">
        <v>0.63</v>
      </c>
      <c r="F318" s="10">
        <v>4.0</v>
      </c>
      <c r="G318" s="10">
        <v>151.0</v>
      </c>
      <c r="K318" s="17"/>
    </row>
    <row r="319">
      <c r="A319" s="7" t="s">
        <v>355</v>
      </c>
      <c r="B319" s="7" t="s">
        <v>71</v>
      </c>
      <c r="C319" s="8">
        <v>247.0</v>
      </c>
      <c r="D319" s="8">
        <v>399.0</v>
      </c>
      <c r="E319" s="19">
        <v>0.38</v>
      </c>
      <c r="F319" s="10">
        <v>3.9</v>
      </c>
      <c r="G319" s="10">
        <v>200.0</v>
      </c>
      <c r="K319" s="17"/>
    </row>
    <row r="320">
      <c r="A320" s="7" t="s">
        <v>356</v>
      </c>
      <c r="B320" s="7" t="s">
        <v>71</v>
      </c>
      <c r="C320" s="8">
        <v>1369.0</v>
      </c>
      <c r="D320" s="8">
        <v>2999.0</v>
      </c>
      <c r="E320" s="19">
        <v>0.54</v>
      </c>
      <c r="F320" s="10">
        <v>3.3</v>
      </c>
      <c r="G320" s="10">
        <v>227.0</v>
      </c>
      <c r="K320" s="17"/>
    </row>
    <row r="321">
      <c r="A321" s="7" t="s">
        <v>357</v>
      </c>
      <c r="B321" s="7" t="s">
        <v>71</v>
      </c>
      <c r="C321" s="8">
        <v>199.0</v>
      </c>
      <c r="D321" s="8">
        <v>499.0</v>
      </c>
      <c r="E321" s="19">
        <v>0.6</v>
      </c>
      <c r="F321" s="10">
        <v>3.8</v>
      </c>
      <c r="G321" s="10">
        <v>538.0</v>
      </c>
      <c r="K321" s="17"/>
    </row>
    <row r="322">
      <c r="A322" s="7" t="s">
        <v>358</v>
      </c>
      <c r="B322" s="7" t="s">
        <v>31</v>
      </c>
      <c r="C322" s="8">
        <v>299.0</v>
      </c>
      <c r="D322" s="8">
        <v>599.0</v>
      </c>
      <c r="E322" s="19">
        <v>0.5</v>
      </c>
      <c r="F322" s="10">
        <v>4.0</v>
      </c>
      <c r="G322" s="10">
        <v>171.0</v>
      </c>
      <c r="K322" s="17"/>
    </row>
    <row r="323">
      <c r="A323" s="7" t="s">
        <v>359</v>
      </c>
      <c r="B323" s="7" t="s">
        <v>37</v>
      </c>
      <c r="C323" s="8">
        <v>14999.0</v>
      </c>
      <c r="D323" s="8">
        <v>14999.0</v>
      </c>
      <c r="E323" s="19">
        <v>0.0</v>
      </c>
      <c r="F323" s="10">
        <v>4.3</v>
      </c>
      <c r="G323" s="11">
        <v>27508.0</v>
      </c>
      <c r="K323" s="17"/>
    </row>
    <row r="324">
      <c r="A324" s="7" t="s">
        <v>360</v>
      </c>
      <c r="B324" s="7" t="s">
        <v>15</v>
      </c>
      <c r="C324" s="8">
        <v>299.0</v>
      </c>
      <c r="D324" s="8">
        <v>699.0</v>
      </c>
      <c r="E324" s="19">
        <v>0.57</v>
      </c>
      <c r="F324" s="10">
        <v>3.9</v>
      </c>
      <c r="G324" s="11">
        <v>1454.0</v>
      </c>
      <c r="K324" s="17"/>
    </row>
    <row r="325">
      <c r="A325" s="7" t="s">
        <v>361</v>
      </c>
      <c r="B325" s="7" t="s">
        <v>37</v>
      </c>
      <c r="C325" s="8">
        <v>24990.0</v>
      </c>
      <c r="D325" s="8">
        <v>51990.0</v>
      </c>
      <c r="E325" s="19">
        <v>0.52</v>
      </c>
      <c r="F325" s="10">
        <v>4.2</v>
      </c>
      <c r="G325" s="11">
        <v>2951.0</v>
      </c>
      <c r="K325" s="17"/>
    </row>
    <row r="326">
      <c r="A326" s="7" t="s">
        <v>362</v>
      </c>
      <c r="B326" s="7" t="s">
        <v>15</v>
      </c>
      <c r="C326" s="8">
        <v>249.0</v>
      </c>
      <c r="D326" s="8">
        <v>999.0</v>
      </c>
      <c r="E326" s="19">
        <v>0.75</v>
      </c>
      <c r="F326" s="10">
        <v>5.0</v>
      </c>
      <c r="G326" s="7"/>
      <c r="K326" s="17"/>
    </row>
    <row r="327">
      <c r="A327" s="7" t="s">
        <v>363</v>
      </c>
      <c r="B327" s="7" t="s">
        <v>37</v>
      </c>
      <c r="C327" s="8">
        <v>61999.0</v>
      </c>
      <c r="D327" s="8">
        <v>69999.0</v>
      </c>
      <c r="E327" s="19">
        <v>0.11</v>
      </c>
      <c r="F327" s="10">
        <v>4.1</v>
      </c>
      <c r="G327" s="11">
        <v>6753.0</v>
      </c>
      <c r="K327" s="17"/>
    </row>
    <row r="328">
      <c r="A328" s="7" t="s">
        <v>364</v>
      </c>
      <c r="B328" s="7" t="s">
        <v>37</v>
      </c>
      <c r="C328" s="8">
        <v>24499.0</v>
      </c>
      <c r="D328" s="8">
        <v>50000.0</v>
      </c>
      <c r="E328" s="19">
        <v>0.51</v>
      </c>
      <c r="F328" s="10">
        <v>3.9</v>
      </c>
      <c r="G328" s="11">
        <v>3518.0</v>
      </c>
      <c r="K328" s="17"/>
    </row>
    <row r="329">
      <c r="A329" s="7" t="s">
        <v>365</v>
      </c>
      <c r="B329" s="7" t="s">
        <v>37</v>
      </c>
      <c r="C329" s="8">
        <v>10499.0</v>
      </c>
      <c r="D329" s="8">
        <v>19499.0</v>
      </c>
      <c r="E329" s="19">
        <v>0.46</v>
      </c>
      <c r="F329" s="10">
        <v>4.2</v>
      </c>
      <c r="G329" s="11">
        <v>1510.0</v>
      </c>
      <c r="K329" s="17"/>
    </row>
    <row r="330">
      <c r="A330" s="7" t="s">
        <v>366</v>
      </c>
      <c r="B330" s="7" t="s">
        <v>15</v>
      </c>
      <c r="C330" s="8">
        <v>349.0</v>
      </c>
      <c r="D330" s="8">
        <v>999.0</v>
      </c>
      <c r="E330" s="19">
        <v>0.65</v>
      </c>
      <c r="F330" s="10">
        <v>4.3</v>
      </c>
      <c r="G330" s="10">
        <v>838.0</v>
      </c>
      <c r="K330" s="17"/>
    </row>
    <row r="331">
      <c r="A331" s="7" t="s">
        <v>367</v>
      </c>
      <c r="B331" s="7" t="s">
        <v>71</v>
      </c>
      <c r="C331" s="8">
        <v>197.0</v>
      </c>
      <c r="D331" s="8">
        <v>499.0</v>
      </c>
      <c r="E331" s="19">
        <v>0.61</v>
      </c>
      <c r="F331" s="10">
        <v>3.8</v>
      </c>
      <c r="G331" s="10">
        <v>136.0</v>
      </c>
      <c r="K331" s="17"/>
    </row>
    <row r="332">
      <c r="A332" s="7" t="s">
        <v>368</v>
      </c>
      <c r="B332" s="7" t="s">
        <v>257</v>
      </c>
      <c r="C332" s="8">
        <v>1299.0</v>
      </c>
      <c r="D332" s="8">
        <v>2499.0</v>
      </c>
      <c r="E332" s="19">
        <v>0.48</v>
      </c>
      <c r="F332" s="10">
        <v>4.3</v>
      </c>
      <c r="G332" s="10">
        <v>301.0</v>
      </c>
      <c r="K332" s="17"/>
    </row>
    <row r="333">
      <c r="A333" s="7" t="s">
        <v>369</v>
      </c>
      <c r="B333" s="7" t="s">
        <v>15</v>
      </c>
      <c r="C333" s="8">
        <v>1519.0</v>
      </c>
      <c r="D333" s="8">
        <v>1899.0</v>
      </c>
      <c r="E333" s="19">
        <v>0.2</v>
      </c>
      <c r="F333" s="10">
        <v>4.4</v>
      </c>
      <c r="G333" s="11">
        <v>19763.0</v>
      </c>
      <c r="K333" s="17"/>
    </row>
    <row r="334">
      <c r="A334" s="7" t="s">
        <v>370</v>
      </c>
      <c r="B334" s="7" t="s">
        <v>37</v>
      </c>
      <c r="C334" s="8">
        <v>46999.0</v>
      </c>
      <c r="D334" s="8">
        <v>69999.0</v>
      </c>
      <c r="E334" s="19">
        <v>0.33</v>
      </c>
      <c r="F334" s="10">
        <v>4.3</v>
      </c>
      <c r="G334" s="11">
        <v>21252.0</v>
      </c>
      <c r="K334" s="17"/>
    </row>
    <row r="335">
      <c r="A335" s="7" t="s">
        <v>371</v>
      </c>
      <c r="B335" s="7" t="s">
        <v>15</v>
      </c>
      <c r="C335" s="8">
        <v>299.0</v>
      </c>
      <c r="D335" s="8">
        <v>799.0</v>
      </c>
      <c r="E335" s="19">
        <v>0.63</v>
      </c>
      <c r="F335" s="10">
        <v>4.3</v>
      </c>
      <c r="G335" s="11">
        <v>1902.0</v>
      </c>
      <c r="K335" s="17"/>
    </row>
    <row r="336">
      <c r="A336" s="7" t="s">
        <v>372</v>
      </c>
      <c r="B336" s="7" t="s">
        <v>373</v>
      </c>
      <c r="C336" s="8">
        <v>1799.0</v>
      </c>
      <c r="D336" s="8">
        <v>19999.0</v>
      </c>
      <c r="E336" s="19">
        <v>0.91</v>
      </c>
      <c r="F336" s="10">
        <v>4.2</v>
      </c>
      <c r="G336" s="11">
        <v>13937.0</v>
      </c>
      <c r="K336" s="17"/>
    </row>
    <row r="337">
      <c r="A337" s="7" t="s">
        <v>374</v>
      </c>
      <c r="B337" s="7" t="s">
        <v>373</v>
      </c>
      <c r="C337" s="8">
        <v>1998.0</v>
      </c>
      <c r="D337" s="8">
        <v>9999.0</v>
      </c>
      <c r="E337" s="19">
        <v>0.8</v>
      </c>
      <c r="F337" s="10">
        <v>4.3</v>
      </c>
      <c r="G337" s="11">
        <v>27696.0</v>
      </c>
      <c r="K337" s="17"/>
    </row>
    <row r="338">
      <c r="A338" s="7" t="s">
        <v>375</v>
      </c>
      <c r="B338" s="7" t="s">
        <v>373</v>
      </c>
      <c r="C338" s="8">
        <v>1999.0</v>
      </c>
      <c r="D338" s="8">
        <v>7990.0</v>
      </c>
      <c r="E338" s="19">
        <v>0.75</v>
      </c>
      <c r="F338" s="10">
        <v>3.8</v>
      </c>
      <c r="G338" s="11">
        <v>17831.0</v>
      </c>
      <c r="K338" s="17"/>
    </row>
    <row r="339">
      <c r="A339" s="7" t="s">
        <v>376</v>
      </c>
      <c r="B339" s="7" t="s">
        <v>377</v>
      </c>
      <c r="C339" s="8">
        <v>2049.0</v>
      </c>
      <c r="D339" s="8">
        <v>2199.0</v>
      </c>
      <c r="E339" s="19">
        <v>0.07</v>
      </c>
      <c r="F339" s="10">
        <v>4.3</v>
      </c>
      <c r="G339" s="7" t="s">
        <v>378</v>
      </c>
      <c r="K339" s="17"/>
    </row>
    <row r="340">
      <c r="A340" s="7" t="s">
        <v>379</v>
      </c>
      <c r="B340" s="7" t="s">
        <v>380</v>
      </c>
      <c r="C340" s="8">
        <v>6499.0</v>
      </c>
      <c r="D340" s="8">
        <v>8999.0</v>
      </c>
      <c r="E340" s="19">
        <v>0.28</v>
      </c>
      <c r="F340" s="10">
        <v>4.0</v>
      </c>
      <c r="G340" s="11">
        <v>7807.0</v>
      </c>
      <c r="K340" s="17"/>
    </row>
    <row r="341">
      <c r="A341" s="7" t="s">
        <v>381</v>
      </c>
      <c r="B341" s="7" t="s">
        <v>380</v>
      </c>
      <c r="C341" s="8">
        <v>28999.0</v>
      </c>
      <c r="D341" s="8">
        <v>28999.0</v>
      </c>
      <c r="E341" s="19">
        <v>0.0</v>
      </c>
      <c r="F341" s="10">
        <v>4.3</v>
      </c>
      <c r="G341" s="11">
        <v>17415.0</v>
      </c>
      <c r="K341" s="17"/>
    </row>
    <row r="342">
      <c r="A342" s="7" t="s">
        <v>382</v>
      </c>
      <c r="B342" s="7" t="s">
        <v>380</v>
      </c>
      <c r="C342" s="8">
        <v>28999.0</v>
      </c>
      <c r="D342" s="8">
        <v>28999.0</v>
      </c>
      <c r="E342" s="19">
        <v>0.0</v>
      </c>
      <c r="F342" s="10">
        <v>4.3</v>
      </c>
      <c r="G342" s="11">
        <v>17415.0</v>
      </c>
      <c r="K342" s="17"/>
    </row>
    <row r="343">
      <c r="A343" s="7" t="s">
        <v>383</v>
      </c>
      <c r="B343" s="7" t="s">
        <v>380</v>
      </c>
      <c r="C343" s="8">
        <v>6499.0</v>
      </c>
      <c r="D343" s="8">
        <v>8999.0</v>
      </c>
      <c r="E343" s="19">
        <v>0.28</v>
      </c>
      <c r="F343" s="10">
        <v>4.0</v>
      </c>
      <c r="G343" s="11">
        <v>7807.0</v>
      </c>
      <c r="K343" s="17"/>
    </row>
    <row r="344">
      <c r="A344" s="7" t="s">
        <v>384</v>
      </c>
      <c r="B344" s="7" t="s">
        <v>380</v>
      </c>
      <c r="C344" s="8">
        <v>6499.0</v>
      </c>
      <c r="D344" s="8">
        <v>8999.0</v>
      </c>
      <c r="E344" s="19">
        <v>0.28</v>
      </c>
      <c r="F344" s="10">
        <v>4.0</v>
      </c>
      <c r="G344" s="11">
        <v>7807.0</v>
      </c>
      <c r="K344" s="17"/>
    </row>
    <row r="345">
      <c r="A345" s="7" t="s">
        <v>385</v>
      </c>
      <c r="B345" s="7" t="s">
        <v>386</v>
      </c>
      <c r="C345" s="8">
        <v>569.0</v>
      </c>
      <c r="D345" s="8">
        <v>1000.0</v>
      </c>
      <c r="E345" s="19">
        <v>0.43</v>
      </c>
      <c r="F345" s="10">
        <v>4.4</v>
      </c>
      <c r="G345" s="11">
        <v>67259.0</v>
      </c>
      <c r="K345" s="17"/>
    </row>
    <row r="346">
      <c r="A346" s="7" t="s">
        <v>387</v>
      </c>
      <c r="B346" s="7" t="s">
        <v>373</v>
      </c>
      <c r="C346" s="8">
        <v>1898.0</v>
      </c>
      <c r="D346" s="8">
        <v>4999.0</v>
      </c>
      <c r="E346" s="19">
        <v>0.62</v>
      </c>
      <c r="F346" s="10">
        <v>4.1</v>
      </c>
      <c r="G346" s="11">
        <v>10689.0</v>
      </c>
      <c r="K346" s="17"/>
    </row>
    <row r="347">
      <c r="A347" s="7" t="s">
        <v>388</v>
      </c>
      <c r="B347" s="7" t="s">
        <v>389</v>
      </c>
      <c r="C347" s="8">
        <v>1299.0</v>
      </c>
      <c r="D347" s="8">
        <v>1599.0</v>
      </c>
      <c r="E347" s="19">
        <v>0.19</v>
      </c>
      <c r="F347" s="10">
        <v>4.0</v>
      </c>
      <c r="G347" s="7" t="s">
        <v>390</v>
      </c>
      <c r="K347" s="17"/>
    </row>
    <row r="348">
      <c r="A348" s="7" t="s">
        <v>391</v>
      </c>
      <c r="B348" s="7" t="s">
        <v>373</v>
      </c>
      <c r="C348" s="8">
        <v>1499.0</v>
      </c>
      <c r="D348" s="8">
        <v>6990.0</v>
      </c>
      <c r="E348" s="19">
        <v>0.79</v>
      </c>
      <c r="F348" s="10">
        <v>3.9</v>
      </c>
      <c r="G348" s="11">
        <v>21796.0</v>
      </c>
      <c r="K348" s="17"/>
    </row>
    <row r="349">
      <c r="A349" s="7" t="s">
        <v>392</v>
      </c>
      <c r="B349" s="7" t="s">
        <v>393</v>
      </c>
      <c r="C349" s="8">
        <v>599.0</v>
      </c>
      <c r="D349" s="8">
        <v>999.0</v>
      </c>
      <c r="E349" s="19">
        <v>0.4</v>
      </c>
      <c r="F349" s="10">
        <v>4.1</v>
      </c>
      <c r="G349" s="7" t="s">
        <v>394</v>
      </c>
      <c r="K349" s="17"/>
    </row>
    <row r="350">
      <c r="A350" s="7" t="s">
        <v>395</v>
      </c>
      <c r="B350" s="7" t="s">
        <v>380</v>
      </c>
      <c r="C350" s="8">
        <v>9499.0</v>
      </c>
      <c r="D350" s="8">
        <v>11999.0</v>
      </c>
      <c r="E350" s="19">
        <v>0.21</v>
      </c>
      <c r="F350" s="10">
        <v>4.2</v>
      </c>
      <c r="G350" s="10">
        <v>284.0</v>
      </c>
      <c r="K350" s="17"/>
    </row>
    <row r="351">
      <c r="A351" s="7" t="s">
        <v>396</v>
      </c>
      <c r="B351" s="7" t="s">
        <v>393</v>
      </c>
      <c r="C351" s="8">
        <v>599.0</v>
      </c>
      <c r="D351" s="8">
        <v>2499.0</v>
      </c>
      <c r="E351" s="19">
        <v>0.76</v>
      </c>
      <c r="F351" s="10">
        <v>3.9</v>
      </c>
      <c r="G351" s="11">
        <v>58162.0</v>
      </c>
      <c r="K351" s="17"/>
    </row>
    <row r="352">
      <c r="A352" s="7" t="s">
        <v>397</v>
      </c>
      <c r="B352" s="7" t="s">
        <v>380</v>
      </c>
      <c r="C352" s="8">
        <v>8999.0</v>
      </c>
      <c r="D352" s="8">
        <v>11999.0</v>
      </c>
      <c r="E352" s="19">
        <v>0.25</v>
      </c>
      <c r="F352" s="10">
        <v>4.0</v>
      </c>
      <c r="G352" s="11">
        <v>12796.0</v>
      </c>
      <c r="K352" s="17"/>
    </row>
    <row r="353">
      <c r="A353" s="7" t="s">
        <v>398</v>
      </c>
      <c r="B353" s="7" t="s">
        <v>399</v>
      </c>
      <c r="C353" s="8">
        <v>349.0</v>
      </c>
      <c r="D353" s="8">
        <v>1299.0</v>
      </c>
      <c r="E353" s="19">
        <v>0.73</v>
      </c>
      <c r="F353" s="10">
        <v>4.0</v>
      </c>
      <c r="G353" s="11">
        <v>14282.0</v>
      </c>
      <c r="K353" s="17"/>
    </row>
    <row r="354">
      <c r="A354" s="7" t="s">
        <v>400</v>
      </c>
      <c r="B354" s="7" t="s">
        <v>393</v>
      </c>
      <c r="C354" s="8">
        <v>349.0</v>
      </c>
      <c r="D354" s="8">
        <v>999.0</v>
      </c>
      <c r="E354" s="19">
        <v>0.65</v>
      </c>
      <c r="F354" s="10">
        <v>4.1</v>
      </c>
      <c r="G354" s="7" t="s">
        <v>401</v>
      </c>
      <c r="K354" s="17"/>
    </row>
    <row r="355">
      <c r="A355" s="7" t="s">
        <v>402</v>
      </c>
      <c r="B355" s="7" t="s">
        <v>386</v>
      </c>
      <c r="C355" s="8">
        <v>959.0</v>
      </c>
      <c r="D355" s="8">
        <v>1800.0</v>
      </c>
      <c r="E355" s="19">
        <v>0.47</v>
      </c>
      <c r="F355" s="10">
        <v>4.4</v>
      </c>
      <c r="G355" s="11">
        <v>67259.0</v>
      </c>
      <c r="K355" s="17"/>
    </row>
    <row r="356">
      <c r="A356" s="7" t="s">
        <v>403</v>
      </c>
      <c r="B356" s="7" t="s">
        <v>380</v>
      </c>
      <c r="C356" s="8">
        <v>9499.0</v>
      </c>
      <c r="D356" s="8">
        <v>11999.0</v>
      </c>
      <c r="E356" s="19">
        <v>0.21</v>
      </c>
      <c r="F356" s="10">
        <v>4.2</v>
      </c>
      <c r="G356" s="10">
        <v>284.0</v>
      </c>
      <c r="K356" s="17"/>
    </row>
    <row r="357">
      <c r="A357" s="7" t="s">
        <v>404</v>
      </c>
      <c r="B357" s="7" t="s">
        <v>377</v>
      </c>
      <c r="C357" s="8">
        <v>1499.0</v>
      </c>
      <c r="D357" s="8">
        <v>2499.0</v>
      </c>
      <c r="E357" s="19">
        <v>0.4</v>
      </c>
      <c r="F357" s="10">
        <v>4.3</v>
      </c>
      <c r="G357" s="11">
        <v>15970.0</v>
      </c>
      <c r="K357" s="17"/>
    </row>
    <row r="358">
      <c r="A358" s="7" t="s">
        <v>405</v>
      </c>
      <c r="B358" s="7" t="s">
        <v>377</v>
      </c>
      <c r="C358" s="8">
        <v>1149.0</v>
      </c>
      <c r="D358" s="8">
        <v>2199.0</v>
      </c>
      <c r="E358" s="19">
        <v>0.48</v>
      </c>
      <c r="F358" s="10">
        <v>4.3</v>
      </c>
      <c r="G358" s="7" t="s">
        <v>378</v>
      </c>
      <c r="K358" s="17"/>
    </row>
    <row r="359">
      <c r="A359" s="7" t="s">
        <v>406</v>
      </c>
      <c r="B359" s="7" t="s">
        <v>407</v>
      </c>
      <c r="C359" s="8">
        <v>349.0</v>
      </c>
      <c r="D359" s="8">
        <v>999.0</v>
      </c>
      <c r="E359" s="19">
        <v>0.65</v>
      </c>
      <c r="F359" s="10">
        <v>3.9</v>
      </c>
      <c r="G359" s="11">
        <v>46399.0</v>
      </c>
      <c r="K359" s="17"/>
    </row>
    <row r="360">
      <c r="A360" s="7" t="s">
        <v>408</v>
      </c>
      <c r="B360" s="7" t="s">
        <v>409</v>
      </c>
      <c r="C360" s="8">
        <v>1219.0</v>
      </c>
      <c r="D360" s="8">
        <v>1699.0</v>
      </c>
      <c r="E360" s="19">
        <v>0.28</v>
      </c>
      <c r="F360" s="10">
        <v>4.4</v>
      </c>
      <c r="G360" s="11">
        <v>8891.0</v>
      </c>
      <c r="K360" s="17"/>
    </row>
    <row r="361">
      <c r="A361" s="7" t="s">
        <v>410</v>
      </c>
      <c r="B361" s="7" t="s">
        <v>373</v>
      </c>
      <c r="C361" s="8">
        <v>1599.0</v>
      </c>
      <c r="D361" s="8">
        <v>3999.0</v>
      </c>
      <c r="E361" s="19">
        <v>0.6</v>
      </c>
      <c r="F361" s="10">
        <v>4.0</v>
      </c>
      <c r="G361" s="11">
        <v>30254.0</v>
      </c>
      <c r="K361" s="17"/>
    </row>
    <row r="362">
      <c r="A362" s="7" t="s">
        <v>411</v>
      </c>
      <c r="B362" s="7" t="s">
        <v>373</v>
      </c>
      <c r="C362" s="8">
        <v>1499.0</v>
      </c>
      <c r="D362" s="8">
        <v>7999.0</v>
      </c>
      <c r="E362" s="19">
        <v>0.81</v>
      </c>
      <c r="F362" s="10">
        <v>4.2</v>
      </c>
      <c r="G362" s="11">
        <v>22636.0</v>
      </c>
      <c r="K362" s="17"/>
    </row>
    <row r="363">
      <c r="A363" s="7" t="s">
        <v>412</v>
      </c>
      <c r="B363" s="7" t="s">
        <v>380</v>
      </c>
      <c r="C363" s="8">
        <v>18499.0</v>
      </c>
      <c r="D363" s="8">
        <v>25999.0</v>
      </c>
      <c r="E363" s="19">
        <v>0.29</v>
      </c>
      <c r="F363" s="10">
        <v>4.1</v>
      </c>
      <c r="G363" s="11">
        <v>22318.0</v>
      </c>
      <c r="K363" s="17"/>
    </row>
    <row r="364">
      <c r="A364" s="7" t="s">
        <v>413</v>
      </c>
      <c r="B364" s="7" t="s">
        <v>386</v>
      </c>
      <c r="C364" s="8">
        <v>369.0</v>
      </c>
      <c r="D364" s="8">
        <v>700.0</v>
      </c>
      <c r="E364" s="19">
        <v>0.47</v>
      </c>
      <c r="F364" s="10">
        <v>4.4</v>
      </c>
      <c r="G364" s="11">
        <v>67259.0</v>
      </c>
      <c r="K364" s="17"/>
    </row>
    <row r="365">
      <c r="A365" s="7" t="s">
        <v>414</v>
      </c>
      <c r="B365" s="7" t="s">
        <v>380</v>
      </c>
      <c r="C365" s="8">
        <v>12999.0</v>
      </c>
      <c r="D365" s="8">
        <v>17999.0</v>
      </c>
      <c r="E365" s="19">
        <v>0.28</v>
      </c>
      <c r="F365" s="10">
        <v>4.1</v>
      </c>
      <c r="G365" s="11">
        <v>18998.0</v>
      </c>
      <c r="K365" s="17"/>
    </row>
    <row r="366">
      <c r="A366" s="7" t="s">
        <v>372</v>
      </c>
      <c r="B366" s="7" t="s">
        <v>373</v>
      </c>
      <c r="C366" s="8">
        <v>1799.0</v>
      </c>
      <c r="D366" s="8">
        <v>19999.0</v>
      </c>
      <c r="E366" s="19">
        <v>0.91</v>
      </c>
      <c r="F366" s="10">
        <v>4.2</v>
      </c>
      <c r="G366" s="11">
        <v>13937.0</v>
      </c>
      <c r="K366" s="17"/>
    </row>
    <row r="367">
      <c r="A367" s="7" t="s">
        <v>415</v>
      </c>
      <c r="B367" s="7" t="s">
        <v>373</v>
      </c>
      <c r="C367" s="8">
        <v>2199.0</v>
      </c>
      <c r="D367" s="8">
        <v>9999.0</v>
      </c>
      <c r="E367" s="19">
        <v>0.78</v>
      </c>
      <c r="F367" s="10">
        <v>4.2</v>
      </c>
      <c r="G367" s="11">
        <v>29471.0</v>
      </c>
      <c r="K367" s="17"/>
    </row>
    <row r="368">
      <c r="A368" s="7" t="s">
        <v>416</v>
      </c>
      <c r="B368" s="7" t="s">
        <v>380</v>
      </c>
      <c r="C368" s="8">
        <v>16999.0</v>
      </c>
      <c r="D368" s="8">
        <v>24999.0</v>
      </c>
      <c r="E368" s="19">
        <v>0.32</v>
      </c>
      <c r="F368" s="10">
        <v>4.1</v>
      </c>
      <c r="G368" s="11">
        <v>22318.0</v>
      </c>
      <c r="K368" s="17"/>
    </row>
    <row r="369">
      <c r="A369" s="7" t="s">
        <v>417</v>
      </c>
      <c r="B369" s="7" t="s">
        <v>380</v>
      </c>
      <c r="C369" s="8">
        <v>16499.0</v>
      </c>
      <c r="D369" s="8">
        <v>20999.0</v>
      </c>
      <c r="E369" s="19">
        <v>0.21</v>
      </c>
      <c r="F369" s="10">
        <v>4.0</v>
      </c>
      <c r="G369" s="11">
        <v>21350.0</v>
      </c>
      <c r="K369" s="17"/>
    </row>
    <row r="370">
      <c r="A370" s="7" t="s">
        <v>372</v>
      </c>
      <c r="B370" s="7" t="s">
        <v>373</v>
      </c>
      <c r="C370" s="8">
        <v>1799.0</v>
      </c>
      <c r="D370" s="8">
        <v>19999.0</v>
      </c>
      <c r="E370" s="19">
        <v>0.91</v>
      </c>
      <c r="F370" s="10">
        <v>4.2</v>
      </c>
      <c r="G370" s="11">
        <v>13937.0</v>
      </c>
      <c r="K370" s="17"/>
    </row>
    <row r="371">
      <c r="A371" s="7" t="s">
        <v>14</v>
      </c>
      <c r="B371" s="7" t="s">
        <v>15</v>
      </c>
      <c r="C371" s="8">
        <v>399.0</v>
      </c>
      <c r="D371" s="8">
        <v>1099.0</v>
      </c>
      <c r="E371" s="19">
        <v>0.64</v>
      </c>
      <c r="F371" s="10">
        <v>4.2</v>
      </c>
      <c r="G371" s="11">
        <v>24270.0</v>
      </c>
      <c r="K371" s="17"/>
    </row>
    <row r="372">
      <c r="A372" s="7" t="s">
        <v>418</v>
      </c>
      <c r="B372" s="7" t="s">
        <v>380</v>
      </c>
      <c r="C372" s="8">
        <v>8499.0</v>
      </c>
      <c r="D372" s="8">
        <v>10999.0</v>
      </c>
      <c r="E372" s="19">
        <v>0.23</v>
      </c>
      <c r="F372" s="10">
        <v>4.1</v>
      </c>
      <c r="G372" s="7" t="s">
        <v>419</v>
      </c>
      <c r="K372" s="17"/>
    </row>
    <row r="373">
      <c r="A373" s="7" t="s">
        <v>420</v>
      </c>
      <c r="B373" s="7" t="s">
        <v>380</v>
      </c>
      <c r="C373" s="8">
        <v>6499.0</v>
      </c>
      <c r="D373" s="8">
        <v>8499.0</v>
      </c>
      <c r="E373" s="19">
        <v>0.24</v>
      </c>
      <c r="F373" s="10">
        <v>4.1</v>
      </c>
      <c r="G373" s="7" t="s">
        <v>419</v>
      </c>
      <c r="K373" s="17"/>
    </row>
    <row r="374">
      <c r="A374" s="7" t="s">
        <v>372</v>
      </c>
      <c r="B374" s="7" t="s">
        <v>373</v>
      </c>
      <c r="C374" s="8">
        <v>1799.0</v>
      </c>
      <c r="D374" s="8">
        <v>19999.0</v>
      </c>
      <c r="E374" s="19">
        <v>0.91</v>
      </c>
      <c r="F374" s="10">
        <v>4.2</v>
      </c>
      <c r="G374" s="11">
        <v>13937.0</v>
      </c>
      <c r="K374" s="17"/>
    </row>
    <row r="375">
      <c r="A375" s="7" t="s">
        <v>421</v>
      </c>
      <c r="B375" s="7" t="s">
        <v>380</v>
      </c>
      <c r="C375" s="8">
        <v>8999.0</v>
      </c>
      <c r="D375" s="8">
        <v>11999.0</v>
      </c>
      <c r="E375" s="19">
        <v>0.25</v>
      </c>
      <c r="F375" s="10">
        <v>4.0</v>
      </c>
      <c r="G375" s="11">
        <v>12796.0</v>
      </c>
      <c r="K375" s="17"/>
    </row>
    <row r="376">
      <c r="A376" s="7" t="s">
        <v>422</v>
      </c>
      <c r="B376" s="7" t="s">
        <v>423</v>
      </c>
      <c r="C376" s="8">
        <v>139.0</v>
      </c>
      <c r="D376" s="8">
        <v>495.0</v>
      </c>
      <c r="E376" s="19">
        <v>0.72</v>
      </c>
      <c r="F376" s="10">
        <v>4.3</v>
      </c>
      <c r="G376" s="11">
        <v>14185.0</v>
      </c>
      <c r="K376" s="17"/>
    </row>
    <row r="377">
      <c r="A377" s="7" t="s">
        <v>424</v>
      </c>
      <c r="B377" s="7" t="s">
        <v>373</v>
      </c>
      <c r="C377" s="8">
        <v>3999.0</v>
      </c>
      <c r="D377" s="8">
        <v>16999.0</v>
      </c>
      <c r="E377" s="19">
        <v>0.76</v>
      </c>
      <c r="F377" s="10">
        <v>4.3</v>
      </c>
      <c r="G377" s="11">
        <v>17159.0</v>
      </c>
      <c r="K377" s="17"/>
    </row>
    <row r="378">
      <c r="A378" s="7" t="s">
        <v>425</v>
      </c>
      <c r="B378" s="7" t="s">
        <v>373</v>
      </c>
      <c r="C378" s="8">
        <v>2998.0</v>
      </c>
      <c r="D378" s="8">
        <v>5999.0</v>
      </c>
      <c r="E378" s="19">
        <v>0.5</v>
      </c>
      <c r="F378" s="10">
        <v>4.1</v>
      </c>
      <c r="G378" s="11">
        <v>5179.0</v>
      </c>
      <c r="K378" s="17"/>
    </row>
    <row r="379">
      <c r="A379" s="7" t="s">
        <v>17</v>
      </c>
      <c r="B379" s="7" t="s">
        <v>15</v>
      </c>
      <c r="C379" s="8">
        <v>199.0</v>
      </c>
      <c r="D379" s="8">
        <v>349.0</v>
      </c>
      <c r="E379" s="19">
        <v>0.43</v>
      </c>
      <c r="F379" s="10">
        <v>4.0</v>
      </c>
      <c r="G379" s="11">
        <v>43993.0</v>
      </c>
      <c r="K379" s="17"/>
    </row>
    <row r="380">
      <c r="A380" s="7" t="s">
        <v>426</v>
      </c>
      <c r="B380" s="7" t="s">
        <v>380</v>
      </c>
      <c r="C380" s="8">
        <v>15499.0</v>
      </c>
      <c r="D380" s="8">
        <v>18999.0</v>
      </c>
      <c r="E380" s="19">
        <v>0.18</v>
      </c>
      <c r="F380" s="10">
        <v>4.1</v>
      </c>
      <c r="G380" s="11">
        <v>19252.0</v>
      </c>
      <c r="K380" s="17"/>
    </row>
    <row r="381">
      <c r="A381" s="7" t="s">
        <v>18</v>
      </c>
      <c r="B381" s="7" t="s">
        <v>15</v>
      </c>
      <c r="C381" s="8">
        <v>199.0</v>
      </c>
      <c r="D381" s="8">
        <v>999.0</v>
      </c>
      <c r="E381" s="19">
        <v>0.8</v>
      </c>
      <c r="F381" s="10">
        <v>3.9</v>
      </c>
      <c r="G381" s="11">
        <v>7928.0</v>
      </c>
      <c r="K381" s="17"/>
    </row>
    <row r="382">
      <c r="A382" s="7" t="s">
        <v>372</v>
      </c>
      <c r="B382" s="7" t="s">
        <v>373</v>
      </c>
      <c r="C382" s="8">
        <v>1799.0</v>
      </c>
      <c r="D382" s="8">
        <v>19999.0</v>
      </c>
      <c r="E382" s="19">
        <v>0.91</v>
      </c>
      <c r="F382" s="10">
        <v>4.2</v>
      </c>
      <c r="G382" s="11">
        <v>13937.0</v>
      </c>
      <c r="K382" s="17"/>
    </row>
    <row r="383">
      <c r="A383" s="7" t="s">
        <v>427</v>
      </c>
      <c r="B383" s="7" t="s">
        <v>380</v>
      </c>
      <c r="C383" s="8">
        <v>8999.0</v>
      </c>
      <c r="D383" s="8">
        <v>11999.0</v>
      </c>
      <c r="E383" s="19">
        <v>0.25</v>
      </c>
      <c r="F383" s="10">
        <v>4.0</v>
      </c>
      <c r="G383" s="11">
        <v>12796.0</v>
      </c>
      <c r="K383" s="17"/>
    </row>
    <row r="384">
      <c r="A384" s="7" t="s">
        <v>428</v>
      </c>
      <c r="B384" s="7" t="s">
        <v>399</v>
      </c>
      <c r="C384" s="8">
        <v>873.0</v>
      </c>
      <c r="D384" s="8">
        <v>1699.0</v>
      </c>
      <c r="E384" s="19">
        <v>0.49</v>
      </c>
      <c r="F384" s="10">
        <v>4.4</v>
      </c>
      <c r="G384" s="11">
        <v>1680.0</v>
      </c>
      <c r="K384" s="17"/>
    </row>
    <row r="385">
      <c r="A385" s="7" t="s">
        <v>429</v>
      </c>
      <c r="B385" s="7" t="s">
        <v>380</v>
      </c>
      <c r="C385" s="8">
        <v>12999.0</v>
      </c>
      <c r="D385" s="8">
        <v>15999.0</v>
      </c>
      <c r="E385" s="19">
        <v>0.19</v>
      </c>
      <c r="F385" s="10">
        <v>4.2</v>
      </c>
      <c r="G385" s="11">
        <v>13246.0</v>
      </c>
      <c r="K385" s="17"/>
    </row>
    <row r="386">
      <c r="A386" s="7" t="s">
        <v>430</v>
      </c>
      <c r="B386" s="7" t="s">
        <v>431</v>
      </c>
      <c r="C386" s="8">
        <v>539.0</v>
      </c>
      <c r="D386" s="8">
        <v>1599.0</v>
      </c>
      <c r="E386" s="19">
        <v>0.66</v>
      </c>
      <c r="F386" s="10">
        <v>3.8</v>
      </c>
      <c r="G386" s="11">
        <v>14648.0</v>
      </c>
      <c r="K386" s="17"/>
    </row>
    <row r="387">
      <c r="A387" s="7" t="s">
        <v>374</v>
      </c>
      <c r="B387" s="7" t="s">
        <v>373</v>
      </c>
      <c r="C387" s="8">
        <v>1999.0</v>
      </c>
      <c r="D387" s="8">
        <v>9999.0</v>
      </c>
      <c r="E387" s="19">
        <v>0.8</v>
      </c>
      <c r="F387" s="10">
        <v>4.3</v>
      </c>
      <c r="G387" s="11">
        <v>27696.0</v>
      </c>
      <c r="K387" s="17"/>
    </row>
    <row r="388">
      <c r="A388" s="7" t="s">
        <v>432</v>
      </c>
      <c r="B388" s="7" t="s">
        <v>380</v>
      </c>
      <c r="C388" s="8">
        <v>15490.0</v>
      </c>
      <c r="D388" s="8">
        <v>20990.0</v>
      </c>
      <c r="E388" s="19">
        <v>0.26</v>
      </c>
      <c r="F388" s="10">
        <v>4.2</v>
      </c>
      <c r="G388" s="11">
        <v>32916.0</v>
      </c>
      <c r="K388" s="17"/>
    </row>
    <row r="389">
      <c r="A389" s="7" t="s">
        <v>433</v>
      </c>
      <c r="B389" s="7" t="s">
        <v>380</v>
      </c>
      <c r="C389" s="8">
        <v>19999.0</v>
      </c>
      <c r="D389" s="8">
        <v>24999.0</v>
      </c>
      <c r="E389" s="19">
        <v>0.2</v>
      </c>
      <c r="F389" s="10">
        <v>3.9</v>
      </c>
      <c r="G389" s="11">
        <v>25824.0</v>
      </c>
      <c r="K389" s="17"/>
    </row>
    <row r="390">
      <c r="A390" s="7" t="s">
        <v>434</v>
      </c>
      <c r="B390" s="7" t="s">
        <v>409</v>
      </c>
      <c r="C390" s="8">
        <v>1075.0</v>
      </c>
      <c r="D390" s="8">
        <v>1699.0</v>
      </c>
      <c r="E390" s="19">
        <v>0.37</v>
      </c>
      <c r="F390" s="10">
        <v>4.4</v>
      </c>
      <c r="G390" s="11">
        <v>7462.0</v>
      </c>
      <c r="K390" s="17"/>
    </row>
    <row r="391">
      <c r="A391" s="7" t="s">
        <v>435</v>
      </c>
      <c r="B391" s="7" t="s">
        <v>393</v>
      </c>
      <c r="C391" s="8">
        <v>399.0</v>
      </c>
      <c r="D391" s="8">
        <v>699.0</v>
      </c>
      <c r="E391" s="19">
        <v>0.43</v>
      </c>
      <c r="F391" s="10">
        <v>4.0</v>
      </c>
      <c r="G391" s="11">
        <v>37817.0</v>
      </c>
      <c r="K391" s="17"/>
    </row>
    <row r="392">
      <c r="A392" s="7" t="s">
        <v>436</v>
      </c>
      <c r="B392" s="7" t="s">
        <v>373</v>
      </c>
      <c r="C392" s="8">
        <v>1999.0</v>
      </c>
      <c r="D392" s="8">
        <v>3990.0</v>
      </c>
      <c r="E392" s="19">
        <v>0.5</v>
      </c>
      <c r="F392" s="10">
        <v>4.0</v>
      </c>
      <c r="G392" s="11">
        <v>30254.0</v>
      </c>
      <c r="K392" s="17"/>
    </row>
    <row r="393">
      <c r="A393" s="7" t="s">
        <v>437</v>
      </c>
      <c r="B393" s="7" t="s">
        <v>373</v>
      </c>
      <c r="C393" s="8">
        <v>1999.0</v>
      </c>
      <c r="D393" s="8">
        <v>7990.0</v>
      </c>
      <c r="E393" s="19">
        <v>0.75</v>
      </c>
      <c r="F393" s="10">
        <v>3.8</v>
      </c>
      <c r="G393" s="11">
        <v>17831.0</v>
      </c>
      <c r="K393" s="17"/>
    </row>
    <row r="394">
      <c r="A394" s="7" t="s">
        <v>19</v>
      </c>
      <c r="B394" s="7" t="s">
        <v>15</v>
      </c>
      <c r="C394" s="8">
        <v>329.0</v>
      </c>
      <c r="D394" s="8">
        <v>699.0</v>
      </c>
      <c r="E394" s="19">
        <v>0.53</v>
      </c>
      <c r="F394" s="10">
        <v>4.2</v>
      </c>
      <c r="G394" s="11">
        <v>94364.0</v>
      </c>
      <c r="K394" s="17"/>
    </row>
    <row r="395">
      <c r="A395" s="7" t="s">
        <v>20</v>
      </c>
      <c r="B395" s="7" t="s">
        <v>15</v>
      </c>
      <c r="C395" s="8">
        <v>154.0</v>
      </c>
      <c r="D395" s="8">
        <v>399.0</v>
      </c>
      <c r="E395" s="19">
        <v>0.61</v>
      </c>
      <c r="F395" s="10">
        <v>4.2</v>
      </c>
      <c r="G395" s="11">
        <v>16905.0</v>
      </c>
      <c r="K395" s="17"/>
    </row>
    <row r="396">
      <c r="A396" s="7" t="s">
        <v>438</v>
      </c>
      <c r="B396" s="7" t="s">
        <v>380</v>
      </c>
      <c r="C396" s="8">
        <v>28999.0</v>
      </c>
      <c r="D396" s="8">
        <v>34999.0</v>
      </c>
      <c r="E396" s="19">
        <v>0.17</v>
      </c>
      <c r="F396" s="10">
        <v>4.4</v>
      </c>
      <c r="G396" s="11">
        <v>20311.0</v>
      </c>
      <c r="K396" s="17"/>
    </row>
    <row r="397">
      <c r="A397" s="7" t="s">
        <v>439</v>
      </c>
      <c r="B397" s="7" t="s">
        <v>373</v>
      </c>
      <c r="C397" s="8">
        <v>2299.0</v>
      </c>
      <c r="D397" s="8">
        <v>7990.0</v>
      </c>
      <c r="E397" s="19">
        <v>0.71</v>
      </c>
      <c r="F397" s="10">
        <v>4.2</v>
      </c>
      <c r="G397" s="11">
        <v>69622.0</v>
      </c>
      <c r="K397" s="17"/>
    </row>
    <row r="398">
      <c r="A398" s="7" t="s">
        <v>440</v>
      </c>
      <c r="B398" s="7" t="s">
        <v>441</v>
      </c>
      <c r="C398" s="8">
        <v>399.0</v>
      </c>
      <c r="D398" s="8">
        <v>1999.0</v>
      </c>
      <c r="E398" s="19">
        <v>0.8</v>
      </c>
      <c r="F398" s="10">
        <v>4.0</v>
      </c>
      <c r="G398" s="11">
        <v>3382.0</v>
      </c>
      <c r="K398" s="17"/>
    </row>
    <row r="399">
      <c r="A399" s="7" t="s">
        <v>442</v>
      </c>
      <c r="B399" s="7" t="s">
        <v>386</v>
      </c>
      <c r="C399" s="8">
        <v>1149.0</v>
      </c>
      <c r="D399" s="8">
        <v>3999.0</v>
      </c>
      <c r="E399" s="19">
        <v>0.71</v>
      </c>
      <c r="F399" s="10">
        <v>4.3</v>
      </c>
      <c r="G399" s="7" t="s">
        <v>443</v>
      </c>
      <c r="K399" s="17"/>
    </row>
    <row r="400">
      <c r="A400" s="7" t="s">
        <v>444</v>
      </c>
      <c r="B400" s="7" t="s">
        <v>409</v>
      </c>
      <c r="C400" s="8">
        <v>529.0</v>
      </c>
      <c r="D400" s="8">
        <v>1499.0</v>
      </c>
      <c r="E400" s="19">
        <v>0.65</v>
      </c>
      <c r="F400" s="10">
        <v>4.1</v>
      </c>
      <c r="G400" s="11">
        <v>8599.0</v>
      </c>
      <c r="K400" s="17"/>
    </row>
    <row r="401">
      <c r="A401" s="7" t="s">
        <v>445</v>
      </c>
      <c r="B401" s="7" t="s">
        <v>380</v>
      </c>
      <c r="C401" s="8">
        <v>13999.0</v>
      </c>
      <c r="D401" s="8">
        <v>19499.0</v>
      </c>
      <c r="E401" s="19">
        <v>0.28</v>
      </c>
      <c r="F401" s="10">
        <v>4.1</v>
      </c>
      <c r="G401" s="11">
        <v>18998.0</v>
      </c>
      <c r="K401" s="17"/>
    </row>
    <row r="402">
      <c r="A402" s="7" t="s">
        <v>446</v>
      </c>
      <c r="B402" s="7" t="s">
        <v>393</v>
      </c>
      <c r="C402" s="8">
        <v>379.0</v>
      </c>
      <c r="D402" s="8">
        <v>999.0</v>
      </c>
      <c r="E402" s="19">
        <v>0.62</v>
      </c>
      <c r="F402" s="10">
        <v>4.1</v>
      </c>
      <c r="G402" s="7" t="s">
        <v>401</v>
      </c>
      <c r="K402" s="17"/>
    </row>
    <row r="403">
      <c r="A403" s="7" t="s">
        <v>447</v>
      </c>
      <c r="B403" s="7" t="s">
        <v>380</v>
      </c>
      <c r="C403" s="8">
        <v>13999.0</v>
      </c>
      <c r="D403" s="8">
        <v>19999.0</v>
      </c>
      <c r="E403" s="19">
        <v>0.3</v>
      </c>
      <c r="F403" s="10">
        <v>4.1</v>
      </c>
      <c r="G403" s="11">
        <v>19252.0</v>
      </c>
      <c r="K403" s="17"/>
    </row>
    <row r="404">
      <c r="A404" s="7" t="s">
        <v>448</v>
      </c>
      <c r="B404" s="7" t="s">
        <v>373</v>
      </c>
      <c r="C404" s="8">
        <v>3999.0</v>
      </c>
      <c r="D404" s="8">
        <v>9999.0</v>
      </c>
      <c r="E404" s="19">
        <v>0.6</v>
      </c>
      <c r="F404" s="10">
        <v>4.4</v>
      </c>
      <c r="G404" s="10">
        <v>73.0</v>
      </c>
      <c r="K404" s="17"/>
    </row>
    <row r="405">
      <c r="A405" s="7" t="s">
        <v>21</v>
      </c>
      <c r="B405" s="7" t="s">
        <v>15</v>
      </c>
      <c r="C405" s="8">
        <v>149.0</v>
      </c>
      <c r="D405" s="8">
        <v>1000.0</v>
      </c>
      <c r="E405" s="19">
        <v>0.85</v>
      </c>
      <c r="F405" s="10">
        <v>3.9</v>
      </c>
      <c r="G405" s="11">
        <v>24870.0</v>
      </c>
      <c r="K405" s="17"/>
    </row>
    <row r="406">
      <c r="A406" s="7" t="s">
        <v>449</v>
      </c>
      <c r="B406" s="7" t="s">
        <v>450</v>
      </c>
      <c r="C406" s="8">
        <v>99.0</v>
      </c>
      <c r="D406" s="8">
        <v>499.0</v>
      </c>
      <c r="E406" s="19">
        <v>0.8</v>
      </c>
      <c r="F406" s="10">
        <v>4.3</v>
      </c>
      <c r="G406" s="11">
        <v>42641.0</v>
      </c>
      <c r="K406" s="17"/>
    </row>
    <row r="407">
      <c r="A407" s="7" t="s">
        <v>451</v>
      </c>
      <c r="B407" s="7" t="s">
        <v>393</v>
      </c>
      <c r="C407" s="8">
        <v>4790.0</v>
      </c>
      <c r="D407" s="8">
        <v>15990.0</v>
      </c>
      <c r="E407" s="19">
        <v>0.7</v>
      </c>
      <c r="F407" s="10">
        <v>4.0</v>
      </c>
      <c r="G407" s="11">
        <v>4390.0</v>
      </c>
      <c r="K407" s="17"/>
    </row>
    <row r="408">
      <c r="A408" s="7" t="s">
        <v>452</v>
      </c>
      <c r="B408" s="7" t="s">
        <v>380</v>
      </c>
      <c r="C408" s="8">
        <v>33999.0</v>
      </c>
      <c r="D408" s="8">
        <v>33999.0</v>
      </c>
      <c r="E408" s="19">
        <v>0.0</v>
      </c>
      <c r="F408" s="10">
        <v>4.3</v>
      </c>
      <c r="G408" s="11">
        <v>17415.0</v>
      </c>
      <c r="K408" s="17"/>
    </row>
    <row r="409">
      <c r="A409" s="7" t="s">
        <v>453</v>
      </c>
      <c r="B409" s="7" t="s">
        <v>454</v>
      </c>
      <c r="C409" s="8">
        <v>99.0</v>
      </c>
      <c r="D409" s="8">
        <v>999.0</v>
      </c>
      <c r="E409" s="19">
        <v>0.9</v>
      </c>
      <c r="F409" s="10">
        <v>4.0</v>
      </c>
      <c r="G409" s="11">
        <v>1396.0</v>
      </c>
      <c r="K409" s="17"/>
    </row>
    <row r="410">
      <c r="A410" s="7" t="s">
        <v>455</v>
      </c>
      <c r="B410" s="7" t="s">
        <v>393</v>
      </c>
      <c r="C410" s="8">
        <v>299.0</v>
      </c>
      <c r="D410" s="8">
        <v>1900.0</v>
      </c>
      <c r="E410" s="19">
        <v>0.84</v>
      </c>
      <c r="F410" s="10">
        <v>3.6</v>
      </c>
      <c r="G410" s="11">
        <v>18202.0</v>
      </c>
      <c r="K410" s="17"/>
    </row>
    <row r="411">
      <c r="A411" s="7" t="s">
        <v>456</v>
      </c>
      <c r="B411" s="7" t="s">
        <v>380</v>
      </c>
      <c r="C411" s="8">
        <v>10999.0</v>
      </c>
      <c r="D411" s="8">
        <v>14999.0</v>
      </c>
      <c r="E411" s="19">
        <v>0.27</v>
      </c>
      <c r="F411" s="10">
        <v>4.1</v>
      </c>
      <c r="G411" s="11">
        <v>18998.0</v>
      </c>
      <c r="K411" s="17"/>
    </row>
    <row r="412">
      <c r="A412" s="7" t="s">
        <v>457</v>
      </c>
      <c r="B412" s="7" t="s">
        <v>380</v>
      </c>
      <c r="C412" s="8">
        <v>34999.0</v>
      </c>
      <c r="D412" s="8">
        <v>38999.0</v>
      </c>
      <c r="E412" s="19">
        <v>0.1</v>
      </c>
      <c r="F412" s="10">
        <v>4.2</v>
      </c>
      <c r="G412" s="11">
        <v>11029.0</v>
      </c>
      <c r="K412" s="17"/>
    </row>
    <row r="413">
      <c r="A413" s="7" t="s">
        <v>416</v>
      </c>
      <c r="B413" s="7" t="s">
        <v>380</v>
      </c>
      <c r="C413" s="8">
        <v>16999.0</v>
      </c>
      <c r="D413" s="8">
        <v>24999.0</v>
      </c>
      <c r="E413" s="19">
        <v>0.32</v>
      </c>
      <c r="F413" s="10">
        <v>4.1</v>
      </c>
      <c r="G413" s="11">
        <v>22318.0</v>
      </c>
      <c r="K413" s="17"/>
    </row>
    <row r="414">
      <c r="A414" s="7" t="s">
        <v>458</v>
      </c>
      <c r="B414" s="7" t="s">
        <v>450</v>
      </c>
      <c r="C414" s="8">
        <v>199.0</v>
      </c>
      <c r="D414" s="8">
        <v>499.0</v>
      </c>
      <c r="E414" s="19">
        <v>0.6</v>
      </c>
      <c r="F414" s="10">
        <v>4.1</v>
      </c>
      <c r="G414" s="11">
        <v>1786.0</v>
      </c>
      <c r="K414" s="17"/>
    </row>
    <row r="415">
      <c r="A415" s="7" t="s">
        <v>459</v>
      </c>
      <c r="B415" s="7" t="s">
        <v>377</v>
      </c>
      <c r="C415" s="8">
        <v>999.0</v>
      </c>
      <c r="D415" s="8">
        <v>1599.0</v>
      </c>
      <c r="E415" s="19">
        <v>0.38</v>
      </c>
      <c r="F415" s="10">
        <v>4.0</v>
      </c>
      <c r="G415" s="11">
        <v>7222.0</v>
      </c>
      <c r="K415" s="17"/>
    </row>
    <row r="416">
      <c r="A416" s="7" t="s">
        <v>460</v>
      </c>
      <c r="B416" s="7" t="s">
        <v>389</v>
      </c>
      <c r="C416" s="8">
        <v>1299.0</v>
      </c>
      <c r="D416" s="8">
        <v>1599.0</v>
      </c>
      <c r="E416" s="19">
        <v>0.19</v>
      </c>
      <c r="F416" s="10">
        <v>4.0</v>
      </c>
      <c r="G416" s="7" t="s">
        <v>390</v>
      </c>
      <c r="K416" s="17"/>
    </row>
    <row r="417">
      <c r="A417" s="7" t="s">
        <v>461</v>
      </c>
      <c r="B417" s="7" t="s">
        <v>393</v>
      </c>
      <c r="C417" s="8">
        <v>599.0</v>
      </c>
      <c r="D417" s="8">
        <v>1800.0</v>
      </c>
      <c r="E417" s="19">
        <v>0.67</v>
      </c>
      <c r="F417" s="10">
        <v>3.5</v>
      </c>
      <c r="G417" s="11">
        <v>83996.0</v>
      </c>
      <c r="K417" s="17"/>
    </row>
    <row r="418">
      <c r="A418" s="7" t="s">
        <v>462</v>
      </c>
      <c r="B418" s="7" t="s">
        <v>386</v>
      </c>
      <c r="C418" s="8">
        <v>599.0</v>
      </c>
      <c r="D418" s="8">
        <v>1899.0</v>
      </c>
      <c r="E418" s="19">
        <v>0.68</v>
      </c>
      <c r="F418" s="10">
        <v>4.3</v>
      </c>
      <c r="G418" s="7" t="s">
        <v>443</v>
      </c>
      <c r="K418" s="17"/>
    </row>
    <row r="419">
      <c r="A419" s="7" t="s">
        <v>463</v>
      </c>
      <c r="B419" s="7" t="s">
        <v>377</v>
      </c>
      <c r="C419" s="8">
        <v>1799.0</v>
      </c>
      <c r="D419" s="8">
        <v>2499.0</v>
      </c>
      <c r="E419" s="19">
        <v>0.28</v>
      </c>
      <c r="F419" s="10">
        <v>4.1</v>
      </c>
      <c r="G419" s="11">
        <v>18678.0</v>
      </c>
      <c r="K419" s="17"/>
    </row>
    <row r="420">
      <c r="A420" s="7" t="s">
        <v>22</v>
      </c>
      <c r="B420" s="7" t="s">
        <v>15</v>
      </c>
      <c r="C420" s="8">
        <v>176.63</v>
      </c>
      <c r="D420" s="8">
        <v>499.0</v>
      </c>
      <c r="E420" s="19">
        <v>0.65</v>
      </c>
      <c r="F420" s="10">
        <v>4.1</v>
      </c>
      <c r="G420" s="11">
        <v>15189.0</v>
      </c>
      <c r="K420" s="17"/>
    </row>
    <row r="421">
      <c r="A421" s="7" t="s">
        <v>464</v>
      </c>
      <c r="B421" s="7" t="s">
        <v>380</v>
      </c>
      <c r="C421" s="8">
        <v>10999.0</v>
      </c>
      <c r="D421" s="8">
        <v>14999.0</v>
      </c>
      <c r="E421" s="19">
        <v>0.27</v>
      </c>
      <c r="F421" s="10">
        <v>4.1</v>
      </c>
      <c r="G421" s="11">
        <v>18998.0</v>
      </c>
      <c r="K421" s="17"/>
    </row>
    <row r="422">
      <c r="A422" s="7" t="s">
        <v>465</v>
      </c>
      <c r="B422" s="7" t="s">
        <v>373</v>
      </c>
      <c r="C422" s="8">
        <v>2999.0</v>
      </c>
      <c r="D422" s="8">
        <v>7990.0</v>
      </c>
      <c r="E422" s="19">
        <v>0.62</v>
      </c>
      <c r="F422" s="10">
        <v>4.1</v>
      </c>
      <c r="G422" s="11">
        <v>48449.0</v>
      </c>
      <c r="K422" s="17"/>
    </row>
    <row r="423">
      <c r="A423" s="7" t="s">
        <v>466</v>
      </c>
      <c r="B423" s="7" t="s">
        <v>373</v>
      </c>
      <c r="C423" s="8">
        <v>1999.0</v>
      </c>
      <c r="D423" s="8">
        <v>7990.0</v>
      </c>
      <c r="E423" s="19">
        <v>0.75</v>
      </c>
      <c r="F423" s="10">
        <v>3.8</v>
      </c>
      <c r="G423" s="11">
        <v>17831.0</v>
      </c>
      <c r="K423" s="17"/>
    </row>
    <row r="424">
      <c r="A424" s="7" t="s">
        <v>23</v>
      </c>
      <c r="B424" s="7" t="s">
        <v>15</v>
      </c>
      <c r="C424" s="8">
        <v>229.0</v>
      </c>
      <c r="D424" s="8">
        <v>299.0</v>
      </c>
      <c r="E424" s="19">
        <v>0.23</v>
      </c>
      <c r="F424" s="10">
        <v>4.3</v>
      </c>
      <c r="G424" s="11">
        <v>30411.0</v>
      </c>
      <c r="K424" s="17"/>
    </row>
    <row r="425">
      <c r="A425" s="7" t="s">
        <v>27</v>
      </c>
      <c r="B425" s="7" t="s">
        <v>15</v>
      </c>
      <c r="C425" s="8">
        <v>199.0</v>
      </c>
      <c r="D425" s="8">
        <v>299.0</v>
      </c>
      <c r="E425" s="19">
        <v>0.33</v>
      </c>
      <c r="F425" s="10">
        <v>4.0</v>
      </c>
      <c r="G425" s="11">
        <v>43994.0</v>
      </c>
      <c r="K425" s="17"/>
    </row>
    <row r="426">
      <c r="A426" s="7" t="s">
        <v>467</v>
      </c>
      <c r="B426" s="7" t="s">
        <v>409</v>
      </c>
      <c r="C426" s="8">
        <v>649.0</v>
      </c>
      <c r="D426" s="8">
        <v>999.0</v>
      </c>
      <c r="E426" s="19">
        <v>0.35</v>
      </c>
      <c r="F426" s="10">
        <v>4.2</v>
      </c>
      <c r="G426" s="11">
        <v>1315.0</v>
      </c>
      <c r="K426" s="17"/>
    </row>
    <row r="427">
      <c r="A427" s="7" t="s">
        <v>445</v>
      </c>
      <c r="B427" s="7" t="s">
        <v>380</v>
      </c>
      <c r="C427" s="8">
        <v>13999.0</v>
      </c>
      <c r="D427" s="8">
        <v>19499.0</v>
      </c>
      <c r="E427" s="19">
        <v>0.28</v>
      </c>
      <c r="F427" s="10">
        <v>4.1</v>
      </c>
      <c r="G427" s="11">
        <v>18998.0</v>
      </c>
      <c r="K427" s="17"/>
    </row>
    <row r="428">
      <c r="A428" s="7" t="s">
        <v>468</v>
      </c>
      <c r="B428" s="7" t="s">
        <v>469</v>
      </c>
      <c r="C428" s="8">
        <v>119.0</v>
      </c>
      <c r="D428" s="8">
        <v>299.0</v>
      </c>
      <c r="E428" s="19">
        <v>0.6</v>
      </c>
      <c r="F428" s="10">
        <v>4.1</v>
      </c>
      <c r="G428" s="11">
        <v>5999.0</v>
      </c>
      <c r="K428" s="17"/>
    </row>
    <row r="429">
      <c r="A429" s="7" t="s">
        <v>470</v>
      </c>
      <c r="B429" s="7" t="s">
        <v>380</v>
      </c>
      <c r="C429" s="8">
        <v>12999.0</v>
      </c>
      <c r="D429" s="8">
        <v>17999.0</v>
      </c>
      <c r="E429" s="19">
        <v>0.28</v>
      </c>
      <c r="F429" s="10">
        <v>4.1</v>
      </c>
      <c r="G429" s="11">
        <v>50772.0</v>
      </c>
      <c r="K429" s="17"/>
    </row>
    <row r="430">
      <c r="A430" s="7" t="s">
        <v>28</v>
      </c>
      <c r="B430" s="7" t="s">
        <v>15</v>
      </c>
      <c r="C430" s="8">
        <v>154.0</v>
      </c>
      <c r="D430" s="8">
        <v>339.0</v>
      </c>
      <c r="E430" s="19">
        <v>0.55</v>
      </c>
      <c r="F430" s="10">
        <v>4.3</v>
      </c>
      <c r="G430" s="11">
        <v>13391.0</v>
      </c>
      <c r="K430" s="17"/>
    </row>
    <row r="431">
      <c r="A431" s="7" t="s">
        <v>471</v>
      </c>
      <c r="B431" s="7" t="s">
        <v>380</v>
      </c>
      <c r="C431" s="8">
        <v>20999.0</v>
      </c>
      <c r="D431" s="8">
        <v>26999.0</v>
      </c>
      <c r="E431" s="19">
        <v>0.22</v>
      </c>
      <c r="F431" s="10">
        <v>3.9</v>
      </c>
      <c r="G431" s="11">
        <v>25824.0</v>
      </c>
      <c r="K431" s="17"/>
    </row>
    <row r="432">
      <c r="A432" s="7" t="s">
        <v>472</v>
      </c>
      <c r="B432" s="7" t="s">
        <v>409</v>
      </c>
      <c r="C432" s="8">
        <v>249.0</v>
      </c>
      <c r="D432" s="8">
        <v>649.0</v>
      </c>
      <c r="E432" s="19">
        <v>0.62</v>
      </c>
      <c r="F432" s="10">
        <v>4.0</v>
      </c>
      <c r="G432" s="11">
        <v>14404.0</v>
      </c>
      <c r="K432" s="17"/>
    </row>
    <row r="433">
      <c r="A433" s="7" t="s">
        <v>473</v>
      </c>
      <c r="B433" s="7" t="s">
        <v>409</v>
      </c>
      <c r="C433" s="8">
        <v>99.0</v>
      </c>
      <c r="D433" s="8">
        <v>171.0</v>
      </c>
      <c r="E433" s="19">
        <v>0.42</v>
      </c>
      <c r="F433" s="10">
        <v>4.5</v>
      </c>
      <c r="G433" s="11">
        <v>11339.0</v>
      </c>
      <c r="K433" s="17"/>
    </row>
    <row r="434">
      <c r="A434" s="7" t="s">
        <v>474</v>
      </c>
      <c r="B434" s="7" t="s">
        <v>407</v>
      </c>
      <c r="C434" s="8">
        <v>489.0</v>
      </c>
      <c r="D434" s="8">
        <v>1999.0</v>
      </c>
      <c r="E434" s="19">
        <v>0.76</v>
      </c>
      <c r="F434" s="10">
        <v>4.0</v>
      </c>
      <c r="G434" s="11">
        <v>3626.0</v>
      </c>
      <c r="K434" s="17"/>
    </row>
    <row r="435">
      <c r="A435" s="7" t="s">
        <v>475</v>
      </c>
      <c r="B435" s="7" t="s">
        <v>386</v>
      </c>
      <c r="C435" s="8">
        <v>369.0</v>
      </c>
      <c r="D435" s="8">
        <v>1600.0</v>
      </c>
      <c r="E435" s="19">
        <v>0.77</v>
      </c>
      <c r="F435" s="10">
        <v>4.0</v>
      </c>
      <c r="G435" s="11">
        <v>32625.0</v>
      </c>
      <c r="K435" s="17"/>
    </row>
    <row r="436">
      <c r="A436" s="7" t="s">
        <v>476</v>
      </c>
      <c r="B436" s="7" t="s">
        <v>380</v>
      </c>
      <c r="C436" s="8">
        <v>15499.0</v>
      </c>
      <c r="D436" s="8">
        <v>20999.0</v>
      </c>
      <c r="E436" s="19">
        <v>0.26</v>
      </c>
      <c r="F436" s="10">
        <v>4.1</v>
      </c>
      <c r="G436" s="11">
        <v>19252.0</v>
      </c>
      <c r="K436" s="17"/>
    </row>
    <row r="437">
      <c r="A437" s="7" t="s">
        <v>477</v>
      </c>
      <c r="B437" s="7" t="s">
        <v>380</v>
      </c>
      <c r="C437" s="8">
        <v>15499.0</v>
      </c>
      <c r="D437" s="8">
        <v>18999.0</v>
      </c>
      <c r="E437" s="19">
        <v>0.18</v>
      </c>
      <c r="F437" s="10">
        <v>4.1</v>
      </c>
      <c r="G437" s="11">
        <v>19252.0</v>
      </c>
      <c r="K437" s="17"/>
    </row>
    <row r="438">
      <c r="A438" s="7" t="s">
        <v>478</v>
      </c>
      <c r="B438" s="7" t="s">
        <v>380</v>
      </c>
      <c r="C438" s="8">
        <v>22999.0</v>
      </c>
      <c r="D438" s="8">
        <v>28999.0</v>
      </c>
      <c r="E438" s="19">
        <v>0.21</v>
      </c>
      <c r="F438" s="10">
        <v>3.9</v>
      </c>
      <c r="G438" s="11">
        <v>25824.0</v>
      </c>
      <c r="K438" s="17"/>
    </row>
    <row r="439">
      <c r="A439" s="7" t="s">
        <v>479</v>
      </c>
      <c r="B439" s="7" t="s">
        <v>393</v>
      </c>
      <c r="C439" s="8">
        <v>599.0</v>
      </c>
      <c r="D439" s="8">
        <v>1490.0</v>
      </c>
      <c r="E439" s="19">
        <v>0.6</v>
      </c>
      <c r="F439" s="10">
        <v>4.1</v>
      </c>
      <c r="G439" s="7" t="s">
        <v>480</v>
      </c>
      <c r="K439" s="17"/>
    </row>
    <row r="440">
      <c r="A440" s="7" t="s">
        <v>481</v>
      </c>
      <c r="B440" s="7" t="s">
        <v>450</v>
      </c>
      <c r="C440" s="8">
        <v>134.0</v>
      </c>
      <c r="D440" s="8">
        <v>699.0</v>
      </c>
      <c r="E440" s="19">
        <v>0.81</v>
      </c>
      <c r="F440" s="10">
        <v>4.1</v>
      </c>
      <c r="G440" s="11">
        <v>16685.0</v>
      </c>
      <c r="K440" s="17"/>
    </row>
    <row r="441">
      <c r="A441" s="7" t="s">
        <v>482</v>
      </c>
      <c r="B441" s="7" t="s">
        <v>380</v>
      </c>
      <c r="C441" s="8">
        <v>7499.0</v>
      </c>
      <c r="D441" s="8">
        <v>7999.0</v>
      </c>
      <c r="E441" s="19">
        <v>0.06</v>
      </c>
      <c r="F441" s="10">
        <v>4.0</v>
      </c>
      <c r="G441" s="11">
        <v>30907.0</v>
      </c>
      <c r="K441" s="17"/>
    </row>
    <row r="442">
      <c r="A442" s="7" t="s">
        <v>483</v>
      </c>
      <c r="B442" s="7" t="s">
        <v>377</v>
      </c>
      <c r="C442" s="8">
        <v>1149.0</v>
      </c>
      <c r="D442" s="8">
        <v>2199.0</v>
      </c>
      <c r="E442" s="19">
        <v>0.48</v>
      </c>
      <c r="F442" s="10">
        <v>4.3</v>
      </c>
      <c r="G442" s="7" t="s">
        <v>378</v>
      </c>
      <c r="K442" s="17"/>
    </row>
    <row r="443">
      <c r="A443" s="7" t="s">
        <v>484</v>
      </c>
      <c r="B443" s="7" t="s">
        <v>389</v>
      </c>
      <c r="C443" s="8">
        <v>1324.0</v>
      </c>
      <c r="D443" s="8">
        <v>1699.0</v>
      </c>
      <c r="E443" s="19">
        <v>0.22</v>
      </c>
      <c r="F443" s="10">
        <v>4.0</v>
      </c>
      <c r="G443" s="7" t="s">
        <v>390</v>
      </c>
      <c r="K443" s="17"/>
    </row>
    <row r="444">
      <c r="A444" s="7" t="s">
        <v>485</v>
      </c>
      <c r="B444" s="7" t="s">
        <v>380</v>
      </c>
      <c r="C444" s="8">
        <v>13999.0</v>
      </c>
      <c r="D444" s="8">
        <v>19999.0</v>
      </c>
      <c r="E444" s="19">
        <v>0.3</v>
      </c>
      <c r="F444" s="10">
        <v>4.1</v>
      </c>
      <c r="G444" s="11">
        <v>19252.0</v>
      </c>
      <c r="K444" s="17"/>
    </row>
    <row r="445">
      <c r="A445" s="7" t="s">
        <v>29</v>
      </c>
      <c r="B445" s="7" t="s">
        <v>15</v>
      </c>
      <c r="C445" s="8">
        <v>299.0</v>
      </c>
      <c r="D445" s="8">
        <v>799.0</v>
      </c>
      <c r="E445" s="19">
        <v>0.63</v>
      </c>
      <c r="F445" s="10">
        <v>4.2</v>
      </c>
      <c r="G445" s="11">
        <v>94364.0</v>
      </c>
      <c r="K445" s="17"/>
    </row>
    <row r="446">
      <c r="A446" s="7" t="s">
        <v>486</v>
      </c>
      <c r="B446" s="7" t="s">
        <v>377</v>
      </c>
      <c r="C446" s="8">
        <v>999.0</v>
      </c>
      <c r="D446" s="8">
        <v>1599.0</v>
      </c>
      <c r="E446" s="19">
        <v>0.38</v>
      </c>
      <c r="F446" s="10">
        <v>4.0</v>
      </c>
      <c r="G446" s="11">
        <v>7222.0</v>
      </c>
      <c r="K446" s="17"/>
    </row>
    <row r="447">
      <c r="A447" s="7" t="s">
        <v>487</v>
      </c>
      <c r="B447" s="7" t="s">
        <v>380</v>
      </c>
      <c r="C447" s="8">
        <v>12999.0</v>
      </c>
      <c r="D447" s="8">
        <v>17999.0</v>
      </c>
      <c r="E447" s="19">
        <v>0.28</v>
      </c>
      <c r="F447" s="10">
        <v>4.1</v>
      </c>
      <c r="G447" s="11">
        <v>18998.0</v>
      </c>
      <c r="K447" s="17"/>
    </row>
    <row r="448">
      <c r="A448" s="7" t="s">
        <v>488</v>
      </c>
      <c r="B448" s="7" t="s">
        <v>380</v>
      </c>
      <c r="C448" s="8">
        <v>15490.0</v>
      </c>
      <c r="D448" s="8">
        <v>20990.0</v>
      </c>
      <c r="E448" s="19">
        <v>0.26</v>
      </c>
      <c r="F448" s="10">
        <v>4.2</v>
      </c>
      <c r="G448" s="11">
        <v>32916.0</v>
      </c>
      <c r="K448" s="17"/>
    </row>
    <row r="449">
      <c r="A449" s="7" t="s">
        <v>489</v>
      </c>
      <c r="B449" s="7" t="s">
        <v>490</v>
      </c>
      <c r="C449" s="8">
        <v>999.0</v>
      </c>
      <c r="D449" s="8">
        <v>2899.0</v>
      </c>
      <c r="E449" s="19">
        <v>0.66</v>
      </c>
      <c r="F449" s="10">
        <v>4.6</v>
      </c>
      <c r="G449" s="11">
        <v>26603.0</v>
      </c>
      <c r="K449" s="17"/>
    </row>
    <row r="450">
      <c r="A450" s="7" t="s">
        <v>491</v>
      </c>
      <c r="B450" s="7" t="s">
        <v>373</v>
      </c>
      <c r="C450" s="8">
        <v>1599.0</v>
      </c>
      <c r="D450" s="8">
        <v>4999.0</v>
      </c>
      <c r="E450" s="19">
        <v>0.68</v>
      </c>
      <c r="F450" s="10">
        <v>4.0</v>
      </c>
      <c r="G450" s="11">
        <v>67950.0</v>
      </c>
      <c r="K450" s="17"/>
    </row>
    <row r="451">
      <c r="A451" s="7" t="s">
        <v>492</v>
      </c>
      <c r="B451" s="7" t="s">
        <v>389</v>
      </c>
      <c r="C451" s="8">
        <v>1324.0</v>
      </c>
      <c r="D451" s="8">
        <v>1699.0</v>
      </c>
      <c r="E451" s="19">
        <v>0.22</v>
      </c>
      <c r="F451" s="10">
        <v>4.0</v>
      </c>
      <c r="G451" s="7" t="s">
        <v>390</v>
      </c>
      <c r="K451" s="17"/>
    </row>
    <row r="452">
      <c r="A452" s="7" t="s">
        <v>493</v>
      </c>
      <c r="B452" s="7" t="s">
        <v>380</v>
      </c>
      <c r="C452" s="8">
        <v>20999.0</v>
      </c>
      <c r="D452" s="8">
        <v>29990.0</v>
      </c>
      <c r="E452" s="19">
        <v>0.3</v>
      </c>
      <c r="F452" s="10">
        <v>4.3</v>
      </c>
      <c r="G452" s="11">
        <v>9499.0</v>
      </c>
      <c r="K452" s="17"/>
    </row>
    <row r="453">
      <c r="A453" s="7" t="s">
        <v>494</v>
      </c>
      <c r="B453" s="7" t="s">
        <v>409</v>
      </c>
      <c r="C453" s="8">
        <v>999.0</v>
      </c>
      <c r="D453" s="8">
        <v>1999.0</v>
      </c>
      <c r="E453" s="19">
        <v>0.5</v>
      </c>
      <c r="F453" s="10">
        <v>4.3</v>
      </c>
      <c r="G453" s="11">
        <v>1777.0</v>
      </c>
      <c r="K453" s="17"/>
    </row>
    <row r="454">
      <c r="A454" s="7" t="s">
        <v>495</v>
      </c>
      <c r="B454" s="7" t="s">
        <v>380</v>
      </c>
      <c r="C454" s="8">
        <v>12490.0</v>
      </c>
      <c r="D454" s="8">
        <v>15990.0</v>
      </c>
      <c r="E454" s="19">
        <v>0.22</v>
      </c>
      <c r="F454" s="10">
        <v>4.2</v>
      </c>
      <c r="G454" s="11">
        <v>58506.0</v>
      </c>
      <c r="K454" s="17"/>
    </row>
    <row r="455">
      <c r="A455" s="7" t="s">
        <v>496</v>
      </c>
      <c r="B455" s="7" t="s">
        <v>380</v>
      </c>
      <c r="C455" s="8">
        <v>17999.0</v>
      </c>
      <c r="D455" s="8">
        <v>21990.0</v>
      </c>
      <c r="E455" s="19">
        <v>0.18</v>
      </c>
      <c r="F455" s="10">
        <v>4.0</v>
      </c>
      <c r="G455" s="11">
        <v>21350.0</v>
      </c>
      <c r="K455" s="17"/>
    </row>
    <row r="456">
      <c r="A456" s="7" t="s">
        <v>33</v>
      </c>
      <c r="B456" s="7" t="s">
        <v>15</v>
      </c>
      <c r="C456" s="8">
        <v>350.0</v>
      </c>
      <c r="D456" s="8">
        <v>899.0</v>
      </c>
      <c r="E456" s="19">
        <v>0.61</v>
      </c>
      <c r="F456" s="10">
        <v>4.2</v>
      </c>
      <c r="G456" s="11">
        <v>2263.0</v>
      </c>
      <c r="K456" s="17"/>
    </row>
    <row r="457">
      <c r="A457" s="7" t="s">
        <v>497</v>
      </c>
      <c r="B457" s="7" t="s">
        <v>389</v>
      </c>
      <c r="C457" s="8">
        <v>1399.0</v>
      </c>
      <c r="D457" s="8">
        <v>1630.0</v>
      </c>
      <c r="E457" s="19">
        <v>0.14</v>
      </c>
      <c r="F457" s="10">
        <v>4.0</v>
      </c>
      <c r="G457" s="11">
        <v>9378.0</v>
      </c>
      <c r="K457" s="17"/>
    </row>
    <row r="458">
      <c r="A458" s="7" t="s">
        <v>34</v>
      </c>
      <c r="B458" s="7" t="s">
        <v>15</v>
      </c>
      <c r="C458" s="8">
        <v>159.0</v>
      </c>
      <c r="D458" s="8">
        <v>399.0</v>
      </c>
      <c r="E458" s="19">
        <v>0.6</v>
      </c>
      <c r="F458" s="10">
        <v>4.1</v>
      </c>
      <c r="G458" s="11">
        <v>4768.0</v>
      </c>
      <c r="K458" s="17"/>
    </row>
    <row r="459">
      <c r="A459" s="7" t="s">
        <v>498</v>
      </c>
      <c r="B459" s="7" t="s">
        <v>373</v>
      </c>
      <c r="C459" s="8">
        <v>1499.0</v>
      </c>
      <c r="D459" s="8">
        <v>6990.0</v>
      </c>
      <c r="E459" s="19">
        <v>0.79</v>
      </c>
      <c r="F459" s="10">
        <v>3.9</v>
      </c>
      <c r="G459" s="11">
        <v>21796.0</v>
      </c>
      <c r="K459" s="17"/>
    </row>
    <row r="460">
      <c r="A460" s="7" t="s">
        <v>499</v>
      </c>
      <c r="B460" s="7" t="s">
        <v>373</v>
      </c>
      <c r="C460" s="8">
        <v>1999.0</v>
      </c>
      <c r="D460" s="8">
        <v>7990.0</v>
      </c>
      <c r="E460" s="19">
        <v>0.75</v>
      </c>
      <c r="F460" s="10">
        <v>3.8</v>
      </c>
      <c r="G460" s="11">
        <v>17833.0</v>
      </c>
      <c r="K460" s="17"/>
    </row>
    <row r="461">
      <c r="A461" s="7" t="s">
        <v>500</v>
      </c>
      <c r="B461" s="7" t="s">
        <v>490</v>
      </c>
      <c r="C461" s="8">
        <v>999.0</v>
      </c>
      <c r="D461" s="8">
        <v>2899.0</v>
      </c>
      <c r="E461" s="19">
        <v>0.66</v>
      </c>
      <c r="F461" s="10">
        <v>4.7</v>
      </c>
      <c r="G461" s="11">
        <v>7779.0</v>
      </c>
      <c r="K461" s="17"/>
    </row>
    <row r="462">
      <c r="A462" s="7" t="s">
        <v>501</v>
      </c>
      <c r="B462" s="7" t="s">
        <v>502</v>
      </c>
      <c r="C462" s="8">
        <v>2099.0</v>
      </c>
      <c r="D462" s="8">
        <v>5999.0</v>
      </c>
      <c r="E462" s="19">
        <v>0.65</v>
      </c>
      <c r="F462" s="10">
        <v>4.3</v>
      </c>
      <c r="G462" s="11">
        <v>17129.0</v>
      </c>
      <c r="K462" s="17"/>
    </row>
    <row r="463">
      <c r="A463" s="7" t="s">
        <v>503</v>
      </c>
      <c r="B463" s="7" t="s">
        <v>399</v>
      </c>
      <c r="C463" s="8">
        <v>337.0</v>
      </c>
      <c r="D463" s="8">
        <v>699.0</v>
      </c>
      <c r="E463" s="19">
        <v>0.52</v>
      </c>
      <c r="F463" s="10">
        <v>4.2</v>
      </c>
      <c r="G463" s="11">
        <v>4969.0</v>
      </c>
      <c r="K463" s="17"/>
    </row>
    <row r="464">
      <c r="A464" s="7" t="s">
        <v>504</v>
      </c>
      <c r="B464" s="7" t="s">
        <v>373</v>
      </c>
      <c r="C464" s="8">
        <v>2999.0</v>
      </c>
      <c r="D464" s="8">
        <v>7990.0</v>
      </c>
      <c r="E464" s="19">
        <v>0.62</v>
      </c>
      <c r="F464" s="10">
        <v>4.1</v>
      </c>
      <c r="G464" s="10">
        <v>154.0</v>
      </c>
      <c r="K464" s="17"/>
    </row>
    <row r="465">
      <c r="A465" s="7" t="s">
        <v>505</v>
      </c>
      <c r="B465" s="7" t="s">
        <v>373</v>
      </c>
      <c r="C465" s="8">
        <v>1299.0</v>
      </c>
      <c r="D465" s="8">
        <v>5999.0</v>
      </c>
      <c r="E465" s="19">
        <v>0.78</v>
      </c>
      <c r="F465" s="10">
        <v>3.3</v>
      </c>
      <c r="G465" s="11">
        <v>4415.0</v>
      </c>
      <c r="K465" s="17"/>
    </row>
    <row r="466">
      <c r="A466" s="7" t="s">
        <v>35</v>
      </c>
      <c r="B466" s="7" t="s">
        <v>15</v>
      </c>
      <c r="C466" s="8">
        <v>349.0</v>
      </c>
      <c r="D466" s="8">
        <v>399.0</v>
      </c>
      <c r="E466" s="19">
        <v>0.13</v>
      </c>
      <c r="F466" s="10">
        <v>4.4</v>
      </c>
      <c r="G466" s="11">
        <v>18757.0</v>
      </c>
      <c r="K466" s="17"/>
    </row>
    <row r="467">
      <c r="A467" s="7" t="s">
        <v>506</v>
      </c>
      <c r="B467" s="7" t="s">
        <v>380</v>
      </c>
      <c r="C467" s="8">
        <v>16499.0</v>
      </c>
      <c r="D467" s="8">
        <v>20990.0</v>
      </c>
      <c r="E467" s="19">
        <v>0.21</v>
      </c>
      <c r="F467" s="10">
        <v>4.0</v>
      </c>
      <c r="G467" s="11">
        <v>21350.0</v>
      </c>
      <c r="K467" s="17"/>
    </row>
    <row r="468">
      <c r="A468" s="7" t="s">
        <v>507</v>
      </c>
      <c r="B468" s="7" t="s">
        <v>393</v>
      </c>
      <c r="C468" s="8">
        <v>499.0</v>
      </c>
      <c r="D468" s="8">
        <v>499.0</v>
      </c>
      <c r="E468" s="19">
        <v>0.0</v>
      </c>
      <c r="F468" s="10">
        <v>4.2</v>
      </c>
      <c r="G468" s="11">
        <v>31539.0</v>
      </c>
      <c r="K468" s="17"/>
    </row>
    <row r="469">
      <c r="A469" s="7" t="s">
        <v>41</v>
      </c>
      <c r="B469" s="7" t="s">
        <v>15</v>
      </c>
      <c r="C469" s="8">
        <v>970.0</v>
      </c>
      <c r="D469" s="8">
        <v>1799.0</v>
      </c>
      <c r="E469" s="19">
        <v>0.46</v>
      </c>
      <c r="F469" s="10">
        <v>4.5</v>
      </c>
      <c r="G469" s="10">
        <v>815.0</v>
      </c>
      <c r="K469" s="17"/>
    </row>
    <row r="470">
      <c r="A470" s="7" t="s">
        <v>508</v>
      </c>
      <c r="B470" s="7" t="s">
        <v>490</v>
      </c>
      <c r="C470" s="8">
        <v>999.0</v>
      </c>
      <c r="D470" s="8">
        <v>2899.0</v>
      </c>
      <c r="E470" s="19">
        <v>0.66</v>
      </c>
      <c r="F470" s="10">
        <v>4.6</v>
      </c>
      <c r="G470" s="11">
        <v>6129.0</v>
      </c>
      <c r="K470" s="17"/>
    </row>
    <row r="471">
      <c r="A471" s="7" t="s">
        <v>509</v>
      </c>
      <c r="B471" s="7" t="s">
        <v>380</v>
      </c>
      <c r="C471" s="8">
        <v>10499.0</v>
      </c>
      <c r="D471" s="8">
        <v>13499.0</v>
      </c>
      <c r="E471" s="19">
        <v>0.22</v>
      </c>
      <c r="F471" s="10">
        <v>4.2</v>
      </c>
      <c r="G471" s="10">
        <v>284.0</v>
      </c>
      <c r="K471" s="17"/>
    </row>
    <row r="472">
      <c r="A472" s="7" t="s">
        <v>38</v>
      </c>
      <c r="B472" s="7" t="s">
        <v>15</v>
      </c>
      <c r="C472" s="8">
        <v>249.0</v>
      </c>
      <c r="D472" s="8">
        <v>399.0</v>
      </c>
      <c r="E472" s="19">
        <v>0.38</v>
      </c>
      <c r="F472" s="10">
        <v>4.0</v>
      </c>
      <c r="G472" s="11">
        <v>43994.0</v>
      </c>
      <c r="K472" s="17"/>
    </row>
    <row r="473">
      <c r="A473" s="7" t="s">
        <v>510</v>
      </c>
      <c r="B473" s="7" t="s">
        <v>511</v>
      </c>
      <c r="C473" s="8">
        <v>251.0</v>
      </c>
      <c r="D473" s="8">
        <v>999.0</v>
      </c>
      <c r="E473" s="19">
        <v>0.75</v>
      </c>
      <c r="F473" s="10">
        <v>3.7</v>
      </c>
      <c r="G473" s="11">
        <v>3234.0</v>
      </c>
      <c r="K473" s="17"/>
    </row>
    <row r="474">
      <c r="A474" s="7" t="s">
        <v>39</v>
      </c>
      <c r="B474" s="7" t="s">
        <v>15</v>
      </c>
      <c r="C474" s="8">
        <v>199.0</v>
      </c>
      <c r="D474" s="8">
        <v>499.0</v>
      </c>
      <c r="E474" s="19">
        <v>0.6</v>
      </c>
      <c r="F474" s="10">
        <v>4.1</v>
      </c>
      <c r="G474" s="11">
        <v>13045.0</v>
      </c>
      <c r="K474" s="17"/>
    </row>
    <row r="475">
      <c r="A475" s="7" t="s">
        <v>512</v>
      </c>
      <c r="B475" s="7" t="s">
        <v>380</v>
      </c>
      <c r="C475" s="8">
        <v>6499.0</v>
      </c>
      <c r="D475" s="8">
        <v>7999.0</v>
      </c>
      <c r="E475" s="19">
        <v>0.19</v>
      </c>
      <c r="F475" s="10">
        <v>4.1</v>
      </c>
      <c r="G475" s="7" t="s">
        <v>513</v>
      </c>
      <c r="K475" s="17"/>
    </row>
    <row r="476">
      <c r="A476" s="7" t="s">
        <v>514</v>
      </c>
      <c r="B476" s="7" t="s">
        <v>373</v>
      </c>
      <c r="C476" s="8">
        <v>2999.0</v>
      </c>
      <c r="D476" s="8">
        <v>9999.0</v>
      </c>
      <c r="E476" s="19">
        <v>0.7</v>
      </c>
      <c r="F476" s="10">
        <v>4.2</v>
      </c>
      <c r="G476" s="11">
        <v>20879.0</v>
      </c>
      <c r="K476" s="17"/>
    </row>
    <row r="477">
      <c r="A477" s="7" t="s">
        <v>515</v>
      </c>
      <c r="B477" s="7" t="s">
        <v>516</v>
      </c>
      <c r="C477" s="8">
        <v>279.0</v>
      </c>
      <c r="D477" s="8">
        <v>1499.0</v>
      </c>
      <c r="E477" s="19">
        <v>0.81</v>
      </c>
      <c r="F477" s="10">
        <v>4.2</v>
      </c>
      <c r="G477" s="11">
        <v>2646.0</v>
      </c>
      <c r="K477" s="17"/>
    </row>
    <row r="478">
      <c r="A478" s="7" t="s">
        <v>517</v>
      </c>
      <c r="B478" s="7" t="s">
        <v>450</v>
      </c>
      <c r="C478" s="8">
        <v>269.0</v>
      </c>
      <c r="D478" s="8">
        <v>1499.0</v>
      </c>
      <c r="E478" s="19">
        <v>0.82</v>
      </c>
      <c r="F478" s="10">
        <v>4.5</v>
      </c>
      <c r="G478" s="11">
        <v>28978.0</v>
      </c>
      <c r="K478" s="17"/>
    </row>
    <row r="479">
      <c r="A479" s="7" t="s">
        <v>518</v>
      </c>
      <c r="B479" s="7" t="s">
        <v>380</v>
      </c>
      <c r="C479" s="8">
        <v>8999.0</v>
      </c>
      <c r="D479" s="8">
        <v>13499.0</v>
      </c>
      <c r="E479" s="19">
        <v>0.33</v>
      </c>
      <c r="F479" s="10">
        <v>3.8</v>
      </c>
      <c r="G479" s="11">
        <v>3145.0</v>
      </c>
      <c r="K479" s="17"/>
    </row>
    <row r="480">
      <c r="A480" s="7" t="s">
        <v>44</v>
      </c>
      <c r="B480" s="7" t="s">
        <v>15</v>
      </c>
      <c r="C480" s="8">
        <v>59.0</v>
      </c>
      <c r="D480" s="8">
        <v>199.0</v>
      </c>
      <c r="E480" s="19">
        <v>0.7</v>
      </c>
      <c r="F480" s="10">
        <v>4.0</v>
      </c>
      <c r="G480" s="11">
        <v>9377.0</v>
      </c>
      <c r="K480" s="17"/>
    </row>
    <row r="481">
      <c r="A481" s="7" t="s">
        <v>519</v>
      </c>
      <c r="B481" s="7" t="s">
        <v>393</v>
      </c>
      <c r="C481" s="8">
        <v>599.0</v>
      </c>
      <c r="D481" s="8">
        <v>1299.0</v>
      </c>
      <c r="E481" s="19">
        <v>0.54</v>
      </c>
      <c r="F481" s="10">
        <v>4.1</v>
      </c>
      <c r="G481" s="7" t="s">
        <v>520</v>
      </c>
      <c r="K481" s="17"/>
    </row>
    <row r="482">
      <c r="A482" s="7" t="s">
        <v>521</v>
      </c>
      <c r="B482" s="7" t="s">
        <v>502</v>
      </c>
      <c r="C482" s="8">
        <v>349.0</v>
      </c>
      <c r="D482" s="8">
        <v>999.0</v>
      </c>
      <c r="E482" s="19">
        <v>0.65</v>
      </c>
      <c r="F482" s="10">
        <v>3.8</v>
      </c>
      <c r="G482" s="11">
        <v>16557.0</v>
      </c>
      <c r="K482" s="17"/>
    </row>
    <row r="483">
      <c r="A483" s="7" t="s">
        <v>445</v>
      </c>
      <c r="B483" s="7" t="s">
        <v>380</v>
      </c>
      <c r="C483" s="8">
        <v>13999.0</v>
      </c>
      <c r="D483" s="8">
        <v>19499.0</v>
      </c>
      <c r="E483" s="19">
        <v>0.28</v>
      </c>
      <c r="F483" s="10">
        <v>4.1</v>
      </c>
      <c r="G483" s="11">
        <v>18998.0</v>
      </c>
      <c r="K483" s="17"/>
    </row>
    <row r="484">
      <c r="A484" s="7" t="s">
        <v>522</v>
      </c>
      <c r="B484" s="7" t="s">
        <v>502</v>
      </c>
      <c r="C484" s="8">
        <v>349.0</v>
      </c>
      <c r="D484" s="8">
        <v>999.0</v>
      </c>
      <c r="E484" s="19">
        <v>0.65</v>
      </c>
      <c r="F484" s="10">
        <v>3.8</v>
      </c>
      <c r="G484" s="11">
        <v>16557.0</v>
      </c>
      <c r="K484" s="17"/>
    </row>
    <row r="485">
      <c r="A485" s="7" t="s">
        <v>523</v>
      </c>
      <c r="B485" s="7" t="s">
        <v>409</v>
      </c>
      <c r="C485" s="8">
        <v>499.0</v>
      </c>
      <c r="D485" s="8">
        <v>599.0</v>
      </c>
      <c r="E485" s="19">
        <v>0.17</v>
      </c>
      <c r="F485" s="10">
        <v>4.2</v>
      </c>
      <c r="G485" s="11">
        <v>21916.0</v>
      </c>
      <c r="K485" s="17"/>
    </row>
    <row r="486">
      <c r="A486" s="7" t="s">
        <v>415</v>
      </c>
      <c r="B486" s="7" t="s">
        <v>373</v>
      </c>
      <c r="C486" s="8">
        <v>2199.0</v>
      </c>
      <c r="D486" s="8">
        <v>9999.0</v>
      </c>
      <c r="E486" s="19">
        <v>0.78</v>
      </c>
      <c r="F486" s="10">
        <v>4.2</v>
      </c>
      <c r="G486" s="11">
        <v>29472.0</v>
      </c>
      <c r="K486" s="17"/>
    </row>
    <row r="487">
      <c r="A487" s="7" t="s">
        <v>524</v>
      </c>
      <c r="B487" s="7" t="s">
        <v>469</v>
      </c>
      <c r="C487" s="8">
        <v>95.0</v>
      </c>
      <c r="D487" s="8">
        <v>499.0</v>
      </c>
      <c r="E487" s="19">
        <v>0.81</v>
      </c>
      <c r="F487" s="10">
        <v>4.2</v>
      </c>
      <c r="G487" s="11">
        <v>1949.0</v>
      </c>
      <c r="K487" s="17"/>
    </row>
    <row r="488">
      <c r="A488" s="7" t="s">
        <v>525</v>
      </c>
      <c r="B488" s="7" t="s">
        <v>15</v>
      </c>
      <c r="C488" s="8">
        <v>139.0</v>
      </c>
      <c r="D488" s="8">
        <v>249.0</v>
      </c>
      <c r="E488" s="19">
        <v>0.44</v>
      </c>
      <c r="F488" s="10">
        <v>4.0</v>
      </c>
      <c r="G488" s="11">
        <v>9377.0</v>
      </c>
      <c r="K488" s="17"/>
    </row>
    <row r="489">
      <c r="A489" s="7" t="s">
        <v>526</v>
      </c>
      <c r="B489" s="7" t="s">
        <v>373</v>
      </c>
      <c r="C489" s="8">
        <v>4499.0</v>
      </c>
      <c r="D489" s="8">
        <v>7999.0</v>
      </c>
      <c r="E489" s="19">
        <v>0.44</v>
      </c>
      <c r="F489" s="10">
        <v>3.5</v>
      </c>
      <c r="G489" s="10">
        <v>37.0</v>
      </c>
      <c r="K489" s="17"/>
    </row>
    <row r="490">
      <c r="A490" s="7" t="s">
        <v>527</v>
      </c>
      <c r="B490" s="7" t="s">
        <v>450</v>
      </c>
      <c r="C490" s="8">
        <v>89.0</v>
      </c>
      <c r="D490" s="8">
        <v>599.0</v>
      </c>
      <c r="E490" s="19">
        <v>0.85</v>
      </c>
      <c r="F490" s="10">
        <v>4.3</v>
      </c>
      <c r="G490" s="11">
        <v>2351.0</v>
      </c>
      <c r="K490" s="17"/>
    </row>
    <row r="491">
      <c r="A491" s="7" t="s">
        <v>528</v>
      </c>
      <c r="B491" s="7" t="s">
        <v>380</v>
      </c>
      <c r="C491" s="8">
        <v>15499.0</v>
      </c>
      <c r="D491" s="8">
        <v>20999.0</v>
      </c>
      <c r="E491" s="19">
        <v>0.26</v>
      </c>
      <c r="F491" s="10">
        <v>4.1</v>
      </c>
      <c r="G491" s="11">
        <v>19253.0</v>
      </c>
      <c r="K491" s="17"/>
    </row>
    <row r="492">
      <c r="A492" s="7" t="s">
        <v>529</v>
      </c>
      <c r="B492" s="7" t="s">
        <v>380</v>
      </c>
      <c r="C492" s="8">
        <v>13999.0</v>
      </c>
      <c r="D492" s="8">
        <v>15999.0</v>
      </c>
      <c r="E492" s="19">
        <v>0.13</v>
      </c>
      <c r="F492" s="10">
        <v>3.9</v>
      </c>
      <c r="G492" s="11">
        <v>2180.0</v>
      </c>
      <c r="K492" s="17"/>
    </row>
    <row r="493">
      <c r="A493" s="7" t="s">
        <v>530</v>
      </c>
      <c r="B493" s="7" t="s">
        <v>373</v>
      </c>
      <c r="C493" s="8">
        <v>1999.0</v>
      </c>
      <c r="D493" s="8">
        <v>4999.0</v>
      </c>
      <c r="E493" s="19">
        <v>0.6</v>
      </c>
      <c r="F493" s="10">
        <v>3.9</v>
      </c>
      <c r="G493" s="11">
        <v>7571.0</v>
      </c>
      <c r="K493" s="17"/>
    </row>
    <row r="494">
      <c r="A494" s="7" t="s">
        <v>531</v>
      </c>
      <c r="B494" s="7" t="s">
        <v>373</v>
      </c>
      <c r="C494" s="8">
        <v>1399.0</v>
      </c>
      <c r="D494" s="8">
        <v>5999.0</v>
      </c>
      <c r="E494" s="19">
        <v>0.77</v>
      </c>
      <c r="F494" s="10">
        <v>3.3</v>
      </c>
      <c r="G494" s="11">
        <v>4415.0</v>
      </c>
      <c r="K494" s="17"/>
    </row>
    <row r="495">
      <c r="A495" s="7" t="s">
        <v>532</v>
      </c>
      <c r="B495" s="7" t="s">
        <v>407</v>
      </c>
      <c r="C495" s="8">
        <v>599.0</v>
      </c>
      <c r="D495" s="8">
        <v>999.0</v>
      </c>
      <c r="E495" s="19">
        <v>0.4</v>
      </c>
      <c r="F495" s="10">
        <v>4.0</v>
      </c>
      <c r="G495" s="11">
        <v>18654.0</v>
      </c>
      <c r="K495" s="17"/>
    </row>
    <row r="496">
      <c r="A496" s="7" t="s">
        <v>533</v>
      </c>
      <c r="B496" s="7" t="s">
        <v>409</v>
      </c>
      <c r="C496" s="8">
        <v>199.0</v>
      </c>
      <c r="D496" s="8">
        <v>1099.0</v>
      </c>
      <c r="E496" s="19">
        <v>0.82</v>
      </c>
      <c r="F496" s="10">
        <v>4.0</v>
      </c>
      <c r="G496" s="11">
        <v>3197.0</v>
      </c>
      <c r="K496" s="17"/>
    </row>
    <row r="497">
      <c r="A497" s="7" t="s">
        <v>534</v>
      </c>
      <c r="B497" s="7" t="s">
        <v>373</v>
      </c>
      <c r="C497" s="8">
        <v>1799.0</v>
      </c>
      <c r="D497" s="8">
        <v>6990.0</v>
      </c>
      <c r="E497" s="19">
        <v>0.74</v>
      </c>
      <c r="F497" s="10">
        <v>4.0</v>
      </c>
      <c r="G497" s="11">
        <v>26880.0</v>
      </c>
      <c r="K497" s="17"/>
    </row>
    <row r="498">
      <c r="A498" s="7" t="s">
        <v>535</v>
      </c>
      <c r="B498" s="7" t="s">
        <v>373</v>
      </c>
      <c r="C498" s="8">
        <v>1499.0</v>
      </c>
      <c r="D498" s="8">
        <v>6990.0</v>
      </c>
      <c r="E498" s="19">
        <v>0.79</v>
      </c>
      <c r="F498" s="10">
        <v>3.9</v>
      </c>
      <c r="G498" s="11">
        <v>21796.0</v>
      </c>
      <c r="K498" s="17"/>
    </row>
    <row r="499">
      <c r="A499" s="7" t="s">
        <v>536</v>
      </c>
      <c r="B499" s="7" t="s">
        <v>380</v>
      </c>
      <c r="C499" s="8">
        <v>20999.0</v>
      </c>
      <c r="D499" s="8">
        <v>29990.0</v>
      </c>
      <c r="E499" s="19">
        <v>0.3</v>
      </c>
      <c r="F499" s="10">
        <v>4.3</v>
      </c>
      <c r="G499" s="11">
        <v>9499.0</v>
      </c>
      <c r="K499" s="17"/>
    </row>
    <row r="500">
      <c r="A500" s="7" t="s">
        <v>537</v>
      </c>
      <c r="B500" s="7" t="s">
        <v>380</v>
      </c>
      <c r="C500" s="8">
        <v>12999.0</v>
      </c>
      <c r="D500" s="8">
        <v>13499.0</v>
      </c>
      <c r="E500" s="19">
        <v>0.04</v>
      </c>
      <c r="F500" s="10">
        <v>4.1</v>
      </c>
      <c r="G500" s="11">
        <v>56098.0</v>
      </c>
      <c r="K500" s="17"/>
    </row>
    <row r="501">
      <c r="A501" s="7" t="s">
        <v>538</v>
      </c>
      <c r="B501" s="7" t="s">
        <v>380</v>
      </c>
      <c r="C501" s="8">
        <v>16999.0</v>
      </c>
      <c r="D501" s="8">
        <v>20999.0</v>
      </c>
      <c r="E501" s="19">
        <v>0.19</v>
      </c>
      <c r="F501" s="10">
        <v>4.1</v>
      </c>
      <c r="G501" s="11">
        <v>31822.0</v>
      </c>
      <c r="K501" s="17"/>
    </row>
    <row r="502">
      <c r="A502" s="7" t="s">
        <v>539</v>
      </c>
      <c r="B502" s="7" t="s">
        <v>380</v>
      </c>
      <c r="C502" s="8">
        <v>19999.0</v>
      </c>
      <c r="D502" s="8">
        <v>27990.0</v>
      </c>
      <c r="E502" s="19">
        <v>0.29</v>
      </c>
      <c r="F502" s="10">
        <v>4.3</v>
      </c>
      <c r="G502" s="11">
        <v>9499.0</v>
      </c>
      <c r="K502" s="17"/>
    </row>
    <row r="503">
      <c r="A503" s="7" t="s">
        <v>540</v>
      </c>
      <c r="B503" s="7" t="s">
        <v>380</v>
      </c>
      <c r="C503" s="8">
        <v>12999.0</v>
      </c>
      <c r="D503" s="8">
        <v>18999.0</v>
      </c>
      <c r="E503" s="19">
        <v>0.32</v>
      </c>
      <c r="F503" s="10">
        <v>4.1</v>
      </c>
      <c r="G503" s="11">
        <v>50772.0</v>
      </c>
      <c r="K503" s="17"/>
    </row>
    <row r="504">
      <c r="A504" s="7" t="s">
        <v>541</v>
      </c>
      <c r="B504" s="7" t="s">
        <v>373</v>
      </c>
      <c r="C504" s="8">
        <v>2999.0</v>
      </c>
      <c r="D504" s="8">
        <v>5999.0</v>
      </c>
      <c r="E504" s="19">
        <v>0.5</v>
      </c>
      <c r="F504" s="10">
        <v>4.1</v>
      </c>
      <c r="G504" s="11">
        <v>7148.0</v>
      </c>
      <c r="K504" s="17"/>
    </row>
    <row r="505">
      <c r="A505" s="7" t="s">
        <v>50</v>
      </c>
      <c r="B505" s="7" t="s">
        <v>15</v>
      </c>
      <c r="C505" s="8">
        <v>299.0</v>
      </c>
      <c r="D505" s="8">
        <v>999.0</v>
      </c>
      <c r="E505" s="19">
        <v>0.7</v>
      </c>
      <c r="F505" s="10">
        <v>4.3</v>
      </c>
      <c r="G505" s="11">
        <v>20850.0</v>
      </c>
      <c r="K505" s="17"/>
    </row>
    <row r="506">
      <c r="A506" s="7" t="s">
        <v>49</v>
      </c>
      <c r="B506" s="7" t="s">
        <v>15</v>
      </c>
      <c r="C506" s="8">
        <v>970.0</v>
      </c>
      <c r="D506" s="8">
        <v>1999.0</v>
      </c>
      <c r="E506" s="19">
        <v>0.51</v>
      </c>
      <c r="F506" s="10">
        <v>4.4</v>
      </c>
      <c r="G506" s="10">
        <v>184.0</v>
      </c>
      <c r="K506" s="17"/>
    </row>
    <row r="507">
      <c r="A507" s="7" t="s">
        <v>542</v>
      </c>
      <c r="B507" s="7" t="s">
        <v>409</v>
      </c>
      <c r="C507" s="8">
        <v>329.0</v>
      </c>
      <c r="D507" s="8">
        <v>999.0</v>
      </c>
      <c r="E507" s="19">
        <v>0.67</v>
      </c>
      <c r="F507" s="10">
        <v>4.2</v>
      </c>
      <c r="G507" s="11">
        <v>3492.0</v>
      </c>
      <c r="K507" s="17"/>
    </row>
    <row r="508">
      <c r="A508" s="7" t="s">
        <v>543</v>
      </c>
      <c r="B508" s="7" t="s">
        <v>373</v>
      </c>
      <c r="C508" s="8">
        <v>1299.0</v>
      </c>
      <c r="D508" s="8">
        <v>5999.0</v>
      </c>
      <c r="E508" s="19">
        <v>0.78</v>
      </c>
      <c r="F508" s="10">
        <v>3.3</v>
      </c>
      <c r="G508" s="11">
        <v>4415.0</v>
      </c>
      <c r="K508" s="17"/>
    </row>
    <row r="509">
      <c r="A509" s="7" t="s">
        <v>544</v>
      </c>
      <c r="B509" s="7" t="s">
        <v>386</v>
      </c>
      <c r="C509" s="8">
        <v>1989.0</v>
      </c>
      <c r="D509" s="8">
        <v>3500.0</v>
      </c>
      <c r="E509" s="19">
        <v>0.43</v>
      </c>
      <c r="F509" s="10">
        <v>4.4</v>
      </c>
      <c r="G509" s="11">
        <v>67260.0</v>
      </c>
      <c r="K509" s="17"/>
    </row>
    <row r="510">
      <c r="A510" s="7" t="s">
        <v>374</v>
      </c>
      <c r="B510" s="7" t="s">
        <v>373</v>
      </c>
      <c r="C510" s="8">
        <v>1999.0</v>
      </c>
      <c r="D510" s="8">
        <v>9999.0</v>
      </c>
      <c r="E510" s="19">
        <v>0.8</v>
      </c>
      <c r="F510" s="10">
        <v>4.3</v>
      </c>
      <c r="G510" s="11">
        <v>27704.0</v>
      </c>
      <c r="K510" s="17"/>
    </row>
    <row r="511">
      <c r="A511" s="7" t="s">
        <v>545</v>
      </c>
      <c r="B511" s="7" t="s">
        <v>380</v>
      </c>
      <c r="C511" s="8">
        <v>12999.0</v>
      </c>
      <c r="D511" s="8">
        <v>18999.0</v>
      </c>
      <c r="E511" s="19">
        <v>0.32</v>
      </c>
      <c r="F511" s="10">
        <v>4.1</v>
      </c>
      <c r="G511" s="11">
        <v>50772.0</v>
      </c>
      <c r="K511" s="17"/>
    </row>
    <row r="512">
      <c r="A512" s="7" t="s">
        <v>546</v>
      </c>
      <c r="B512" s="7" t="s">
        <v>373</v>
      </c>
      <c r="C512" s="8">
        <v>1499.0</v>
      </c>
      <c r="D512" s="8">
        <v>4999.0</v>
      </c>
      <c r="E512" s="19">
        <v>0.7</v>
      </c>
      <c r="F512" s="10">
        <v>4.0</v>
      </c>
      <c r="G512" s="11">
        <v>92588.0</v>
      </c>
      <c r="K512" s="17"/>
    </row>
    <row r="513">
      <c r="A513" s="7" t="s">
        <v>547</v>
      </c>
      <c r="B513" s="7" t="s">
        <v>380</v>
      </c>
      <c r="C513" s="8">
        <v>16999.0</v>
      </c>
      <c r="D513" s="8">
        <v>20999.0</v>
      </c>
      <c r="E513" s="19">
        <v>0.19</v>
      </c>
      <c r="F513" s="10">
        <v>4.1</v>
      </c>
      <c r="G513" s="11">
        <v>31822.0</v>
      </c>
      <c r="K513" s="17"/>
    </row>
    <row r="514">
      <c r="A514" s="7" t="s">
        <v>548</v>
      </c>
      <c r="B514" s="7" t="s">
        <v>373</v>
      </c>
      <c r="C514" s="8">
        <v>1999.0</v>
      </c>
      <c r="D514" s="8">
        <v>8499.0</v>
      </c>
      <c r="E514" s="19">
        <v>0.76</v>
      </c>
      <c r="F514" s="10">
        <v>4.3</v>
      </c>
      <c r="G514" s="10">
        <v>240.0</v>
      </c>
      <c r="K514" s="17"/>
    </row>
    <row r="515">
      <c r="A515" s="7" t="s">
        <v>549</v>
      </c>
      <c r="B515" s="7" t="s">
        <v>373</v>
      </c>
      <c r="C515" s="8">
        <v>4999.0</v>
      </c>
      <c r="D515" s="8">
        <v>6999.0</v>
      </c>
      <c r="E515" s="19">
        <v>0.29</v>
      </c>
      <c r="F515" s="10">
        <v>3.8</v>
      </c>
      <c r="G515" s="10">
        <v>758.0</v>
      </c>
      <c r="K515" s="17"/>
    </row>
    <row r="516">
      <c r="A516" s="7" t="s">
        <v>56</v>
      </c>
      <c r="B516" s="7" t="s">
        <v>15</v>
      </c>
      <c r="C516" s="8">
        <v>99.0</v>
      </c>
      <c r="D516" s="8">
        <v>666.66</v>
      </c>
      <c r="E516" s="19">
        <v>0.85</v>
      </c>
      <c r="F516" s="10">
        <v>3.9</v>
      </c>
      <c r="G516" s="11">
        <v>24870.0</v>
      </c>
      <c r="K516" s="17"/>
    </row>
    <row r="517">
      <c r="A517" s="7" t="s">
        <v>550</v>
      </c>
      <c r="B517" s="7" t="s">
        <v>373</v>
      </c>
      <c r="C517" s="8">
        <v>2499.0</v>
      </c>
      <c r="D517" s="8">
        <v>5999.0</v>
      </c>
      <c r="E517" s="19">
        <v>0.58</v>
      </c>
      <c r="F517" s="10">
        <v>3.7</v>
      </c>
      <c r="G517" s="10">
        <v>828.0</v>
      </c>
      <c r="K517" s="17"/>
    </row>
    <row r="518">
      <c r="A518" s="7" t="s">
        <v>551</v>
      </c>
      <c r="B518" s="7" t="s">
        <v>389</v>
      </c>
      <c r="C518" s="8">
        <v>1399.0</v>
      </c>
      <c r="D518" s="8">
        <v>1630.0</v>
      </c>
      <c r="E518" s="19">
        <v>0.14</v>
      </c>
      <c r="F518" s="10">
        <v>4.0</v>
      </c>
      <c r="G518" s="11">
        <v>9378.0</v>
      </c>
      <c r="K518" s="17"/>
    </row>
    <row r="519">
      <c r="A519" s="7" t="s">
        <v>552</v>
      </c>
      <c r="B519" s="7" t="s">
        <v>373</v>
      </c>
      <c r="C519" s="8">
        <v>1499.0</v>
      </c>
      <c r="D519" s="8">
        <v>9999.0</v>
      </c>
      <c r="E519" s="19">
        <v>0.85</v>
      </c>
      <c r="F519" s="10">
        <v>4.2</v>
      </c>
      <c r="G519" s="11">
        <v>22638.0</v>
      </c>
      <c r="K519" s="17"/>
    </row>
    <row r="520">
      <c r="A520" s="7" t="s">
        <v>57</v>
      </c>
      <c r="B520" s="7" t="s">
        <v>15</v>
      </c>
      <c r="C520" s="8">
        <v>899.0</v>
      </c>
      <c r="D520" s="8">
        <v>1900.0</v>
      </c>
      <c r="E520" s="19">
        <v>0.53</v>
      </c>
      <c r="F520" s="10">
        <v>4.4</v>
      </c>
      <c r="G520" s="11">
        <v>13552.0</v>
      </c>
      <c r="K520" s="17"/>
    </row>
    <row r="521">
      <c r="A521" s="7" t="s">
        <v>553</v>
      </c>
      <c r="B521" s="7" t="s">
        <v>409</v>
      </c>
      <c r="C521" s="8">
        <v>249.0</v>
      </c>
      <c r="D521" s="8">
        <v>599.0</v>
      </c>
      <c r="E521" s="19">
        <v>0.58</v>
      </c>
      <c r="F521" s="10">
        <v>3.9</v>
      </c>
      <c r="G521" s="11">
        <v>2147.0</v>
      </c>
      <c r="K521" s="17"/>
    </row>
    <row r="522">
      <c r="A522" s="7" t="s">
        <v>554</v>
      </c>
      <c r="B522" s="7" t="s">
        <v>490</v>
      </c>
      <c r="C522" s="8">
        <v>299.0</v>
      </c>
      <c r="D522" s="8">
        <v>1199.0</v>
      </c>
      <c r="E522" s="19">
        <v>0.75</v>
      </c>
      <c r="F522" s="10">
        <v>4.5</v>
      </c>
      <c r="G522" s="10">
        <v>596.0</v>
      </c>
      <c r="K522" s="17"/>
    </row>
    <row r="523">
      <c r="A523" s="7" t="s">
        <v>555</v>
      </c>
      <c r="B523" s="7" t="s">
        <v>469</v>
      </c>
      <c r="C523" s="8">
        <v>79.0</v>
      </c>
      <c r="D523" s="8">
        <v>499.0</v>
      </c>
      <c r="E523" s="19">
        <v>0.84</v>
      </c>
      <c r="F523" s="10">
        <v>4.2</v>
      </c>
      <c r="G523" s="11">
        <v>1949.0</v>
      </c>
      <c r="K523" s="17"/>
    </row>
    <row r="524">
      <c r="A524" s="7" t="s">
        <v>556</v>
      </c>
      <c r="B524" s="7" t="s">
        <v>380</v>
      </c>
      <c r="C524" s="8">
        <v>13999.0</v>
      </c>
      <c r="D524" s="8">
        <v>15999.0</v>
      </c>
      <c r="E524" s="19">
        <v>0.13</v>
      </c>
      <c r="F524" s="10">
        <v>3.9</v>
      </c>
      <c r="G524" s="11">
        <v>2180.0</v>
      </c>
      <c r="K524" s="17"/>
    </row>
    <row r="525">
      <c r="A525" s="7" t="s">
        <v>557</v>
      </c>
      <c r="B525" s="7" t="s">
        <v>393</v>
      </c>
      <c r="C525" s="8">
        <v>949.0</v>
      </c>
      <c r="D525" s="8">
        <v>999.0</v>
      </c>
      <c r="E525" s="19">
        <v>0.05</v>
      </c>
      <c r="F525" s="10">
        <v>4.2</v>
      </c>
      <c r="G525" s="11">
        <v>31539.0</v>
      </c>
      <c r="K525" s="17"/>
    </row>
    <row r="526">
      <c r="A526" s="7" t="s">
        <v>558</v>
      </c>
      <c r="B526" s="7" t="s">
        <v>450</v>
      </c>
      <c r="C526" s="8">
        <v>99.0</v>
      </c>
      <c r="D526" s="8">
        <v>499.0</v>
      </c>
      <c r="E526" s="19">
        <v>0.8</v>
      </c>
      <c r="F526" s="10">
        <v>4.1</v>
      </c>
      <c r="G526" s="11">
        <v>2451.0</v>
      </c>
      <c r="K526" s="17"/>
    </row>
    <row r="527">
      <c r="A527" s="7" t="s">
        <v>559</v>
      </c>
      <c r="B527" s="7" t="s">
        <v>373</v>
      </c>
      <c r="C527" s="8">
        <v>2499.0</v>
      </c>
      <c r="D527" s="8">
        <v>7990.0</v>
      </c>
      <c r="E527" s="19">
        <v>0.69</v>
      </c>
      <c r="F527" s="10">
        <v>4.1</v>
      </c>
      <c r="G527" s="10">
        <v>154.0</v>
      </c>
      <c r="K527" s="17"/>
    </row>
    <row r="528">
      <c r="A528" s="7" t="s">
        <v>560</v>
      </c>
      <c r="B528" s="7" t="s">
        <v>561</v>
      </c>
      <c r="C528" s="8">
        <v>689.0</v>
      </c>
      <c r="D528" s="8">
        <v>1999.0</v>
      </c>
      <c r="E528" s="19">
        <v>0.66</v>
      </c>
      <c r="F528" s="10">
        <v>4.3</v>
      </c>
      <c r="G528" s="11">
        <v>1193.0</v>
      </c>
      <c r="K528" s="17"/>
    </row>
    <row r="529">
      <c r="A529" s="7" t="s">
        <v>562</v>
      </c>
      <c r="B529" s="7" t="s">
        <v>511</v>
      </c>
      <c r="C529" s="8">
        <v>499.0</v>
      </c>
      <c r="D529" s="8">
        <v>1899.0</v>
      </c>
      <c r="E529" s="19">
        <v>0.74</v>
      </c>
      <c r="F529" s="10">
        <v>4.1</v>
      </c>
      <c r="G529" s="11">
        <v>1475.0</v>
      </c>
      <c r="K529" s="17"/>
    </row>
    <row r="530">
      <c r="A530" s="7" t="s">
        <v>563</v>
      </c>
      <c r="B530" s="7" t="s">
        <v>490</v>
      </c>
      <c r="C530" s="8">
        <v>299.0</v>
      </c>
      <c r="D530" s="8">
        <v>999.0</v>
      </c>
      <c r="E530" s="19">
        <v>0.7</v>
      </c>
      <c r="F530" s="10">
        <v>4.3</v>
      </c>
      <c r="G530" s="11">
        <v>8891.0</v>
      </c>
      <c r="K530" s="17"/>
    </row>
    <row r="531">
      <c r="A531" s="7" t="s">
        <v>564</v>
      </c>
      <c r="B531" s="7" t="s">
        <v>450</v>
      </c>
      <c r="C531" s="8">
        <v>209.0</v>
      </c>
      <c r="D531" s="8">
        <v>499.0</v>
      </c>
      <c r="E531" s="19">
        <v>0.58</v>
      </c>
      <c r="F531" s="10">
        <v>3.6</v>
      </c>
      <c r="G531" s="10">
        <v>104.0</v>
      </c>
      <c r="K531" s="17"/>
    </row>
    <row r="532">
      <c r="A532" s="7" t="s">
        <v>565</v>
      </c>
      <c r="B532" s="7" t="s">
        <v>380</v>
      </c>
      <c r="C532" s="8">
        <v>8499.0</v>
      </c>
      <c r="D532" s="8">
        <v>12999.0</v>
      </c>
      <c r="E532" s="19">
        <v>0.35</v>
      </c>
      <c r="F532" s="10">
        <v>4.1</v>
      </c>
      <c r="G532" s="11">
        <v>6662.0</v>
      </c>
      <c r="K532" s="17"/>
    </row>
    <row r="533">
      <c r="A533" s="7" t="s">
        <v>566</v>
      </c>
      <c r="B533" s="7" t="s">
        <v>377</v>
      </c>
      <c r="C533" s="8">
        <v>2179.0</v>
      </c>
      <c r="D533" s="8">
        <v>3999.0</v>
      </c>
      <c r="E533" s="19">
        <v>0.46</v>
      </c>
      <c r="F533" s="10">
        <v>4.0</v>
      </c>
      <c r="G533" s="11">
        <v>8380.0</v>
      </c>
      <c r="K533" s="17"/>
    </row>
    <row r="534">
      <c r="A534" s="7" t="s">
        <v>567</v>
      </c>
      <c r="B534" s="7" t="s">
        <v>380</v>
      </c>
      <c r="C534" s="8">
        <v>16999.0</v>
      </c>
      <c r="D534" s="8">
        <v>20999.0</v>
      </c>
      <c r="E534" s="19">
        <v>0.19</v>
      </c>
      <c r="F534" s="10">
        <v>4.1</v>
      </c>
      <c r="G534" s="11">
        <v>31822.0</v>
      </c>
      <c r="K534" s="17"/>
    </row>
    <row r="535">
      <c r="A535" s="7" t="s">
        <v>568</v>
      </c>
      <c r="B535" s="7" t="s">
        <v>380</v>
      </c>
      <c r="C535" s="8">
        <v>44999.0</v>
      </c>
      <c r="D535" s="8">
        <v>49999.0</v>
      </c>
      <c r="E535" s="19">
        <v>0.1</v>
      </c>
      <c r="F535" s="10">
        <v>4.3</v>
      </c>
      <c r="G535" s="11">
        <v>3075.0</v>
      </c>
      <c r="K535" s="17"/>
    </row>
    <row r="536">
      <c r="A536" s="7" t="s">
        <v>569</v>
      </c>
      <c r="B536" s="7" t="s">
        <v>389</v>
      </c>
      <c r="C536" s="8">
        <v>2599.0</v>
      </c>
      <c r="D536" s="8">
        <v>2999.0</v>
      </c>
      <c r="E536" s="19">
        <v>0.13</v>
      </c>
      <c r="F536" s="10">
        <v>3.9</v>
      </c>
      <c r="G536" s="11">
        <v>14266.0</v>
      </c>
      <c r="K536" s="17"/>
    </row>
    <row r="537">
      <c r="A537" s="7" t="s">
        <v>570</v>
      </c>
      <c r="B537" s="7" t="s">
        <v>373</v>
      </c>
      <c r="C537" s="8">
        <v>2799.0</v>
      </c>
      <c r="D537" s="8">
        <v>6499.0</v>
      </c>
      <c r="E537" s="19">
        <v>0.57</v>
      </c>
      <c r="F537" s="10">
        <v>4.1</v>
      </c>
      <c r="G537" s="11">
        <v>38879.0</v>
      </c>
      <c r="K537" s="17"/>
    </row>
    <row r="538">
      <c r="A538" s="7" t="s">
        <v>571</v>
      </c>
      <c r="B538" s="7" t="s">
        <v>572</v>
      </c>
      <c r="C538" s="8">
        <v>1399.0</v>
      </c>
      <c r="D538" s="8">
        <v>2990.0</v>
      </c>
      <c r="E538" s="19">
        <v>0.53</v>
      </c>
      <c r="F538" s="10">
        <v>4.1</v>
      </c>
      <c r="G538" s="11">
        <v>97175.0</v>
      </c>
      <c r="K538" s="17"/>
    </row>
    <row r="539">
      <c r="A539" s="7" t="s">
        <v>573</v>
      </c>
      <c r="B539" s="7" t="s">
        <v>386</v>
      </c>
      <c r="C539" s="8">
        <v>649.0</v>
      </c>
      <c r="D539" s="8">
        <v>2400.0</v>
      </c>
      <c r="E539" s="19">
        <v>0.73</v>
      </c>
      <c r="F539" s="10">
        <v>4.4</v>
      </c>
      <c r="G539" s="11">
        <v>67260.0</v>
      </c>
      <c r="K539" s="17"/>
    </row>
    <row r="540">
      <c r="A540" s="7" t="s">
        <v>574</v>
      </c>
      <c r="B540" s="7" t="s">
        <v>409</v>
      </c>
      <c r="C540" s="8">
        <v>799.0</v>
      </c>
      <c r="D540" s="8">
        <v>3990.0</v>
      </c>
      <c r="E540" s="19">
        <v>0.8</v>
      </c>
      <c r="F540" s="10">
        <v>3.8</v>
      </c>
      <c r="G540" s="10">
        <v>119.0</v>
      </c>
      <c r="K540" s="17"/>
    </row>
    <row r="541">
      <c r="A541" s="7" t="s">
        <v>575</v>
      </c>
      <c r="B541" s="7" t="s">
        <v>576</v>
      </c>
      <c r="C541" s="8">
        <v>149.0</v>
      </c>
      <c r="D541" s="8">
        <v>149.0</v>
      </c>
      <c r="E541" s="19">
        <v>0.0</v>
      </c>
      <c r="F541" s="10">
        <v>4.3</v>
      </c>
      <c r="G541" s="11">
        <v>10833.0</v>
      </c>
      <c r="K541" s="17"/>
    </row>
    <row r="542">
      <c r="A542" s="7" t="s">
        <v>75</v>
      </c>
      <c r="B542" s="7" t="s">
        <v>15</v>
      </c>
      <c r="C542" s="8">
        <v>799.0</v>
      </c>
      <c r="D542" s="8">
        <v>2100.0</v>
      </c>
      <c r="E542" s="19">
        <v>0.62</v>
      </c>
      <c r="F542" s="10">
        <v>4.3</v>
      </c>
      <c r="G542" s="11">
        <v>8188.0</v>
      </c>
      <c r="K542" s="17"/>
    </row>
    <row r="543">
      <c r="A543" s="7" t="s">
        <v>577</v>
      </c>
      <c r="B543" s="7" t="s">
        <v>389</v>
      </c>
      <c r="C543" s="8">
        <v>3799.0</v>
      </c>
      <c r="D543" s="8">
        <v>5299.0</v>
      </c>
      <c r="E543" s="19">
        <v>0.28</v>
      </c>
      <c r="F543" s="10">
        <v>3.5</v>
      </c>
      <c r="G543" s="11">
        <v>1641.0</v>
      </c>
      <c r="K543" s="17"/>
    </row>
    <row r="544">
      <c r="A544" s="7" t="s">
        <v>578</v>
      </c>
      <c r="B544" s="7" t="s">
        <v>516</v>
      </c>
      <c r="C544" s="8">
        <v>199.0</v>
      </c>
      <c r="D544" s="8">
        <v>1899.0</v>
      </c>
      <c r="E544" s="19">
        <v>0.9</v>
      </c>
      <c r="F544" s="10">
        <v>4.0</v>
      </c>
      <c r="G544" s="11">
        <v>4740.0</v>
      </c>
      <c r="K544" s="17"/>
    </row>
    <row r="545">
      <c r="A545" s="7" t="s">
        <v>579</v>
      </c>
      <c r="B545" s="7" t="s">
        <v>380</v>
      </c>
      <c r="C545" s="8">
        <v>23999.0</v>
      </c>
      <c r="D545" s="8">
        <v>32999.0</v>
      </c>
      <c r="E545" s="19">
        <v>0.27</v>
      </c>
      <c r="F545" s="10">
        <v>3.9</v>
      </c>
      <c r="G545" s="11">
        <v>8866.0</v>
      </c>
      <c r="K545" s="17"/>
    </row>
    <row r="546">
      <c r="A546" s="7" t="s">
        <v>580</v>
      </c>
      <c r="B546" s="7" t="s">
        <v>380</v>
      </c>
      <c r="C546" s="8">
        <v>29990.0</v>
      </c>
      <c r="D546" s="8">
        <v>39990.0</v>
      </c>
      <c r="E546" s="19">
        <v>0.25</v>
      </c>
      <c r="F546" s="10">
        <v>4.3</v>
      </c>
      <c r="G546" s="11">
        <v>8399.0</v>
      </c>
      <c r="K546" s="17"/>
    </row>
    <row r="547">
      <c r="A547" s="7" t="s">
        <v>581</v>
      </c>
      <c r="B547" s="7" t="s">
        <v>373</v>
      </c>
      <c r="C547" s="8">
        <v>281.0</v>
      </c>
      <c r="D547" s="8">
        <v>1999.0</v>
      </c>
      <c r="E547" s="19">
        <v>0.86</v>
      </c>
      <c r="F547" s="10">
        <v>2.8</v>
      </c>
      <c r="G547" s="10">
        <v>87.0</v>
      </c>
      <c r="K547" s="17"/>
    </row>
    <row r="548">
      <c r="A548" s="7" t="s">
        <v>582</v>
      </c>
      <c r="B548" s="7" t="s">
        <v>380</v>
      </c>
      <c r="C548" s="8">
        <v>7998.0</v>
      </c>
      <c r="D548" s="8">
        <v>11999.0</v>
      </c>
      <c r="E548" s="19">
        <v>0.33</v>
      </c>
      <c r="F548" s="10">
        <v>3.8</v>
      </c>
      <c r="G548" s="10">
        <v>125.0</v>
      </c>
      <c r="K548" s="17"/>
    </row>
    <row r="549">
      <c r="A549" s="7" t="s">
        <v>583</v>
      </c>
      <c r="B549" s="7" t="s">
        <v>373</v>
      </c>
      <c r="C549" s="8">
        <v>249.0</v>
      </c>
      <c r="D549" s="8">
        <v>999.0</v>
      </c>
      <c r="E549" s="19">
        <v>0.75</v>
      </c>
      <c r="F549" s="10">
        <v>4.5</v>
      </c>
      <c r="G549" s="10">
        <v>38.0</v>
      </c>
      <c r="K549" s="17"/>
    </row>
    <row r="550">
      <c r="A550" s="7" t="s">
        <v>584</v>
      </c>
      <c r="B550" s="7" t="s">
        <v>490</v>
      </c>
      <c r="C550" s="8">
        <v>299.0</v>
      </c>
      <c r="D550" s="8">
        <v>599.0</v>
      </c>
      <c r="E550" s="19">
        <v>0.5</v>
      </c>
      <c r="F550" s="10">
        <v>4.3</v>
      </c>
      <c r="G550" s="11">
        <v>4674.0</v>
      </c>
      <c r="K550" s="17"/>
    </row>
    <row r="551">
      <c r="A551" s="7" t="s">
        <v>585</v>
      </c>
      <c r="B551" s="7" t="s">
        <v>373</v>
      </c>
      <c r="C551" s="8">
        <v>499.0</v>
      </c>
      <c r="D551" s="8">
        <v>1899.0</v>
      </c>
      <c r="E551" s="19">
        <v>0.74</v>
      </c>
      <c r="F551" s="10">
        <v>4.1</v>
      </c>
      <c r="G551" s="10">
        <v>412.0</v>
      </c>
      <c r="K551" s="17"/>
    </row>
    <row r="552">
      <c r="A552" s="7" t="s">
        <v>586</v>
      </c>
      <c r="B552" s="7" t="s">
        <v>373</v>
      </c>
      <c r="C552" s="8">
        <v>899.0</v>
      </c>
      <c r="D552" s="8">
        <v>3499.0</v>
      </c>
      <c r="E552" s="19">
        <v>0.74</v>
      </c>
      <c r="F552" s="10">
        <v>3.0</v>
      </c>
      <c r="G552" s="10">
        <v>681.0</v>
      </c>
      <c r="K552" s="17"/>
    </row>
    <row r="553">
      <c r="A553" s="7" t="s">
        <v>587</v>
      </c>
      <c r="B553" s="7" t="s">
        <v>377</v>
      </c>
      <c r="C553" s="8">
        <v>1599.0</v>
      </c>
      <c r="D553" s="8">
        <v>3499.0</v>
      </c>
      <c r="E553" s="19">
        <v>0.54</v>
      </c>
      <c r="F553" s="10">
        <v>4.0</v>
      </c>
      <c r="G553" s="11">
        <v>36384.0</v>
      </c>
      <c r="K553" s="17"/>
    </row>
    <row r="554">
      <c r="A554" s="7" t="s">
        <v>588</v>
      </c>
      <c r="B554" s="7" t="s">
        <v>589</v>
      </c>
      <c r="C554" s="8">
        <v>120.0</v>
      </c>
      <c r="D554" s="8">
        <v>999.0</v>
      </c>
      <c r="E554" s="19">
        <v>0.88</v>
      </c>
      <c r="F554" s="10">
        <v>3.9</v>
      </c>
      <c r="G554" s="11">
        <v>6491.0</v>
      </c>
      <c r="K554" s="17"/>
    </row>
    <row r="555">
      <c r="A555" s="7" t="s">
        <v>590</v>
      </c>
      <c r="B555" s="7" t="s">
        <v>373</v>
      </c>
      <c r="C555" s="8">
        <v>3999.0</v>
      </c>
      <c r="D555" s="8">
        <v>6999.0</v>
      </c>
      <c r="E555" s="19">
        <v>0.43</v>
      </c>
      <c r="F555" s="10">
        <v>4.1</v>
      </c>
      <c r="G555" s="11">
        <v>10229.0</v>
      </c>
      <c r="K555" s="17"/>
    </row>
    <row r="556">
      <c r="A556" s="7" t="s">
        <v>540</v>
      </c>
      <c r="B556" s="7" t="s">
        <v>380</v>
      </c>
      <c r="C556" s="8">
        <v>12999.0</v>
      </c>
      <c r="D556" s="8">
        <v>18999.0</v>
      </c>
      <c r="E556" s="19">
        <v>0.32</v>
      </c>
      <c r="F556" s="10">
        <v>4.1</v>
      </c>
      <c r="G556" s="11">
        <v>50772.0</v>
      </c>
      <c r="K556" s="17"/>
    </row>
    <row r="557">
      <c r="A557" s="7" t="s">
        <v>591</v>
      </c>
      <c r="B557" s="7" t="s">
        <v>516</v>
      </c>
      <c r="C557" s="8">
        <v>1599.0</v>
      </c>
      <c r="D557" s="8">
        <v>2599.0</v>
      </c>
      <c r="E557" s="19">
        <v>0.38</v>
      </c>
      <c r="F557" s="10">
        <v>4.3</v>
      </c>
      <c r="G557" s="11">
        <v>1801.0</v>
      </c>
      <c r="K557" s="17"/>
    </row>
    <row r="558">
      <c r="A558" s="7" t="s">
        <v>592</v>
      </c>
      <c r="B558" s="7" t="s">
        <v>409</v>
      </c>
      <c r="C558" s="8">
        <v>699.0</v>
      </c>
      <c r="D558" s="8">
        <v>1199.0</v>
      </c>
      <c r="E558" s="19">
        <v>0.42</v>
      </c>
      <c r="F558" s="10">
        <v>4.0</v>
      </c>
      <c r="G558" s="11">
        <v>14404.0</v>
      </c>
      <c r="K558" s="17"/>
    </row>
    <row r="559">
      <c r="A559" s="7" t="s">
        <v>593</v>
      </c>
      <c r="B559" s="7" t="s">
        <v>594</v>
      </c>
      <c r="C559" s="8">
        <v>99.0</v>
      </c>
      <c r="D559" s="8">
        <v>999.0</v>
      </c>
      <c r="E559" s="19">
        <v>0.9</v>
      </c>
      <c r="F559" s="10">
        <v>4.4</v>
      </c>
      <c r="G559" s="10">
        <v>305.0</v>
      </c>
      <c r="K559" s="17"/>
    </row>
    <row r="560">
      <c r="A560" s="7" t="s">
        <v>595</v>
      </c>
      <c r="B560" s="7" t="s">
        <v>380</v>
      </c>
      <c r="C560" s="8">
        <v>7915.0</v>
      </c>
      <c r="D560" s="8">
        <v>9999.0</v>
      </c>
      <c r="E560" s="19">
        <v>0.21</v>
      </c>
      <c r="F560" s="10">
        <v>4.3</v>
      </c>
      <c r="G560" s="11">
        <v>1376.0</v>
      </c>
      <c r="K560" s="17"/>
    </row>
    <row r="561">
      <c r="A561" s="7" t="s">
        <v>596</v>
      </c>
      <c r="B561" s="7" t="s">
        <v>373</v>
      </c>
      <c r="C561" s="8">
        <v>1499.0</v>
      </c>
      <c r="D561" s="8">
        <v>7999.0</v>
      </c>
      <c r="E561" s="19">
        <v>0.81</v>
      </c>
      <c r="F561" s="10">
        <v>4.2</v>
      </c>
      <c r="G561" s="11">
        <v>22638.0</v>
      </c>
      <c r="K561" s="17"/>
    </row>
    <row r="562">
      <c r="A562" s="7" t="s">
        <v>597</v>
      </c>
      <c r="B562" s="7" t="s">
        <v>389</v>
      </c>
      <c r="C562" s="8">
        <v>1055.0</v>
      </c>
      <c r="D562" s="8">
        <v>1249.0</v>
      </c>
      <c r="E562" s="19">
        <v>0.16</v>
      </c>
      <c r="F562" s="10">
        <v>3.8</v>
      </c>
      <c r="G562" s="11">
        <v>2352.0</v>
      </c>
      <c r="K562" s="17"/>
    </row>
    <row r="563">
      <c r="A563" s="7" t="s">
        <v>598</v>
      </c>
      <c r="B563" s="7" t="s">
        <v>490</v>
      </c>
      <c r="C563" s="8">
        <v>150.0</v>
      </c>
      <c r="D563" s="8">
        <v>599.0</v>
      </c>
      <c r="E563" s="19">
        <v>0.75</v>
      </c>
      <c r="F563" s="10">
        <v>4.3</v>
      </c>
      <c r="G563" s="10">
        <v>714.0</v>
      </c>
      <c r="K563" s="17"/>
    </row>
    <row r="564">
      <c r="A564" s="7" t="s">
        <v>94</v>
      </c>
      <c r="B564" s="7" t="s">
        <v>15</v>
      </c>
      <c r="C564" s="8">
        <v>219.0</v>
      </c>
      <c r="D564" s="8">
        <v>700.0</v>
      </c>
      <c r="E564" s="19">
        <v>0.69</v>
      </c>
      <c r="F564" s="10">
        <v>4.3</v>
      </c>
      <c r="G564" s="11">
        <v>20052.0</v>
      </c>
      <c r="K564" s="17"/>
    </row>
    <row r="565">
      <c r="A565" s="7" t="s">
        <v>599</v>
      </c>
      <c r="B565" s="7" t="s">
        <v>516</v>
      </c>
      <c r="C565" s="8">
        <v>474.0</v>
      </c>
      <c r="D565" s="8">
        <v>1799.0</v>
      </c>
      <c r="E565" s="19">
        <v>0.74</v>
      </c>
      <c r="F565" s="10">
        <v>4.3</v>
      </c>
      <c r="G565" s="11">
        <v>1454.0</v>
      </c>
      <c r="K565" s="17"/>
    </row>
    <row r="566">
      <c r="A566" s="7" t="s">
        <v>98</v>
      </c>
      <c r="B566" s="7" t="s">
        <v>15</v>
      </c>
      <c r="C566" s="8">
        <v>115.0</v>
      </c>
      <c r="D566" s="8">
        <v>499.0</v>
      </c>
      <c r="E566" s="19">
        <v>0.77</v>
      </c>
      <c r="F566" s="10">
        <v>4.0</v>
      </c>
      <c r="G566" s="11">
        <v>7732.0</v>
      </c>
      <c r="K566" s="17"/>
    </row>
    <row r="567">
      <c r="A567" s="7" t="s">
        <v>600</v>
      </c>
      <c r="B567" s="7" t="s">
        <v>409</v>
      </c>
      <c r="C567" s="8">
        <v>239.0</v>
      </c>
      <c r="D567" s="8">
        <v>599.0</v>
      </c>
      <c r="E567" s="19">
        <v>0.6</v>
      </c>
      <c r="F567" s="10">
        <v>3.9</v>
      </c>
      <c r="G567" s="11">
        <v>2147.0</v>
      </c>
      <c r="K567" s="17"/>
    </row>
    <row r="568">
      <c r="A568" s="7" t="s">
        <v>601</v>
      </c>
      <c r="B568" s="7" t="s">
        <v>380</v>
      </c>
      <c r="C568" s="8">
        <v>7499.0</v>
      </c>
      <c r="D568" s="8">
        <v>9499.0</v>
      </c>
      <c r="E568" s="19">
        <v>0.21</v>
      </c>
      <c r="F568" s="10">
        <v>4.1</v>
      </c>
      <c r="G568" s="7" t="s">
        <v>513</v>
      </c>
      <c r="K568" s="17"/>
    </row>
    <row r="569">
      <c r="A569" s="7" t="s">
        <v>602</v>
      </c>
      <c r="B569" s="7" t="s">
        <v>373</v>
      </c>
      <c r="C569" s="8">
        <v>265.0</v>
      </c>
      <c r="D569" s="8">
        <v>999.0</v>
      </c>
      <c r="E569" s="19">
        <v>0.73</v>
      </c>
      <c r="F569" s="10">
        <v>3.7</v>
      </c>
      <c r="G569" s="10">
        <v>465.0</v>
      </c>
      <c r="K569" s="17"/>
    </row>
    <row r="570">
      <c r="A570" s="7" t="s">
        <v>603</v>
      </c>
      <c r="B570" s="7" t="s">
        <v>380</v>
      </c>
      <c r="C570" s="8">
        <v>37990.0</v>
      </c>
      <c r="D570" s="8">
        <v>74999.0</v>
      </c>
      <c r="E570" s="19">
        <v>0.49</v>
      </c>
      <c r="F570" s="10">
        <v>4.2</v>
      </c>
      <c r="G570" s="11">
        <v>27790.0</v>
      </c>
      <c r="K570" s="17"/>
    </row>
    <row r="571">
      <c r="A571" s="7" t="s">
        <v>100</v>
      </c>
      <c r="B571" s="7" t="s">
        <v>15</v>
      </c>
      <c r="C571" s="8">
        <v>199.0</v>
      </c>
      <c r="D571" s="8">
        <v>499.0</v>
      </c>
      <c r="E571" s="19">
        <v>0.6</v>
      </c>
      <c r="F571" s="10">
        <v>4.1</v>
      </c>
      <c r="G571" s="10">
        <v>602.0</v>
      </c>
      <c r="K571" s="17"/>
    </row>
    <row r="572">
      <c r="A572" s="7" t="s">
        <v>101</v>
      </c>
      <c r="B572" s="7" t="s">
        <v>15</v>
      </c>
      <c r="C572" s="8">
        <v>179.0</v>
      </c>
      <c r="D572" s="8">
        <v>399.0</v>
      </c>
      <c r="E572" s="19">
        <v>0.55</v>
      </c>
      <c r="F572" s="10">
        <v>4.0</v>
      </c>
      <c r="G572" s="11">
        <v>1423.0</v>
      </c>
      <c r="K572" s="17"/>
    </row>
    <row r="573">
      <c r="A573" s="7" t="s">
        <v>604</v>
      </c>
      <c r="B573" s="7" t="s">
        <v>441</v>
      </c>
      <c r="C573" s="8">
        <v>1799.0</v>
      </c>
      <c r="D573" s="8">
        <v>3999.0</v>
      </c>
      <c r="E573" s="19">
        <v>0.55</v>
      </c>
      <c r="F573" s="10">
        <v>4.6</v>
      </c>
      <c r="G573" s="10">
        <v>245.0</v>
      </c>
      <c r="K573" s="17"/>
    </row>
    <row r="574">
      <c r="A574" s="7" t="s">
        <v>605</v>
      </c>
      <c r="B574" s="7" t="s">
        <v>380</v>
      </c>
      <c r="C574" s="8">
        <v>8499.0</v>
      </c>
      <c r="D574" s="8">
        <v>11999.0</v>
      </c>
      <c r="E574" s="19">
        <v>0.29</v>
      </c>
      <c r="F574" s="10">
        <v>3.9</v>
      </c>
      <c r="G574" s="10">
        <v>276.0</v>
      </c>
      <c r="K574" s="17"/>
    </row>
    <row r="575">
      <c r="A575" s="7" t="s">
        <v>606</v>
      </c>
      <c r="B575" s="7" t="s">
        <v>373</v>
      </c>
      <c r="C575" s="8">
        <v>1999.0</v>
      </c>
      <c r="D575" s="8">
        <v>3999.0</v>
      </c>
      <c r="E575" s="19">
        <v>0.5</v>
      </c>
      <c r="F575" s="10">
        <v>4.0</v>
      </c>
      <c r="G575" s="11">
        <v>30254.0</v>
      </c>
      <c r="K575" s="17"/>
    </row>
    <row r="576">
      <c r="A576" s="7" t="s">
        <v>424</v>
      </c>
      <c r="B576" s="7" t="s">
        <v>373</v>
      </c>
      <c r="C576" s="8">
        <v>3999.0</v>
      </c>
      <c r="D576" s="8">
        <v>17999.0</v>
      </c>
      <c r="E576" s="19">
        <v>0.78</v>
      </c>
      <c r="F576" s="10">
        <v>4.3</v>
      </c>
      <c r="G576" s="11">
        <v>17161.0</v>
      </c>
      <c r="K576" s="17"/>
    </row>
    <row r="577">
      <c r="A577" s="7" t="s">
        <v>607</v>
      </c>
      <c r="B577" s="7" t="s">
        <v>409</v>
      </c>
      <c r="C577" s="8">
        <v>219.0</v>
      </c>
      <c r="D577" s="8">
        <v>499.0</v>
      </c>
      <c r="E577" s="19">
        <v>0.56</v>
      </c>
      <c r="F577" s="10">
        <v>4.4</v>
      </c>
      <c r="G577" s="10">
        <v>14.0</v>
      </c>
      <c r="K577" s="17"/>
    </row>
    <row r="578">
      <c r="A578" s="7" t="s">
        <v>608</v>
      </c>
      <c r="B578" s="7" t="s">
        <v>441</v>
      </c>
      <c r="C578" s="8">
        <v>599.0</v>
      </c>
      <c r="D578" s="8">
        <v>1399.0</v>
      </c>
      <c r="E578" s="19">
        <v>0.57</v>
      </c>
      <c r="F578" s="10">
        <v>4.1</v>
      </c>
      <c r="G578" s="11">
        <v>14560.0</v>
      </c>
      <c r="K578" s="17"/>
    </row>
    <row r="579">
      <c r="A579" s="7" t="s">
        <v>609</v>
      </c>
      <c r="B579" s="7" t="s">
        <v>377</v>
      </c>
      <c r="C579" s="8">
        <v>2499.0</v>
      </c>
      <c r="D579" s="8">
        <v>2999.0</v>
      </c>
      <c r="E579" s="19">
        <v>0.17</v>
      </c>
      <c r="F579" s="10">
        <v>4.1</v>
      </c>
      <c r="G579" s="11">
        <v>3156.0</v>
      </c>
      <c r="K579" s="17"/>
    </row>
    <row r="580">
      <c r="A580" s="7" t="s">
        <v>610</v>
      </c>
      <c r="B580" s="7" t="s">
        <v>611</v>
      </c>
      <c r="C580" s="8">
        <v>89.0</v>
      </c>
      <c r="D580" s="8">
        <v>499.0</v>
      </c>
      <c r="E580" s="19">
        <v>0.82</v>
      </c>
      <c r="F580" s="10">
        <v>4.1</v>
      </c>
      <c r="G580" s="11">
        <v>9340.0</v>
      </c>
      <c r="K580" s="17"/>
    </row>
    <row r="581">
      <c r="A581" s="7" t="s">
        <v>612</v>
      </c>
      <c r="B581" s="7" t="s">
        <v>373</v>
      </c>
      <c r="C581" s="8">
        <v>2999.0</v>
      </c>
      <c r="D581" s="8">
        <v>11999.0</v>
      </c>
      <c r="E581" s="19">
        <v>0.75</v>
      </c>
      <c r="F581" s="10">
        <v>4.4</v>
      </c>
      <c r="G581" s="10">
        <v>768.0</v>
      </c>
      <c r="K581" s="17"/>
    </row>
    <row r="582">
      <c r="A582" s="7" t="s">
        <v>613</v>
      </c>
      <c r="B582" s="7" t="s">
        <v>450</v>
      </c>
      <c r="C582" s="8">
        <v>314.0</v>
      </c>
      <c r="D582" s="8">
        <v>1499.0</v>
      </c>
      <c r="E582" s="19">
        <v>0.79</v>
      </c>
      <c r="F582" s="10">
        <v>4.5</v>
      </c>
      <c r="G582" s="11">
        <v>28978.0</v>
      </c>
      <c r="K582" s="17"/>
    </row>
    <row r="583">
      <c r="A583" s="7" t="s">
        <v>614</v>
      </c>
      <c r="B583" s="7" t="s">
        <v>380</v>
      </c>
      <c r="C583" s="8">
        <v>13999.0</v>
      </c>
      <c r="D583" s="8">
        <v>19499.0</v>
      </c>
      <c r="E583" s="19">
        <v>0.28</v>
      </c>
      <c r="F583" s="10">
        <v>4.1</v>
      </c>
      <c r="G583" s="11">
        <v>18998.0</v>
      </c>
      <c r="K583" s="17"/>
    </row>
    <row r="584">
      <c r="A584" s="7" t="s">
        <v>615</v>
      </c>
      <c r="B584" s="7" t="s">
        <v>423</v>
      </c>
      <c r="C584" s="8">
        <v>139.0</v>
      </c>
      <c r="D584" s="8">
        <v>499.0</v>
      </c>
      <c r="E584" s="19">
        <v>0.72</v>
      </c>
      <c r="F584" s="10">
        <v>4.2</v>
      </c>
      <c r="G584" s="11">
        <v>4971.0</v>
      </c>
      <c r="K584" s="17"/>
    </row>
    <row r="585">
      <c r="A585" s="7" t="s">
        <v>616</v>
      </c>
      <c r="B585" s="7" t="s">
        <v>502</v>
      </c>
      <c r="C585" s="8">
        <v>2599.0</v>
      </c>
      <c r="D585" s="8">
        <v>6999.0</v>
      </c>
      <c r="E585" s="19">
        <v>0.63</v>
      </c>
      <c r="F585" s="10">
        <v>4.5</v>
      </c>
      <c r="G585" s="11">
        <v>1526.0</v>
      </c>
      <c r="K585" s="17"/>
    </row>
    <row r="586">
      <c r="A586" s="7" t="s">
        <v>617</v>
      </c>
      <c r="B586" s="7" t="s">
        <v>393</v>
      </c>
      <c r="C586" s="8">
        <v>365.0</v>
      </c>
      <c r="D586" s="8">
        <v>999.0</v>
      </c>
      <c r="E586" s="19">
        <v>0.63</v>
      </c>
      <c r="F586" s="10">
        <v>4.1</v>
      </c>
      <c r="G586" s="7" t="s">
        <v>618</v>
      </c>
      <c r="K586" s="17"/>
    </row>
    <row r="587">
      <c r="A587" s="7" t="s">
        <v>619</v>
      </c>
      <c r="B587" s="7" t="s">
        <v>393</v>
      </c>
      <c r="C587" s="8">
        <v>1499.0</v>
      </c>
      <c r="D587" s="8">
        <v>4490.0</v>
      </c>
      <c r="E587" s="19">
        <v>0.67</v>
      </c>
      <c r="F587" s="10">
        <v>3.9</v>
      </c>
      <c r="G587" s="7" t="s">
        <v>620</v>
      </c>
      <c r="K587" s="17"/>
    </row>
    <row r="588">
      <c r="A588" s="7" t="s">
        <v>374</v>
      </c>
      <c r="B588" s="7" t="s">
        <v>373</v>
      </c>
      <c r="C588" s="8">
        <v>1998.0</v>
      </c>
      <c r="D588" s="8">
        <v>9999.0</v>
      </c>
      <c r="E588" s="19">
        <v>0.8</v>
      </c>
      <c r="F588" s="10">
        <v>4.3</v>
      </c>
      <c r="G588" s="11">
        <v>27709.0</v>
      </c>
      <c r="K588" s="17"/>
    </row>
    <row r="589">
      <c r="A589" s="7" t="s">
        <v>375</v>
      </c>
      <c r="B589" s="7" t="s">
        <v>373</v>
      </c>
      <c r="C589" s="8">
        <v>1799.0</v>
      </c>
      <c r="D589" s="8">
        <v>7990.0</v>
      </c>
      <c r="E589" s="19">
        <v>0.77</v>
      </c>
      <c r="F589" s="10">
        <v>3.8</v>
      </c>
      <c r="G589" s="11">
        <v>17833.0</v>
      </c>
      <c r="K589" s="17"/>
    </row>
    <row r="590">
      <c r="A590" s="7" t="s">
        <v>621</v>
      </c>
      <c r="B590" s="7" t="s">
        <v>622</v>
      </c>
      <c r="C590" s="8">
        <v>289.0</v>
      </c>
      <c r="D590" s="8">
        <v>650.0</v>
      </c>
      <c r="E590" s="19">
        <v>0.56</v>
      </c>
      <c r="F590" s="10">
        <v>4.3</v>
      </c>
      <c r="G590" s="7" t="s">
        <v>623</v>
      </c>
      <c r="K590" s="17"/>
    </row>
    <row r="591">
      <c r="A591" s="7" t="s">
        <v>624</v>
      </c>
      <c r="B591" s="7" t="s">
        <v>625</v>
      </c>
      <c r="C591" s="8">
        <v>599.0</v>
      </c>
      <c r="D591" s="8">
        <v>895.0</v>
      </c>
      <c r="E591" s="19">
        <v>0.33</v>
      </c>
      <c r="F591" s="10">
        <v>4.4</v>
      </c>
      <c r="G591" s="11">
        <v>61314.0</v>
      </c>
      <c r="K591" s="17"/>
    </row>
    <row r="592">
      <c r="A592" s="7" t="s">
        <v>626</v>
      </c>
      <c r="B592" s="7" t="s">
        <v>627</v>
      </c>
      <c r="C592" s="8">
        <v>217.0</v>
      </c>
      <c r="D592" s="8">
        <v>237.0</v>
      </c>
      <c r="E592" s="19">
        <v>0.08</v>
      </c>
      <c r="F592" s="10">
        <v>3.8</v>
      </c>
      <c r="G592" s="11">
        <v>7354.0</v>
      </c>
      <c r="K592" s="17"/>
    </row>
    <row r="593">
      <c r="A593" s="7" t="s">
        <v>628</v>
      </c>
      <c r="B593" s="7" t="s">
        <v>393</v>
      </c>
      <c r="C593" s="8">
        <v>1299.0</v>
      </c>
      <c r="D593" s="8">
        <v>2990.0</v>
      </c>
      <c r="E593" s="19">
        <v>0.57</v>
      </c>
      <c r="F593" s="10">
        <v>3.8</v>
      </c>
      <c r="G593" s="7" t="s">
        <v>629</v>
      </c>
      <c r="K593" s="17"/>
    </row>
    <row r="594">
      <c r="A594" s="7" t="s">
        <v>630</v>
      </c>
      <c r="B594" s="7" t="s">
        <v>631</v>
      </c>
      <c r="C594" s="8">
        <v>263.0</v>
      </c>
      <c r="D594" s="8">
        <v>699.0</v>
      </c>
      <c r="E594" s="19">
        <v>0.62</v>
      </c>
      <c r="F594" s="10">
        <v>3.5</v>
      </c>
      <c r="G594" s="10">
        <v>690.0</v>
      </c>
      <c r="K594" s="17"/>
    </row>
    <row r="595">
      <c r="A595" s="7" t="s">
        <v>385</v>
      </c>
      <c r="B595" s="7" t="s">
        <v>386</v>
      </c>
      <c r="C595" s="8">
        <v>569.0</v>
      </c>
      <c r="D595" s="8">
        <v>1000.0</v>
      </c>
      <c r="E595" s="19">
        <v>0.43</v>
      </c>
      <c r="F595" s="10">
        <v>4.4</v>
      </c>
      <c r="G595" s="11">
        <v>67262.0</v>
      </c>
      <c r="K595" s="17"/>
    </row>
    <row r="596">
      <c r="A596" s="7" t="s">
        <v>387</v>
      </c>
      <c r="B596" s="7" t="s">
        <v>373</v>
      </c>
      <c r="C596" s="8">
        <v>1999.0</v>
      </c>
      <c r="D596" s="8">
        <v>4999.0</v>
      </c>
      <c r="E596" s="19">
        <v>0.6</v>
      </c>
      <c r="F596" s="10">
        <v>4.1</v>
      </c>
      <c r="G596" s="11">
        <v>10689.0</v>
      </c>
      <c r="K596" s="17"/>
    </row>
    <row r="597">
      <c r="A597" s="7" t="s">
        <v>632</v>
      </c>
      <c r="B597" s="7" t="s">
        <v>393</v>
      </c>
      <c r="C597" s="8">
        <v>1399.0</v>
      </c>
      <c r="D597" s="8">
        <v>3990.0</v>
      </c>
      <c r="E597" s="19">
        <v>0.65</v>
      </c>
      <c r="F597" s="10">
        <v>4.1</v>
      </c>
      <c r="G597" s="7" t="s">
        <v>633</v>
      </c>
      <c r="K597" s="17"/>
    </row>
    <row r="598">
      <c r="A598" s="7" t="s">
        <v>634</v>
      </c>
      <c r="B598" s="7" t="s">
        <v>635</v>
      </c>
      <c r="C598" s="8">
        <v>349.0</v>
      </c>
      <c r="D598" s="8">
        <v>1499.0</v>
      </c>
      <c r="E598" s="19">
        <v>0.77</v>
      </c>
      <c r="F598" s="10">
        <v>4.3</v>
      </c>
      <c r="G598" s="11">
        <v>24791.0</v>
      </c>
      <c r="K598" s="17"/>
    </row>
    <row r="599">
      <c r="A599" s="7" t="s">
        <v>636</v>
      </c>
      <c r="B599" s="7" t="s">
        <v>393</v>
      </c>
      <c r="C599" s="8">
        <v>149.0</v>
      </c>
      <c r="D599" s="8">
        <v>399.0</v>
      </c>
      <c r="E599" s="19">
        <v>0.63</v>
      </c>
      <c r="F599" s="10">
        <v>3.5</v>
      </c>
      <c r="G599" s="11">
        <v>21764.0</v>
      </c>
      <c r="K599" s="17"/>
    </row>
    <row r="600">
      <c r="A600" s="7" t="s">
        <v>392</v>
      </c>
      <c r="B600" s="7" t="s">
        <v>393</v>
      </c>
      <c r="C600" s="8">
        <v>599.0</v>
      </c>
      <c r="D600" s="8">
        <v>999.0</v>
      </c>
      <c r="E600" s="19">
        <v>0.4</v>
      </c>
      <c r="F600" s="10">
        <v>4.1</v>
      </c>
      <c r="G600" s="7" t="s">
        <v>637</v>
      </c>
      <c r="K600" s="17"/>
    </row>
    <row r="601">
      <c r="A601" s="7" t="s">
        <v>638</v>
      </c>
      <c r="B601" s="7" t="s">
        <v>572</v>
      </c>
      <c r="C601" s="8">
        <v>1220.0</v>
      </c>
      <c r="D601" s="8">
        <v>3990.0</v>
      </c>
      <c r="E601" s="19">
        <v>0.69</v>
      </c>
      <c r="F601" s="10">
        <v>4.1</v>
      </c>
      <c r="G601" s="7" t="s">
        <v>639</v>
      </c>
      <c r="K601" s="17"/>
    </row>
    <row r="602">
      <c r="A602" s="7" t="s">
        <v>391</v>
      </c>
      <c r="B602" s="7" t="s">
        <v>373</v>
      </c>
      <c r="C602" s="8">
        <v>1499.0</v>
      </c>
      <c r="D602" s="8">
        <v>6990.0</v>
      </c>
      <c r="E602" s="19">
        <v>0.79</v>
      </c>
      <c r="F602" s="10">
        <v>3.9</v>
      </c>
      <c r="G602" s="11">
        <v>21797.0</v>
      </c>
      <c r="K602" s="17"/>
    </row>
    <row r="603">
      <c r="A603" s="7" t="s">
        <v>640</v>
      </c>
      <c r="B603" s="7" t="s">
        <v>393</v>
      </c>
      <c r="C603" s="8">
        <v>499.0</v>
      </c>
      <c r="D603" s="8">
        <v>999.0</v>
      </c>
      <c r="E603" s="19">
        <v>0.5</v>
      </c>
      <c r="F603" s="10">
        <v>3.9</v>
      </c>
      <c r="G603" s="11">
        <v>92995.0</v>
      </c>
      <c r="K603" s="17"/>
    </row>
    <row r="604">
      <c r="A604" s="7" t="s">
        <v>641</v>
      </c>
      <c r="B604" s="7" t="s">
        <v>454</v>
      </c>
      <c r="C604" s="8">
        <v>99.0</v>
      </c>
      <c r="D604" s="8">
        <v>999.0</v>
      </c>
      <c r="E604" s="19">
        <v>0.9</v>
      </c>
      <c r="F604" s="10">
        <v>4.1</v>
      </c>
      <c r="G604" s="11">
        <v>8751.0</v>
      </c>
      <c r="K604" s="17"/>
    </row>
    <row r="605">
      <c r="A605" s="7" t="s">
        <v>398</v>
      </c>
      <c r="B605" s="7" t="s">
        <v>399</v>
      </c>
      <c r="C605" s="8">
        <v>349.0</v>
      </c>
      <c r="D605" s="8">
        <v>1299.0</v>
      </c>
      <c r="E605" s="19">
        <v>0.73</v>
      </c>
      <c r="F605" s="10">
        <v>4.0</v>
      </c>
      <c r="G605" s="11">
        <v>14283.0</v>
      </c>
      <c r="K605" s="17"/>
    </row>
    <row r="606">
      <c r="A606" s="7" t="s">
        <v>642</v>
      </c>
      <c r="B606" s="7" t="s">
        <v>622</v>
      </c>
      <c r="C606" s="8">
        <v>475.0</v>
      </c>
      <c r="D606" s="8">
        <v>1500.0</v>
      </c>
      <c r="E606" s="19">
        <v>0.68</v>
      </c>
      <c r="F606" s="10">
        <v>4.2</v>
      </c>
      <c r="G606" s="11">
        <v>64273.0</v>
      </c>
      <c r="K606" s="17"/>
    </row>
    <row r="607">
      <c r="A607" s="7" t="s">
        <v>643</v>
      </c>
      <c r="B607" s="7" t="s">
        <v>625</v>
      </c>
      <c r="C607" s="8">
        <v>269.0</v>
      </c>
      <c r="D607" s="8">
        <v>649.0</v>
      </c>
      <c r="E607" s="19">
        <v>0.59</v>
      </c>
      <c r="F607" s="10">
        <v>4.3</v>
      </c>
      <c r="G607" s="11">
        <v>54315.0</v>
      </c>
      <c r="K607" s="17"/>
    </row>
    <row r="608">
      <c r="A608" s="7" t="s">
        <v>644</v>
      </c>
      <c r="B608" s="7" t="s">
        <v>625</v>
      </c>
      <c r="C608" s="8">
        <v>299.0</v>
      </c>
      <c r="D608" s="8">
        <v>599.0</v>
      </c>
      <c r="E608" s="19">
        <v>0.5</v>
      </c>
      <c r="F608" s="10">
        <v>4.1</v>
      </c>
      <c r="G608" s="11">
        <v>1597.0</v>
      </c>
      <c r="K608" s="17"/>
    </row>
    <row r="609">
      <c r="A609" s="7" t="s">
        <v>410</v>
      </c>
      <c r="B609" s="7" t="s">
        <v>373</v>
      </c>
      <c r="C609" s="8">
        <v>1599.0</v>
      </c>
      <c r="D609" s="8">
        <v>3999.0</v>
      </c>
      <c r="E609" s="19">
        <v>0.6</v>
      </c>
      <c r="F609" s="10">
        <v>4.0</v>
      </c>
      <c r="G609" s="11">
        <v>30254.0</v>
      </c>
      <c r="K609" s="17"/>
    </row>
    <row r="610">
      <c r="A610" s="7" t="s">
        <v>411</v>
      </c>
      <c r="B610" s="7" t="s">
        <v>373</v>
      </c>
      <c r="C610" s="8">
        <v>1499.0</v>
      </c>
      <c r="D610" s="8">
        <v>7999.0</v>
      </c>
      <c r="E610" s="19">
        <v>0.81</v>
      </c>
      <c r="F610" s="10">
        <v>4.2</v>
      </c>
      <c r="G610" s="11">
        <v>22638.0</v>
      </c>
      <c r="K610" s="17"/>
    </row>
    <row r="611">
      <c r="A611" s="7" t="s">
        <v>645</v>
      </c>
      <c r="B611" s="7" t="s">
        <v>393</v>
      </c>
      <c r="C611" s="8">
        <v>329.0</v>
      </c>
      <c r="D611" s="8">
        <v>999.0</v>
      </c>
      <c r="E611" s="19">
        <v>0.67</v>
      </c>
      <c r="F611" s="10">
        <v>3.9</v>
      </c>
      <c r="G611" s="11">
        <v>77027.0</v>
      </c>
      <c r="K611" s="17"/>
    </row>
    <row r="612">
      <c r="A612" s="7" t="s">
        <v>646</v>
      </c>
      <c r="B612" s="7" t="s">
        <v>647</v>
      </c>
      <c r="C612" s="8">
        <v>549.0</v>
      </c>
      <c r="D612" s="8">
        <v>1799.0</v>
      </c>
      <c r="E612" s="19">
        <v>0.69</v>
      </c>
      <c r="F612" s="10">
        <v>4.3</v>
      </c>
      <c r="G612" s="11">
        <v>28829.0</v>
      </c>
      <c r="K612" s="17"/>
    </row>
    <row r="613">
      <c r="A613" s="7" t="s">
        <v>415</v>
      </c>
      <c r="B613" s="7" t="s">
        <v>373</v>
      </c>
      <c r="C613" s="8">
        <v>2199.0</v>
      </c>
      <c r="D613" s="8">
        <v>9999.0</v>
      </c>
      <c r="E613" s="19">
        <v>0.78</v>
      </c>
      <c r="F613" s="10">
        <v>4.2</v>
      </c>
      <c r="G613" s="11">
        <v>29478.0</v>
      </c>
      <c r="K613" s="17"/>
    </row>
    <row r="614">
      <c r="A614" s="7" t="s">
        <v>648</v>
      </c>
      <c r="B614" s="7" t="s">
        <v>625</v>
      </c>
      <c r="C614" s="8">
        <v>299.0</v>
      </c>
      <c r="D614" s="8">
        <v>650.0</v>
      </c>
      <c r="E614" s="19">
        <v>0.54</v>
      </c>
      <c r="F614" s="10">
        <v>4.5</v>
      </c>
      <c r="G614" s="11">
        <v>33176.0</v>
      </c>
      <c r="K614" s="17"/>
    </row>
    <row r="615">
      <c r="A615" s="7" t="s">
        <v>649</v>
      </c>
      <c r="B615" s="7" t="s">
        <v>650</v>
      </c>
      <c r="C615" s="8">
        <v>798.0</v>
      </c>
      <c r="D615" s="8">
        <v>1995.0</v>
      </c>
      <c r="E615" s="19">
        <v>0.6</v>
      </c>
      <c r="F615" s="10">
        <v>4.0</v>
      </c>
      <c r="G615" s="11">
        <v>68664.0</v>
      </c>
      <c r="K615" s="17"/>
    </row>
    <row r="616">
      <c r="A616" s="7" t="s">
        <v>14</v>
      </c>
      <c r="B616" s="7" t="s">
        <v>15</v>
      </c>
      <c r="C616" s="8">
        <v>399.0</v>
      </c>
      <c r="D616" s="8">
        <v>1099.0</v>
      </c>
      <c r="E616" s="19">
        <v>0.64</v>
      </c>
      <c r="F616" s="10">
        <v>4.2</v>
      </c>
      <c r="G616" s="11">
        <v>24269.0</v>
      </c>
      <c r="K616" s="17"/>
    </row>
    <row r="617">
      <c r="A617" s="7" t="s">
        <v>651</v>
      </c>
      <c r="B617" s="7" t="s">
        <v>652</v>
      </c>
      <c r="C617" s="8">
        <v>266.0</v>
      </c>
      <c r="D617" s="8">
        <v>315.0</v>
      </c>
      <c r="E617" s="19">
        <v>0.16</v>
      </c>
      <c r="F617" s="10">
        <v>4.5</v>
      </c>
      <c r="G617" s="11">
        <v>28030.0</v>
      </c>
      <c r="K617" s="17"/>
    </row>
    <row r="618">
      <c r="A618" s="7" t="s">
        <v>653</v>
      </c>
      <c r="B618" s="7" t="s">
        <v>654</v>
      </c>
      <c r="C618" s="8">
        <v>50.0</v>
      </c>
      <c r="D618" s="8">
        <v>50.0</v>
      </c>
      <c r="E618" s="19">
        <v>0.0</v>
      </c>
      <c r="F618" s="10">
        <v>4.3</v>
      </c>
      <c r="G618" s="11">
        <v>5792.0</v>
      </c>
      <c r="K618" s="17"/>
    </row>
    <row r="619">
      <c r="A619" s="7" t="s">
        <v>655</v>
      </c>
      <c r="B619" s="7" t="s">
        <v>656</v>
      </c>
      <c r="C619" s="8">
        <v>130.0</v>
      </c>
      <c r="D619" s="8">
        <v>165.0</v>
      </c>
      <c r="E619" s="19">
        <v>0.21</v>
      </c>
      <c r="F619" s="10">
        <v>3.9</v>
      </c>
      <c r="G619" s="11">
        <v>14778.0</v>
      </c>
      <c r="K619" s="17"/>
    </row>
    <row r="620">
      <c r="A620" s="7" t="s">
        <v>657</v>
      </c>
      <c r="B620" s="7" t="s">
        <v>393</v>
      </c>
      <c r="C620" s="8">
        <v>449.0</v>
      </c>
      <c r="D620" s="8">
        <v>1290.0</v>
      </c>
      <c r="E620" s="19">
        <v>0.65</v>
      </c>
      <c r="F620" s="10">
        <v>4.1</v>
      </c>
      <c r="G620" s="11">
        <v>91770.0</v>
      </c>
      <c r="K620" s="17"/>
    </row>
    <row r="621">
      <c r="A621" s="7" t="s">
        <v>424</v>
      </c>
      <c r="B621" s="7" t="s">
        <v>373</v>
      </c>
      <c r="C621" s="8">
        <v>3999.0</v>
      </c>
      <c r="D621" s="8">
        <v>16999.0</v>
      </c>
      <c r="E621" s="19">
        <v>0.76</v>
      </c>
      <c r="F621" s="10">
        <v>4.3</v>
      </c>
      <c r="G621" s="11">
        <v>17162.0</v>
      </c>
      <c r="K621" s="17"/>
    </row>
    <row r="622">
      <c r="A622" s="7" t="s">
        <v>658</v>
      </c>
      <c r="B622" s="7" t="s">
        <v>393</v>
      </c>
      <c r="C622" s="8">
        <v>399.0</v>
      </c>
      <c r="D622" s="8">
        <v>1290.0</v>
      </c>
      <c r="E622" s="19">
        <v>0.69</v>
      </c>
      <c r="F622" s="10">
        <v>4.2</v>
      </c>
      <c r="G622" s="10">
        <v>206.0</v>
      </c>
      <c r="K622" s="17"/>
    </row>
    <row r="623">
      <c r="A623" s="7" t="s">
        <v>659</v>
      </c>
      <c r="B623" s="7" t="s">
        <v>660</v>
      </c>
      <c r="C623" s="8">
        <v>1399.0</v>
      </c>
      <c r="D623" s="8">
        <v>2498.0</v>
      </c>
      <c r="E623" s="19">
        <v>0.44</v>
      </c>
      <c r="F623" s="10">
        <v>4.2</v>
      </c>
      <c r="G623" s="11">
        <v>33717.0</v>
      </c>
      <c r="K623" s="17"/>
    </row>
    <row r="624">
      <c r="A624" s="7" t="s">
        <v>17</v>
      </c>
      <c r="B624" s="7" t="s">
        <v>15</v>
      </c>
      <c r="C624" s="8">
        <v>199.0</v>
      </c>
      <c r="D624" s="8">
        <v>349.0</v>
      </c>
      <c r="E624" s="19">
        <v>0.43</v>
      </c>
      <c r="F624" s="10">
        <v>4.0</v>
      </c>
      <c r="G624" s="11">
        <v>43994.0</v>
      </c>
      <c r="K624" s="17"/>
    </row>
    <row r="625">
      <c r="A625" s="7" t="s">
        <v>18</v>
      </c>
      <c r="B625" s="7" t="s">
        <v>15</v>
      </c>
      <c r="C625" s="8">
        <v>199.0</v>
      </c>
      <c r="D625" s="8">
        <v>999.0</v>
      </c>
      <c r="E625" s="19">
        <v>0.8</v>
      </c>
      <c r="F625" s="10">
        <v>3.9</v>
      </c>
      <c r="G625" s="11">
        <v>7928.0</v>
      </c>
      <c r="K625" s="17"/>
    </row>
    <row r="626">
      <c r="A626" s="7" t="s">
        <v>425</v>
      </c>
      <c r="B626" s="7" t="s">
        <v>373</v>
      </c>
      <c r="C626" s="8">
        <v>2998.0</v>
      </c>
      <c r="D626" s="8">
        <v>5999.0</v>
      </c>
      <c r="E626" s="19">
        <v>0.5</v>
      </c>
      <c r="F626" s="10">
        <v>4.1</v>
      </c>
      <c r="G626" s="11">
        <v>5179.0</v>
      </c>
      <c r="K626" s="17"/>
    </row>
    <row r="627">
      <c r="A627" s="7" t="s">
        <v>661</v>
      </c>
      <c r="B627" s="7" t="s">
        <v>662</v>
      </c>
      <c r="C627" s="8">
        <v>4098.0</v>
      </c>
      <c r="D627" s="8">
        <v>4999.0</v>
      </c>
      <c r="E627" s="19">
        <v>0.18</v>
      </c>
      <c r="F627" s="10">
        <v>4.5</v>
      </c>
      <c r="G627" s="11">
        <v>50810.0</v>
      </c>
      <c r="K627" s="17"/>
    </row>
    <row r="628">
      <c r="A628" s="7" t="s">
        <v>663</v>
      </c>
      <c r="B628" s="7" t="s">
        <v>664</v>
      </c>
      <c r="C628" s="8">
        <v>499.0</v>
      </c>
      <c r="D628" s="8">
        <v>1999.0</v>
      </c>
      <c r="E628" s="19">
        <v>0.75</v>
      </c>
      <c r="F628" s="10">
        <v>3.7</v>
      </c>
      <c r="G628" s="11">
        <v>3369.0</v>
      </c>
      <c r="K628" s="17"/>
    </row>
    <row r="629">
      <c r="A629" s="7" t="s">
        <v>665</v>
      </c>
      <c r="B629" s="7" t="s">
        <v>625</v>
      </c>
      <c r="C629" s="8">
        <v>299.0</v>
      </c>
      <c r="D629" s="8">
        <v>449.0</v>
      </c>
      <c r="E629" s="19">
        <v>0.33</v>
      </c>
      <c r="F629" s="10">
        <v>3.5</v>
      </c>
      <c r="G629" s="11">
        <v>11827.0</v>
      </c>
      <c r="K629" s="17"/>
    </row>
    <row r="630">
      <c r="A630" s="7" t="s">
        <v>19</v>
      </c>
      <c r="B630" s="7" t="s">
        <v>15</v>
      </c>
      <c r="C630" s="8">
        <v>329.0</v>
      </c>
      <c r="D630" s="8">
        <v>699.0</v>
      </c>
      <c r="E630" s="19">
        <v>0.53</v>
      </c>
      <c r="F630" s="10">
        <v>4.2</v>
      </c>
      <c r="G630" s="11">
        <v>94364.0</v>
      </c>
      <c r="K630" s="17"/>
    </row>
    <row r="631">
      <c r="A631" s="7" t="s">
        <v>666</v>
      </c>
      <c r="B631" s="7" t="s">
        <v>660</v>
      </c>
      <c r="C631" s="8">
        <v>699.0</v>
      </c>
      <c r="D631" s="8">
        <v>999.0</v>
      </c>
      <c r="E631" s="19">
        <v>0.3</v>
      </c>
      <c r="F631" s="10">
        <v>3.5</v>
      </c>
      <c r="G631" s="11">
        <v>15295.0</v>
      </c>
      <c r="K631" s="17"/>
    </row>
    <row r="632">
      <c r="A632" s="7" t="s">
        <v>667</v>
      </c>
      <c r="B632" s="7" t="s">
        <v>668</v>
      </c>
      <c r="C632" s="8">
        <v>799.0</v>
      </c>
      <c r="D632" s="8">
        <v>3990.0</v>
      </c>
      <c r="E632" s="19">
        <v>0.8</v>
      </c>
      <c r="F632" s="10">
        <v>4.3</v>
      </c>
      <c r="G632" s="11">
        <v>27139.0</v>
      </c>
      <c r="K632" s="17"/>
    </row>
    <row r="633">
      <c r="A633" s="7" t="s">
        <v>669</v>
      </c>
      <c r="B633" s="7" t="s">
        <v>393</v>
      </c>
      <c r="C633" s="8">
        <v>1399.0</v>
      </c>
      <c r="D633" s="8">
        <v>5499.0</v>
      </c>
      <c r="E633" s="19">
        <v>0.75</v>
      </c>
      <c r="F633" s="10">
        <v>3.9</v>
      </c>
      <c r="G633" s="11">
        <v>9504.0</v>
      </c>
      <c r="K633" s="17"/>
    </row>
    <row r="634">
      <c r="A634" s="7" t="s">
        <v>20</v>
      </c>
      <c r="B634" s="7" t="s">
        <v>15</v>
      </c>
      <c r="C634" s="8">
        <v>154.0</v>
      </c>
      <c r="D634" s="8">
        <v>399.0</v>
      </c>
      <c r="E634" s="19">
        <v>0.61</v>
      </c>
      <c r="F634" s="10">
        <v>4.2</v>
      </c>
      <c r="G634" s="11">
        <v>16905.0</v>
      </c>
      <c r="K634" s="17"/>
    </row>
    <row r="635">
      <c r="A635" s="7" t="s">
        <v>670</v>
      </c>
      <c r="B635" s="7" t="s">
        <v>622</v>
      </c>
      <c r="C635" s="8">
        <v>519.0</v>
      </c>
      <c r="D635" s="8">
        <v>1350.0</v>
      </c>
      <c r="E635" s="19">
        <v>0.62</v>
      </c>
      <c r="F635" s="10">
        <v>4.3</v>
      </c>
      <c r="G635" s="11">
        <v>30058.0</v>
      </c>
      <c r="K635" s="17"/>
    </row>
    <row r="636">
      <c r="A636" s="7" t="s">
        <v>439</v>
      </c>
      <c r="B636" s="7" t="s">
        <v>373</v>
      </c>
      <c r="C636" s="8">
        <v>2299.0</v>
      </c>
      <c r="D636" s="8">
        <v>7990.0</v>
      </c>
      <c r="E636" s="19">
        <v>0.71</v>
      </c>
      <c r="F636" s="10">
        <v>4.2</v>
      </c>
      <c r="G636" s="11">
        <v>69619.0</v>
      </c>
      <c r="K636" s="17"/>
    </row>
    <row r="637">
      <c r="A637" s="7" t="s">
        <v>440</v>
      </c>
      <c r="B637" s="7" t="s">
        <v>441</v>
      </c>
      <c r="C637" s="8">
        <v>399.0</v>
      </c>
      <c r="D637" s="8">
        <v>1999.0</v>
      </c>
      <c r="E637" s="19">
        <v>0.8</v>
      </c>
      <c r="F637" s="10">
        <v>4.0</v>
      </c>
      <c r="G637" s="11">
        <v>3382.0</v>
      </c>
      <c r="K637" s="17"/>
    </row>
    <row r="638">
      <c r="A638" s="7" t="s">
        <v>671</v>
      </c>
      <c r="B638" s="7" t="s">
        <v>393</v>
      </c>
      <c r="C638" s="8">
        <v>1499.0</v>
      </c>
      <c r="D638" s="8">
        <v>3990.0</v>
      </c>
      <c r="E638" s="19">
        <v>0.62</v>
      </c>
      <c r="F638" s="10">
        <v>4.1</v>
      </c>
      <c r="G638" s="7" t="s">
        <v>672</v>
      </c>
      <c r="K638" s="17"/>
    </row>
    <row r="639">
      <c r="A639" s="7" t="s">
        <v>673</v>
      </c>
      <c r="B639" s="7" t="s">
        <v>674</v>
      </c>
      <c r="C639" s="8">
        <v>1295.0</v>
      </c>
      <c r="D639" s="8">
        <v>1295.0</v>
      </c>
      <c r="E639" s="19">
        <v>0.0</v>
      </c>
      <c r="F639" s="10">
        <v>4.5</v>
      </c>
      <c r="G639" s="11">
        <v>5760.0</v>
      </c>
      <c r="K639" s="17"/>
    </row>
    <row r="640">
      <c r="A640" s="7" t="s">
        <v>675</v>
      </c>
      <c r="B640" s="7" t="s">
        <v>676</v>
      </c>
      <c r="C640" s="8">
        <v>1889.0</v>
      </c>
      <c r="D640" s="8">
        <v>5499.0</v>
      </c>
      <c r="E640" s="19">
        <v>0.66</v>
      </c>
      <c r="F640" s="10">
        <v>4.2</v>
      </c>
      <c r="G640" s="11">
        <v>49551.0</v>
      </c>
      <c r="K640" s="17"/>
    </row>
    <row r="641">
      <c r="A641" s="7" t="s">
        <v>677</v>
      </c>
      <c r="B641" s="7" t="s">
        <v>393</v>
      </c>
      <c r="C641" s="8">
        <v>455.0</v>
      </c>
      <c r="D641" s="8">
        <v>1490.0</v>
      </c>
      <c r="E641" s="19">
        <v>0.69</v>
      </c>
      <c r="F641" s="10">
        <v>4.1</v>
      </c>
      <c r="G641" s="7" t="s">
        <v>678</v>
      </c>
      <c r="K641" s="17"/>
    </row>
    <row r="642">
      <c r="A642" s="7" t="s">
        <v>679</v>
      </c>
      <c r="B642" s="7" t="s">
        <v>680</v>
      </c>
      <c r="C642" s="8">
        <v>399.0</v>
      </c>
      <c r="D642" s="8">
        <v>995.0</v>
      </c>
      <c r="E642" s="19">
        <v>0.6</v>
      </c>
      <c r="F642" s="10">
        <v>3.9</v>
      </c>
      <c r="G642" s="11">
        <v>21372.0</v>
      </c>
      <c r="K642" s="17"/>
    </row>
    <row r="643">
      <c r="A643" s="7" t="s">
        <v>442</v>
      </c>
      <c r="B643" s="7" t="s">
        <v>386</v>
      </c>
      <c r="C643" s="8">
        <v>1059.0</v>
      </c>
      <c r="D643" s="8">
        <v>3999.0</v>
      </c>
      <c r="E643" s="19">
        <v>0.74</v>
      </c>
      <c r="F643" s="10">
        <v>4.3</v>
      </c>
      <c r="G643" s="7" t="s">
        <v>681</v>
      </c>
      <c r="K643" s="17"/>
    </row>
    <row r="644">
      <c r="A644" s="7" t="s">
        <v>21</v>
      </c>
      <c r="B644" s="7" t="s">
        <v>15</v>
      </c>
      <c r="C644" s="8">
        <v>149.0</v>
      </c>
      <c r="D644" s="8">
        <v>1000.0</v>
      </c>
      <c r="E644" s="19">
        <v>0.85</v>
      </c>
      <c r="F644" s="10">
        <v>3.9</v>
      </c>
      <c r="G644" s="11">
        <v>24870.0</v>
      </c>
      <c r="K644" s="17"/>
    </row>
    <row r="645">
      <c r="A645" s="7" t="s">
        <v>682</v>
      </c>
      <c r="B645" s="7" t="s">
        <v>683</v>
      </c>
      <c r="C645" s="8">
        <v>717.0</v>
      </c>
      <c r="D645" s="8">
        <v>761.0</v>
      </c>
      <c r="E645" s="19">
        <v>0.06</v>
      </c>
      <c r="F645" s="10">
        <v>4.0</v>
      </c>
      <c r="G645" s="11">
        <v>7199.0</v>
      </c>
      <c r="K645" s="17"/>
    </row>
    <row r="646">
      <c r="A646" s="7" t="s">
        <v>453</v>
      </c>
      <c r="B646" s="7" t="s">
        <v>454</v>
      </c>
      <c r="C646" s="8">
        <v>99.0</v>
      </c>
      <c r="D646" s="8">
        <v>999.0</v>
      </c>
      <c r="E646" s="19">
        <v>0.9</v>
      </c>
      <c r="F646" s="10">
        <v>4.0</v>
      </c>
      <c r="G646" s="11">
        <v>1396.0</v>
      </c>
      <c r="K646" s="17"/>
    </row>
    <row r="647">
      <c r="A647" s="7" t="s">
        <v>684</v>
      </c>
      <c r="B647" s="7" t="s">
        <v>685</v>
      </c>
      <c r="C647" s="8">
        <v>39.0</v>
      </c>
      <c r="D647" s="8">
        <v>299.0</v>
      </c>
      <c r="E647" s="19">
        <v>0.87</v>
      </c>
      <c r="F647" s="10">
        <v>3.5</v>
      </c>
      <c r="G647" s="11">
        <v>15233.0</v>
      </c>
      <c r="K647" s="17"/>
    </row>
    <row r="648">
      <c r="A648" s="7" t="s">
        <v>686</v>
      </c>
      <c r="B648" s="7" t="s">
        <v>622</v>
      </c>
      <c r="C648" s="8">
        <v>889.0</v>
      </c>
      <c r="D648" s="8">
        <v>2500.0</v>
      </c>
      <c r="E648" s="19">
        <v>0.64</v>
      </c>
      <c r="F648" s="10">
        <v>4.3</v>
      </c>
      <c r="G648" s="11">
        <v>55747.0</v>
      </c>
      <c r="K648" s="17"/>
    </row>
    <row r="649">
      <c r="A649" s="7" t="s">
        <v>687</v>
      </c>
      <c r="B649" s="7" t="s">
        <v>393</v>
      </c>
      <c r="C649" s="8">
        <v>1199.0</v>
      </c>
      <c r="D649" s="8">
        <v>4999.0</v>
      </c>
      <c r="E649" s="19">
        <v>0.76</v>
      </c>
      <c r="F649" s="10">
        <v>3.8</v>
      </c>
      <c r="G649" s="11">
        <v>14961.0</v>
      </c>
      <c r="K649" s="17"/>
    </row>
    <row r="650">
      <c r="A650" s="7" t="s">
        <v>688</v>
      </c>
      <c r="B650" s="7" t="s">
        <v>625</v>
      </c>
      <c r="C650" s="8">
        <v>569.0</v>
      </c>
      <c r="D650" s="8">
        <v>1299.0</v>
      </c>
      <c r="E650" s="19">
        <v>0.56</v>
      </c>
      <c r="F650" s="10">
        <v>4.4</v>
      </c>
      <c r="G650" s="11">
        <v>9275.0</v>
      </c>
      <c r="K650" s="17"/>
    </row>
    <row r="651">
      <c r="A651" s="7" t="s">
        <v>689</v>
      </c>
      <c r="B651" s="7" t="s">
        <v>393</v>
      </c>
      <c r="C651" s="8">
        <v>1499.0</v>
      </c>
      <c r="D651" s="8">
        <v>8999.0</v>
      </c>
      <c r="E651" s="19">
        <v>0.83</v>
      </c>
      <c r="F651" s="10">
        <v>3.7</v>
      </c>
      <c r="G651" s="11">
        <v>28324.0</v>
      </c>
      <c r="K651" s="17"/>
    </row>
    <row r="652">
      <c r="A652" s="7" t="s">
        <v>690</v>
      </c>
      <c r="B652" s="7" t="s">
        <v>652</v>
      </c>
      <c r="C652" s="8">
        <v>149.0</v>
      </c>
      <c r="D652" s="8">
        <v>180.0</v>
      </c>
      <c r="E652" s="19">
        <v>0.17</v>
      </c>
      <c r="F652" s="10">
        <v>4.4</v>
      </c>
      <c r="G652" s="10">
        <v>644.0</v>
      </c>
      <c r="K652" s="17"/>
    </row>
    <row r="653">
      <c r="A653" s="7" t="s">
        <v>691</v>
      </c>
      <c r="B653" s="7" t="s">
        <v>692</v>
      </c>
      <c r="C653" s="8">
        <v>399.0</v>
      </c>
      <c r="D653" s="8">
        <v>549.0</v>
      </c>
      <c r="E653" s="19">
        <v>0.27</v>
      </c>
      <c r="F653" s="10">
        <v>4.4</v>
      </c>
      <c r="G653" s="11">
        <v>18139.0</v>
      </c>
      <c r="K653" s="17"/>
    </row>
    <row r="654">
      <c r="A654" s="7" t="s">
        <v>693</v>
      </c>
      <c r="B654" s="7" t="s">
        <v>694</v>
      </c>
      <c r="C654" s="8">
        <v>191.0</v>
      </c>
      <c r="D654" s="8">
        <v>225.0</v>
      </c>
      <c r="E654" s="19">
        <v>0.15</v>
      </c>
      <c r="F654" s="10">
        <v>4.4</v>
      </c>
      <c r="G654" s="11">
        <v>7203.0</v>
      </c>
      <c r="K654" s="17"/>
    </row>
    <row r="655">
      <c r="A655" s="7" t="s">
        <v>695</v>
      </c>
      <c r="B655" s="7" t="s">
        <v>696</v>
      </c>
      <c r="C655" s="8">
        <v>129.0</v>
      </c>
      <c r="D655" s="8">
        <v>999.0</v>
      </c>
      <c r="E655" s="19">
        <v>0.87</v>
      </c>
      <c r="F655" s="10">
        <v>4.2</v>
      </c>
      <c r="G655" s="10">
        <v>491.0</v>
      </c>
      <c r="K655" s="17"/>
    </row>
    <row r="656">
      <c r="A656" s="7" t="s">
        <v>697</v>
      </c>
      <c r="B656" s="7" t="s">
        <v>698</v>
      </c>
      <c r="C656" s="8">
        <v>199.0</v>
      </c>
      <c r="D656" s="8">
        <v>599.0</v>
      </c>
      <c r="E656" s="19">
        <v>0.67</v>
      </c>
      <c r="F656" s="10">
        <v>4.5</v>
      </c>
      <c r="G656" s="11">
        <v>13568.0</v>
      </c>
      <c r="K656" s="17"/>
    </row>
    <row r="657">
      <c r="A657" s="7" t="s">
        <v>699</v>
      </c>
      <c r="B657" s="7" t="s">
        <v>393</v>
      </c>
      <c r="C657" s="8">
        <v>999.0</v>
      </c>
      <c r="D657" s="8">
        <v>4499.0</v>
      </c>
      <c r="E657" s="19">
        <v>0.78</v>
      </c>
      <c r="F657" s="10">
        <v>3.8</v>
      </c>
      <c r="G657" s="11">
        <v>3390.0</v>
      </c>
      <c r="K657" s="17"/>
    </row>
    <row r="658">
      <c r="A658" s="7" t="s">
        <v>700</v>
      </c>
      <c r="B658" s="7" t="s">
        <v>393</v>
      </c>
      <c r="C658" s="8">
        <v>899.0</v>
      </c>
      <c r="D658" s="8">
        <v>4499.0</v>
      </c>
      <c r="E658" s="19">
        <v>0.8</v>
      </c>
      <c r="F658" s="10">
        <v>3.8</v>
      </c>
      <c r="G658" s="7" t="s">
        <v>701</v>
      </c>
      <c r="K658" s="17"/>
    </row>
    <row r="659">
      <c r="A659" s="7" t="s">
        <v>463</v>
      </c>
      <c r="B659" s="7" t="s">
        <v>377</v>
      </c>
      <c r="C659" s="8">
        <v>1799.0</v>
      </c>
      <c r="D659" s="8">
        <v>2499.0</v>
      </c>
      <c r="E659" s="19">
        <v>0.28</v>
      </c>
      <c r="F659" s="10">
        <v>4.1</v>
      </c>
      <c r="G659" s="11">
        <v>18678.0</v>
      </c>
      <c r="K659" s="17"/>
    </row>
    <row r="660">
      <c r="A660" s="7" t="s">
        <v>22</v>
      </c>
      <c r="B660" s="7" t="s">
        <v>15</v>
      </c>
      <c r="C660" s="8">
        <v>176.63</v>
      </c>
      <c r="D660" s="8">
        <v>499.0</v>
      </c>
      <c r="E660" s="19">
        <v>0.65</v>
      </c>
      <c r="F660" s="10">
        <v>4.1</v>
      </c>
      <c r="G660" s="11">
        <v>15189.0</v>
      </c>
      <c r="K660" s="17"/>
    </row>
    <row r="661">
      <c r="A661" s="7" t="s">
        <v>702</v>
      </c>
      <c r="B661" s="7" t="s">
        <v>674</v>
      </c>
      <c r="C661" s="8">
        <v>522.0</v>
      </c>
      <c r="D661" s="8">
        <v>550.0</v>
      </c>
      <c r="E661" s="19">
        <v>0.05</v>
      </c>
      <c r="F661" s="10">
        <v>4.4</v>
      </c>
      <c r="G661" s="11">
        <v>12179.0</v>
      </c>
      <c r="K661" s="17"/>
    </row>
    <row r="662">
      <c r="A662" s="7" t="s">
        <v>703</v>
      </c>
      <c r="B662" s="7" t="s">
        <v>704</v>
      </c>
      <c r="C662" s="8">
        <v>799.0</v>
      </c>
      <c r="D662" s="8">
        <v>1999.0</v>
      </c>
      <c r="E662" s="19">
        <v>0.6</v>
      </c>
      <c r="F662" s="10">
        <v>3.8</v>
      </c>
      <c r="G662" s="11">
        <v>12958.0</v>
      </c>
      <c r="K662" s="17"/>
    </row>
    <row r="663">
      <c r="A663" s="7" t="s">
        <v>705</v>
      </c>
      <c r="B663" s="7" t="s">
        <v>625</v>
      </c>
      <c r="C663" s="8">
        <v>681.0</v>
      </c>
      <c r="D663" s="8">
        <v>1199.0</v>
      </c>
      <c r="E663" s="19">
        <v>0.43</v>
      </c>
      <c r="F663" s="10">
        <v>4.2</v>
      </c>
      <c r="G663" s="11">
        <v>8258.0</v>
      </c>
      <c r="K663" s="17"/>
    </row>
    <row r="664">
      <c r="A664" s="7" t="s">
        <v>706</v>
      </c>
      <c r="B664" s="7" t="s">
        <v>707</v>
      </c>
      <c r="C664" s="8">
        <v>1199.0</v>
      </c>
      <c r="D664" s="8">
        <v>3490.0</v>
      </c>
      <c r="E664" s="19">
        <v>0.66</v>
      </c>
      <c r="F664" s="10">
        <v>4.1</v>
      </c>
      <c r="G664" s="11">
        <v>11716.0</v>
      </c>
      <c r="K664" s="17"/>
    </row>
    <row r="665">
      <c r="A665" s="7" t="s">
        <v>708</v>
      </c>
      <c r="B665" s="7" t="s">
        <v>709</v>
      </c>
      <c r="C665" s="8">
        <v>2499.0</v>
      </c>
      <c r="D665" s="8">
        <v>4999.0</v>
      </c>
      <c r="E665" s="19">
        <v>0.5</v>
      </c>
      <c r="F665" s="10">
        <v>4.4</v>
      </c>
      <c r="G665" s="11">
        <v>35024.0</v>
      </c>
      <c r="K665" s="17"/>
    </row>
    <row r="666">
      <c r="A666" s="7" t="s">
        <v>710</v>
      </c>
      <c r="B666" s="7" t="s">
        <v>711</v>
      </c>
      <c r="C666" s="8">
        <v>1799.0</v>
      </c>
      <c r="D666" s="8">
        <v>4999.0</v>
      </c>
      <c r="E666" s="19">
        <v>0.64</v>
      </c>
      <c r="F666" s="10">
        <v>4.1</v>
      </c>
      <c r="G666" s="11">
        <v>55192.0</v>
      </c>
      <c r="K666" s="17"/>
    </row>
    <row r="667">
      <c r="A667" s="7" t="s">
        <v>712</v>
      </c>
      <c r="B667" s="7" t="s">
        <v>393</v>
      </c>
      <c r="C667" s="8">
        <v>429.0</v>
      </c>
      <c r="D667" s="8">
        <v>599.0</v>
      </c>
      <c r="E667" s="19">
        <v>0.28</v>
      </c>
      <c r="F667" s="10">
        <v>4.1</v>
      </c>
      <c r="G667" s="7" t="s">
        <v>713</v>
      </c>
      <c r="K667" s="17"/>
    </row>
    <row r="668">
      <c r="A668" s="7" t="s">
        <v>714</v>
      </c>
      <c r="B668" s="7" t="s">
        <v>627</v>
      </c>
      <c r="C668" s="8">
        <v>100.0</v>
      </c>
      <c r="D668" s="8">
        <v>499.0</v>
      </c>
      <c r="E668" s="19">
        <v>0.8</v>
      </c>
      <c r="F668" s="10">
        <v>3.5</v>
      </c>
      <c r="G668" s="11">
        <v>9638.0</v>
      </c>
      <c r="K668" s="17"/>
    </row>
    <row r="669">
      <c r="A669" s="7" t="s">
        <v>715</v>
      </c>
      <c r="B669" s="7" t="s">
        <v>647</v>
      </c>
      <c r="C669" s="8">
        <v>329.0</v>
      </c>
      <c r="D669" s="8">
        <v>399.0</v>
      </c>
      <c r="E669" s="19">
        <v>0.18</v>
      </c>
      <c r="F669" s="10">
        <v>3.6</v>
      </c>
      <c r="G669" s="11">
        <v>33735.0</v>
      </c>
      <c r="K669" s="17"/>
    </row>
    <row r="670">
      <c r="A670" s="7" t="s">
        <v>23</v>
      </c>
      <c r="B670" s="7" t="s">
        <v>15</v>
      </c>
      <c r="C670" s="8">
        <v>229.0</v>
      </c>
      <c r="D670" s="8">
        <v>299.0</v>
      </c>
      <c r="E670" s="19">
        <v>0.23</v>
      </c>
      <c r="F670" s="10">
        <v>4.3</v>
      </c>
      <c r="G670" s="11">
        <v>30411.0</v>
      </c>
      <c r="K670" s="17"/>
    </row>
    <row r="671">
      <c r="A671" s="7" t="s">
        <v>716</v>
      </c>
      <c r="B671" s="7" t="s">
        <v>625</v>
      </c>
      <c r="C671" s="8">
        <v>139.0</v>
      </c>
      <c r="D671" s="8">
        <v>299.0</v>
      </c>
      <c r="E671" s="19">
        <v>0.54</v>
      </c>
      <c r="F671" s="10">
        <v>3.8</v>
      </c>
      <c r="G671" s="11">
        <v>3044.0</v>
      </c>
      <c r="K671" s="17"/>
    </row>
    <row r="672">
      <c r="A672" s="7" t="s">
        <v>717</v>
      </c>
      <c r="B672" s="7" t="s">
        <v>572</v>
      </c>
      <c r="C672" s="8">
        <v>1199.0</v>
      </c>
      <c r="D672" s="8">
        <v>2499.0</v>
      </c>
      <c r="E672" s="19">
        <v>0.52</v>
      </c>
      <c r="F672" s="10">
        <v>4.0</v>
      </c>
      <c r="G672" s="11">
        <v>33584.0</v>
      </c>
      <c r="K672" s="17"/>
    </row>
    <row r="673">
      <c r="A673" s="7" t="s">
        <v>718</v>
      </c>
      <c r="B673" s="7" t="s">
        <v>719</v>
      </c>
      <c r="C673" s="8">
        <v>1049.0</v>
      </c>
      <c r="D673" s="8">
        <v>2299.0</v>
      </c>
      <c r="E673" s="19">
        <v>0.54</v>
      </c>
      <c r="F673" s="10">
        <v>3.9</v>
      </c>
      <c r="G673" s="11">
        <v>1779.0</v>
      </c>
      <c r="K673" s="17"/>
    </row>
    <row r="674">
      <c r="A674" s="7" t="s">
        <v>468</v>
      </c>
      <c r="B674" s="7" t="s">
        <v>469</v>
      </c>
      <c r="C674" s="8">
        <v>119.0</v>
      </c>
      <c r="D674" s="8">
        <v>299.0</v>
      </c>
      <c r="E674" s="19">
        <v>0.6</v>
      </c>
      <c r="F674" s="10">
        <v>4.1</v>
      </c>
      <c r="G674" s="11">
        <v>5999.0</v>
      </c>
      <c r="K674" s="17"/>
    </row>
    <row r="675">
      <c r="A675" s="7" t="s">
        <v>28</v>
      </c>
      <c r="B675" s="7" t="s">
        <v>15</v>
      </c>
      <c r="C675" s="8">
        <v>154.0</v>
      </c>
      <c r="D675" s="8">
        <v>339.0</v>
      </c>
      <c r="E675" s="19">
        <v>0.55</v>
      </c>
      <c r="F675" s="10">
        <v>4.3</v>
      </c>
      <c r="G675" s="11">
        <v>13391.0</v>
      </c>
      <c r="K675" s="17"/>
    </row>
    <row r="676">
      <c r="A676" s="7" t="s">
        <v>720</v>
      </c>
      <c r="B676" s="7" t="s">
        <v>721</v>
      </c>
      <c r="C676" s="8">
        <v>225.0</v>
      </c>
      <c r="D676" s="8">
        <v>250.0</v>
      </c>
      <c r="E676" s="19">
        <v>0.1</v>
      </c>
      <c r="F676" s="10">
        <v>4.4</v>
      </c>
      <c r="G676" s="11">
        <v>26556.0</v>
      </c>
      <c r="K676" s="17"/>
    </row>
    <row r="677">
      <c r="A677" s="7" t="s">
        <v>722</v>
      </c>
      <c r="B677" s="7" t="s">
        <v>631</v>
      </c>
      <c r="C677" s="8">
        <v>656.0</v>
      </c>
      <c r="D677" s="8">
        <v>1499.0</v>
      </c>
      <c r="E677" s="19">
        <v>0.56</v>
      </c>
      <c r="F677" s="10">
        <v>4.3</v>
      </c>
      <c r="G677" s="11">
        <v>25903.0</v>
      </c>
      <c r="K677" s="17"/>
    </row>
    <row r="678">
      <c r="A678" s="7" t="s">
        <v>723</v>
      </c>
      <c r="B678" s="7" t="s">
        <v>622</v>
      </c>
      <c r="C678" s="8">
        <v>1109.0</v>
      </c>
      <c r="D678" s="8">
        <v>2800.0</v>
      </c>
      <c r="E678" s="19">
        <v>0.6</v>
      </c>
      <c r="F678" s="10">
        <v>4.3</v>
      </c>
      <c r="G678" s="11">
        <v>53464.0</v>
      </c>
      <c r="K678" s="17"/>
    </row>
    <row r="679">
      <c r="A679" s="7" t="s">
        <v>465</v>
      </c>
      <c r="B679" s="7" t="s">
        <v>373</v>
      </c>
      <c r="C679" s="8">
        <v>2999.0</v>
      </c>
      <c r="D679" s="8">
        <v>7990.0</v>
      </c>
      <c r="E679" s="19">
        <v>0.62</v>
      </c>
      <c r="F679" s="10">
        <v>4.1</v>
      </c>
      <c r="G679" s="11">
        <v>48448.0</v>
      </c>
      <c r="K679" s="17"/>
    </row>
    <row r="680">
      <c r="A680" s="7" t="s">
        <v>724</v>
      </c>
      <c r="B680" s="7" t="s">
        <v>696</v>
      </c>
      <c r="C680" s="8">
        <v>169.0</v>
      </c>
      <c r="D680" s="8">
        <v>299.0</v>
      </c>
      <c r="E680" s="19">
        <v>0.43</v>
      </c>
      <c r="F680" s="10">
        <v>4.4</v>
      </c>
      <c r="G680" s="11">
        <v>5176.0</v>
      </c>
      <c r="K680" s="17"/>
    </row>
    <row r="681">
      <c r="A681" s="7" t="s">
        <v>725</v>
      </c>
      <c r="B681" s="7" t="s">
        <v>683</v>
      </c>
      <c r="C681" s="8">
        <v>309.0</v>
      </c>
      <c r="D681" s="8">
        <v>404.0</v>
      </c>
      <c r="E681" s="19">
        <v>0.24</v>
      </c>
      <c r="F681" s="10">
        <v>4.4</v>
      </c>
      <c r="G681" s="11">
        <v>8614.0</v>
      </c>
      <c r="K681" s="17"/>
    </row>
    <row r="682">
      <c r="A682" s="7" t="s">
        <v>726</v>
      </c>
      <c r="B682" s="7" t="s">
        <v>572</v>
      </c>
      <c r="C682" s="8">
        <v>599.0</v>
      </c>
      <c r="D682" s="8">
        <v>1399.0</v>
      </c>
      <c r="E682" s="19">
        <v>0.57</v>
      </c>
      <c r="F682" s="10">
        <v>3.8</v>
      </c>
      <c r="G682" s="11">
        <v>60026.0</v>
      </c>
      <c r="K682" s="17"/>
    </row>
    <row r="683">
      <c r="A683" s="15" t="s">
        <v>727</v>
      </c>
      <c r="B683" s="7" t="s">
        <v>647</v>
      </c>
      <c r="C683" s="8">
        <v>299.0</v>
      </c>
      <c r="D683" s="8">
        <v>599.0</v>
      </c>
      <c r="E683" s="19">
        <v>0.5</v>
      </c>
      <c r="F683" s="10">
        <v>3.8</v>
      </c>
      <c r="G683" s="11">
        <v>3066.0</v>
      </c>
      <c r="K683" s="17"/>
    </row>
    <row r="684">
      <c r="A684" s="7" t="s">
        <v>728</v>
      </c>
      <c r="B684" s="7" t="s">
        <v>631</v>
      </c>
      <c r="C684" s="8">
        <v>449.0</v>
      </c>
      <c r="D684" s="8">
        <v>999.0</v>
      </c>
      <c r="E684" s="19">
        <v>0.55</v>
      </c>
      <c r="F684" s="10">
        <v>4.0</v>
      </c>
      <c r="G684" s="11">
        <v>2102.0</v>
      </c>
      <c r="K684" s="17"/>
    </row>
    <row r="685">
      <c r="A685" s="7" t="s">
        <v>729</v>
      </c>
      <c r="B685" s="7" t="s">
        <v>625</v>
      </c>
      <c r="C685" s="8">
        <v>799.0</v>
      </c>
      <c r="D685" s="8">
        <v>1295.0</v>
      </c>
      <c r="E685" s="19">
        <v>0.38</v>
      </c>
      <c r="F685" s="10">
        <v>4.4</v>
      </c>
      <c r="G685" s="11">
        <v>34852.0</v>
      </c>
      <c r="K685" s="17"/>
    </row>
    <row r="686">
      <c r="A686" s="7" t="s">
        <v>30</v>
      </c>
      <c r="B686" s="7" t="s">
        <v>31</v>
      </c>
      <c r="C686" s="8">
        <v>219.0</v>
      </c>
      <c r="D686" s="8">
        <v>700.0</v>
      </c>
      <c r="E686" s="19">
        <v>0.69</v>
      </c>
      <c r="F686" s="10">
        <v>4.4</v>
      </c>
      <c r="G686" s="7" t="s">
        <v>730</v>
      </c>
      <c r="K686" s="17"/>
    </row>
    <row r="687">
      <c r="A687" s="7" t="s">
        <v>731</v>
      </c>
      <c r="B687" s="7" t="s">
        <v>732</v>
      </c>
      <c r="C687" s="8">
        <v>157.0</v>
      </c>
      <c r="D687" s="8">
        <v>160.0</v>
      </c>
      <c r="E687" s="19">
        <v>0.02</v>
      </c>
      <c r="F687" s="10">
        <v>4.5</v>
      </c>
      <c r="G687" s="11">
        <v>8618.0</v>
      </c>
      <c r="K687" s="17"/>
    </row>
    <row r="688">
      <c r="A688" s="7" t="s">
        <v>475</v>
      </c>
      <c r="B688" s="7" t="s">
        <v>386</v>
      </c>
      <c r="C688" s="8">
        <v>369.0</v>
      </c>
      <c r="D688" s="8">
        <v>1600.0</v>
      </c>
      <c r="E688" s="19">
        <v>0.77</v>
      </c>
      <c r="F688" s="10">
        <v>4.0</v>
      </c>
      <c r="G688" s="11">
        <v>32625.0</v>
      </c>
      <c r="K688" s="17"/>
    </row>
    <row r="689">
      <c r="A689" s="7" t="s">
        <v>733</v>
      </c>
      <c r="B689" s="7" t="s">
        <v>625</v>
      </c>
      <c r="C689" s="8">
        <v>599.0</v>
      </c>
      <c r="D689" s="8">
        <v>899.0</v>
      </c>
      <c r="E689" s="19">
        <v>0.33</v>
      </c>
      <c r="F689" s="10">
        <v>4.0</v>
      </c>
      <c r="G689" s="11">
        <v>4018.0</v>
      </c>
      <c r="K689" s="17"/>
    </row>
    <row r="690">
      <c r="A690" s="7" t="s">
        <v>734</v>
      </c>
      <c r="B690" s="7" t="s">
        <v>735</v>
      </c>
      <c r="C690" s="8">
        <v>479.0</v>
      </c>
      <c r="D690" s="8">
        <v>599.0</v>
      </c>
      <c r="E690" s="19">
        <v>0.2</v>
      </c>
      <c r="F690" s="10">
        <v>4.3</v>
      </c>
      <c r="G690" s="11">
        <v>11687.0</v>
      </c>
      <c r="K690" s="17"/>
    </row>
    <row r="691">
      <c r="A691" s="7" t="s">
        <v>33</v>
      </c>
      <c r="B691" s="7" t="s">
        <v>15</v>
      </c>
      <c r="C691" s="8">
        <v>350.0</v>
      </c>
      <c r="D691" s="8">
        <v>899.0</v>
      </c>
      <c r="E691" s="19">
        <v>0.61</v>
      </c>
      <c r="F691" s="10">
        <v>4.2</v>
      </c>
      <c r="G691" s="11">
        <v>2262.0</v>
      </c>
      <c r="K691" s="17"/>
    </row>
    <row r="692">
      <c r="A692" s="7" t="s">
        <v>736</v>
      </c>
      <c r="B692" s="7" t="s">
        <v>393</v>
      </c>
      <c r="C692" s="8">
        <v>1598.0</v>
      </c>
      <c r="D692" s="8">
        <v>2990.0</v>
      </c>
      <c r="E692" s="19">
        <v>0.47</v>
      </c>
      <c r="F692" s="10">
        <v>3.8</v>
      </c>
      <c r="G692" s="11">
        <v>11015.0</v>
      </c>
      <c r="K692" s="17"/>
    </row>
    <row r="693">
      <c r="A693" s="7" t="s">
        <v>737</v>
      </c>
      <c r="B693" s="7" t="s">
        <v>738</v>
      </c>
      <c r="C693" s="8">
        <v>599.0</v>
      </c>
      <c r="D693" s="8">
        <v>899.0</v>
      </c>
      <c r="E693" s="19">
        <v>0.33</v>
      </c>
      <c r="F693" s="10">
        <v>4.3</v>
      </c>
      <c r="G693" s="11">
        <v>95116.0</v>
      </c>
      <c r="K693" s="17"/>
    </row>
    <row r="694">
      <c r="A694" s="7" t="s">
        <v>34</v>
      </c>
      <c r="B694" s="7" t="s">
        <v>15</v>
      </c>
      <c r="C694" s="8">
        <v>159.0</v>
      </c>
      <c r="D694" s="8">
        <v>399.0</v>
      </c>
      <c r="E694" s="19">
        <v>0.6</v>
      </c>
      <c r="F694" s="10">
        <v>4.1</v>
      </c>
      <c r="G694" s="11">
        <v>4768.0</v>
      </c>
      <c r="K694" s="17"/>
    </row>
    <row r="695">
      <c r="A695" s="7" t="s">
        <v>739</v>
      </c>
      <c r="B695" s="7" t="s">
        <v>622</v>
      </c>
      <c r="C695" s="8">
        <v>1299.0</v>
      </c>
      <c r="D695" s="8">
        <v>3000.0</v>
      </c>
      <c r="E695" s="19">
        <v>0.57</v>
      </c>
      <c r="F695" s="10">
        <v>4.3</v>
      </c>
      <c r="G695" s="11">
        <v>23022.0</v>
      </c>
      <c r="K695" s="17"/>
    </row>
    <row r="696">
      <c r="A696" s="7" t="s">
        <v>491</v>
      </c>
      <c r="B696" s="7" t="s">
        <v>373</v>
      </c>
      <c r="C696" s="8">
        <v>1599.0</v>
      </c>
      <c r="D696" s="8">
        <v>4999.0</v>
      </c>
      <c r="E696" s="19">
        <v>0.68</v>
      </c>
      <c r="F696" s="10">
        <v>4.0</v>
      </c>
      <c r="G696" s="11">
        <v>67951.0</v>
      </c>
      <c r="K696" s="17"/>
    </row>
    <row r="697">
      <c r="A697" s="7" t="s">
        <v>740</v>
      </c>
      <c r="B697" s="7" t="s">
        <v>741</v>
      </c>
      <c r="C697" s="8">
        <v>294.0</v>
      </c>
      <c r="D697" s="8">
        <v>4999.0</v>
      </c>
      <c r="E697" s="19">
        <v>0.94</v>
      </c>
      <c r="F697" s="10">
        <v>4.3</v>
      </c>
      <c r="G697" s="11">
        <v>4426.0</v>
      </c>
      <c r="K697" s="17"/>
    </row>
    <row r="698">
      <c r="A698" s="7" t="s">
        <v>742</v>
      </c>
      <c r="B698" s="7" t="s">
        <v>683</v>
      </c>
      <c r="C698" s="8">
        <v>828.0</v>
      </c>
      <c r="D698" s="8">
        <v>861.0</v>
      </c>
      <c r="E698" s="19">
        <v>0.04</v>
      </c>
      <c r="F698" s="10">
        <v>4.2</v>
      </c>
      <c r="G698" s="11">
        <v>4567.0</v>
      </c>
      <c r="K698" s="17"/>
    </row>
    <row r="699">
      <c r="A699" s="7" t="s">
        <v>743</v>
      </c>
      <c r="B699" s="7" t="s">
        <v>572</v>
      </c>
      <c r="C699" s="8">
        <v>745.0</v>
      </c>
      <c r="D699" s="8">
        <v>795.0</v>
      </c>
      <c r="E699" s="19">
        <v>0.06</v>
      </c>
      <c r="F699" s="10">
        <v>4.0</v>
      </c>
      <c r="G699" s="11">
        <v>13797.0</v>
      </c>
      <c r="K699" s="17"/>
    </row>
    <row r="700">
      <c r="A700" s="7" t="s">
        <v>744</v>
      </c>
      <c r="B700" s="7" t="s">
        <v>745</v>
      </c>
      <c r="C700" s="8">
        <v>1549.0</v>
      </c>
      <c r="D700" s="8">
        <v>2495.0</v>
      </c>
      <c r="E700" s="19">
        <v>0.38</v>
      </c>
      <c r="F700" s="10">
        <v>4.4</v>
      </c>
      <c r="G700" s="11">
        <v>15137.0</v>
      </c>
      <c r="K700" s="17"/>
    </row>
    <row r="701">
      <c r="A701" s="7" t="s">
        <v>35</v>
      </c>
      <c r="B701" s="7" t="s">
        <v>15</v>
      </c>
      <c r="C701" s="8">
        <v>349.0</v>
      </c>
      <c r="D701" s="8">
        <v>399.0</v>
      </c>
      <c r="E701" s="19">
        <v>0.13</v>
      </c>
      <c r="F701" s="10">
        <v>4.4</v>
      </c>
      <c r="G701" s="11">
        <v>18757.0</v>
      </c>
      <c r="K701" s="17"/>
    </row>
    <row r="702">
      <c r="A702" s="7" t="s">
        <v>41</v>
      </c>
      <c r="B702" s="7" t="s">
        <v>15</v>
      </c>
      <c r="C702" s="8">
        <v>970.0</v>
      </c>
      <c r="D702" s="8">
        <v>1799.0</v>
      </c>
      <c r="E702" s="19">
        <v>0.46</v>
      </c>
      <c r="F702" s="10">
        <v>4.5</v>
      </c>
      <c r="G702" s="10">
        <v>815.0</v>
      </c>
      <c r="K702" s="17"/>
    </row>
    <row r="703">
      <c r="A703" s="7" t="s">
        <v>746</v>
      </c>
      <c r="B703" s="7" t="s">
        <v>676</v>
      </c>
      <c r="C703" s="8">
        <v>1469.0</v>
      </c>
      <c r="D703" s="8">
        <v>2499.0</v>
      </c>
      <c r="E703" s="19">
        <v>0.41</v>
      </c>
      <c r="F703" s="10">
        <v>4.2</v>
      </c>
      <c r="G703" s="7" t="s">
        <v>747</v>
      </c>
      <c r="K703" s="17"/>
    </row>
    <row r="704">
      <c r="A704" s="7" t="s">
        <v>748</v>
      </c>
      <c r="B704" s="7" t="s">
        <v>749</v>
      </c>
      <c r="C704" s="8">
        <v>198.0</v>
      </c>
      <c r="D704" s="8">
        <v>800.0</v>
      </c>
      <c r="E704" s="19">
        <v>0.75</v>
      </c>
      <c r="F704" s="10">
        <v>4.1</v>
      </c>
      <c r="G704" s="11">
        <v>9344.0</v>
      </c>
      <c r="K704" s="17"/>
    </row>
    <row r="705">
      <c r="A705" s="7" t="s">
        <v>750</v>
      </c>
      <c r="B705" s="7" t="s">
        <v>751</v>
      </c>
      <c r="C705" s="8">
        <v>549.0</v>
      </c>
      <c r="D705" s="8">
        <v>549.0</v>
      </c>
      <c r="E705" s="19">
        <v>0.0</v>
      </c>
      <c r="F705" s="10">
        <v>4.5</v>
      </c>
      <c r="G705" s="11">
        <v>4875.0</v>
      </c>
      <c r="K705" s="17"/>
    </row>
    <row r="706">
      <c r="A706" s="7" t="s">
        <v>514</v>
      </c>
      <c r="B706" s="7" t="s">
        <v>373</v>
      </c>
      <c r="C706" s="8">
        <v>2999.0</v>
      </c>
      <c r="D706" s="8">
        <v>9999.0</v>
      </c>
      <c r="E706" s="19">
        <v>0.7</v>
      </c>
      <c r="F706" s="10">
        <v>4.2</v>
      </c>
      <c r="G706" s="11">
        <v>20881.0</v>
      </c>
      <c r="K706" s="17"/>
    </row>
    <row r="707">
      <c r="A707" s="7" t="s">
        <v>752</v>
      </c>
      <c r="B707" s="7" t="s">
        <v>373</v>
      </c>
      <c r="C707" s="8">
        <v>12000.0</v>
      </c>
      <c r="D707" s="8">
        <v>29999.0</v>
      </c>
      <c r="E707" s="19">
        <v>0.6</v>
      </c>
      <c r="F707" s="10">
        <v>4.3</v>
      </c>
      <c r="G707" s="11">
        <v>4744.0</v>
      </c>
      <c r="K707" s="17"/>
    </row>
    <row r="708">
      <c r="A708" s="7" t="s">
        <v>753</v>
      </c>
      <c r="B708" s="7" t="s">
        <v>393</v>
      </c>
      <c r="C708" s="8">
        <v>1299.0</v>
      </c>
      <c r="D708" s="8">
        <v>3499.0</v>
      </c>
      <c r="E708" s="19">
        <v>0.63</v>
      </c>
      <c r="F708" s="10">
        <v>3.9</v>
      </c>
      <c r="G708" s="11">
        <v>12452.0</v>
      </c>
      <c r="K708" s="17"/>
    </row>
    <row r="709">
      <c r="A709" s="7" t="s">
        <v>754</v>
      </c>
      <c r="B709" s="7" t="s">
        <v>652</v>
      </c>
      <c r="C709" s="8">
        <v>269.0</v>
      </c>
      <c r="D709" s="8">
        <v>315.0</v>
      </c>
      <c r="E709" s="19">
        <v>0.15</v>
      </c>
      <c r="F709" s="10">
        <v>4.5</v>
      </c>
      <c r="G709" s="11">
        <v>17810.0</v>
      </c>
      <c r="K709" s="17"/>
    </row>
    <row r="710">
      <c r="A710" s="7" t="s">
        <v>755</v>
      </c>
      <c r="B710" s="7" t="s">
        <v>393</v>
      </c>
      <c r="C710" s="8">
        <v>799.0</v>
      </c>
      <c r="D710" s="8">
        <v>1499.0</v>
      </c>
      <c r="E710" s="19">
        <v>0.47</v>
      </c>
      <c r="F710" s="10">
        <v>4.1</v>
      </c>
      <c r="G710" s="11">
        <v>53648.0</v>
      </c>
      <c r="K710" s="17"/>
    </row>
    <row r="711">
      <c r="A711" s="7" t="s">
        <v>756</v>
      </c>
      <c r="B711" s="7" t="s">
        <v>757</v>
      </c>
      <c r="C711" s="8">
        <v>6299.0</v>
      </c>
      <c r="D711" s="8">
        <v>13750.0</v>
      </c>
      <c r="E711" s="19">
        <v>0.54</v>
      </c>
      <c r="F711" s="10">
        <v>4.2</v>
      </c>
      <c r="G711" s="11">
        <v>2014.0</v>
      </c>
      <c r="K711" s="17"/>
    </row>
    <row r="712">
      <c r="A712" s="7" t="s">
        <v>758</v>
      </c>
      <c r="B712" s="7" t="s">
        <v>759</v>
      </c>
      <c r="C712" s="8">
        <v>59.0</v>
      </c>
      <c r="D712" s="8">
        <v>59.0</v>
      </c>
      <c r="E712" s="19">
        <v>0.0</v>
      </c>
      <c r="F712" s="10">
        <v>3.8</v>
      </c>
      <c r="G712" s="11">
        <v>5958.0</v>
      </c>
      <c r="K712" s="17"/>
    </row>
    <row r="713">
      <c r="A713" s="7" t="s">
        <v>760</v>
      </c>
      <c r="B713" s="7" t="s">
        <v>399</v>
      </c>
      <c r="C713" s="8">
        <v>571.0</v>
      </c>
      <c r="D713" s="8">
        <v>999.0</v>
      </c>
      <c r="E713" s="19">
        <v>0.43</v>
      </c>
      <c r="F713" s="10">
        <v>4.3</v>
      </c>
      <c r="G713" s="11">
        <v>38221.0</v>
      </c>
      <c r="K713" s="17"/>
    </row>
    <row r="714">
      <c r="A714" s="7" t="s">
        <v>761</v>
      </c>
      <c r="B714" s="7" t="s">
        <v>719</v>
      </c>
      <c r="C714" s="8">
        <v>549.0</v>
      </c>
      <c r="D714" s="8">
        <v>999.0</v>
      </c>
      <c r="E714" s="19">
        <v>0.45</v>
      </c>
      <c r="F714" s="10">
        <v>3.9</v>
      </c>
      <c r="G714" s="11">
        <v>64705.0</v>
      </c>
      <c r="K714" s="17"/>
    </row>
    <row r="715">
      <c r="A715" s="7" t="s">
        <v>501</v>
      </c>
      <c r="B715" s="7" t="s">
        <v>502</v>
      </c>
      <c r="C715" s="8">
        <v>2099.0</v>
      </c>
      <c r="D715" s="8">
        <v>5999.0</v>
      </c>
      <c r="E715" s="19">
        <v>0.65</v>
      </c>
      <c r="F715" s="10">
        <v>4.3</v>
      </c>
      <c r="G715" s="11">
        <v>17129.0</v>
      </c>
      <c r="K715" s="17"/>
    </row>
    <row r="716">
      <c r="A716" s="7" t="s">
        <v>40</v>
      </c>
      <c r="B716" s="7" t="s">
        <v>37</v>
      </c>
      <c r="C716" s="8">
        <v>13490.0</v>
      </c>
      <c r="D716" s="8">
        <v>21990.0</v>
      </c>
      <c r="E716" s="19">
        <v>0.39</v>
      </c>
      <c r="F716" s="10">
        <v>4.3</v>
      </c>
      <c r="G716" s="11">
        <v>11976.0</v>
      </c>
      <c r="K716" s="17"/>
    </row>
    <row r="717">
      <c r="A717" s="7" t="s">
        <v>762</v>
      </c>
      <c r="B717" s="7" t="s">
        <v>660</v>
      </c>
      <c r="C717" s="8">
        <v>448.0</v>
      </c>
      <c r="D717" s="8">
        <v>699.0</v>
      </c>
      <c r="E717" s="19">
        <v>0.36</v>
      </c>
      <c r="F717" s="10">
        <v>3.9</v>
      </c>
      <c r="G717" s="11">
        <v>17348.0</v>
      </c>
      <c r="K717" s="17"/>
    </row>
    <row r="718">
      <c r="A718" s="7" t="s">
        <v>763</v>
      </c>
      <c r="B718" s="7" t="s">
        <v>393</v>
      </c>
      <c r="C718" s="8">
        <v>1499.0</v>
      </c>
      <c r="D718" s="8">
        <v>2999.0</v>
      </c>
      <c r="E718" s="19">
        <v>0.5</v>
      </c>
      <c r="F718" s="10">
        <v>3.7</v>
      </c>
      <c r="G718" s="11">
        <v>87798.0</v>
      </c>
      <c r="K718" s="17"/>
    </row>
    <row r="719">
      <c r="A719" s="7" t="s">
        <v>764</v>
      </c>
      <c r="B719" s="7" t="s">
        <v>765</v>
      </c>
      <c r="C719" s="8">
        <v>299.0</v>
      </c>
      <c r="D719" s="8">
        <v>499.0</v>
      </c>
      <c r="E719" s="19">
        <v>0.4</v>
      </c>
      <c r="F719" s="10">
        <v>4.2</v>
      </c>
      <c r="G719" s="11">
        <v>24432.0</v>
      </c>
      <c r="K719" s="17"/>
    </row>
    <row r="720">
      <c r="A720" s="7" t="s">
        <v>766</v>
      </c>
      <c r="B720" s="7" t="s">
        <v>622</v>
      </c>
      <c r="C720" s="8">
        <v>579.0</v>
      </c>
      <c r="D720" s="8">
        <v>1400.0</v>
      </c>
      <c r="E720" s="19">
        <v>0.59</v>
      </c>
      <c r="F720" s="10">
        <v>4.3</v>
      </c>
      <c r="G720" s="7" t="s">
        <v>767</v>
      </c>
      <c r="K720" s="17"/>
    </row>
    <row r="721">
      <c r="A721" s="7" t="s">
        <v>768</v>
      </c>
      <c r="B721" s="7" t="s">
        <v>769</v>
      </c>
      <c r="C721" s="8">
        <v>2499.0</v>
      </c>
      <c r="D721" s="8">
        <v>3299.0</v>
      </c>
      <c r="E721" s="19">
        <v>0.24</v>
      </c>
      <c r="F721" s="10">
        <v>4.2</v>
      </c>
      <c r="G721" s="11">
        <v>93112.0</v>
      </c>
      <c r="K721" s="17"/>
    </row>
    <row r="722">
      <c r="A722" s="7" t="s">
        <v>770</v>
      </c>
      <c r="B722" s="7" t="s">
        <v>393</v>
      </c>
      <c r="C722" s="8">
        <v>1199.0</v>
      </c>
      <c r="D722" s="8">
        <v>5999.0</v>
      </c>
      <c r="E722" s="19">
        <v>0.8</v>
      </c>
      <c r="F722" s="10">
        <v>3.9</v>
      </c>
      <c r="G722" s="11">
        <v>47521.0</v>
      </c>
      <c r="K722" s="17"/>
    </row>
    <row r="723">
      <c r="A723" s="7" t="s">
        <v>771</v>
      </c>
      <c r="B723" s="7" t="s">
        <v>735</v>
      </c>
      <c r="C723" s="8">
        <v>399.0</v>
      </c>
      <c r="D723" s="8">
        <v>499.0</v>
      </c>
      <c r="E723" s="19">
        <v>0.2</v>
      </c>
      <c r="F723" s="10">
        <v>4.3</v>
      </c>
      <c r="G723" s="11">
        <v>27201.0</v>
      </c>
      <c r="K723" s="17"/>
    </row>
    <row r="724">
      <c r="A724" s="7" t="s">
        <v>42</v>
      </c>
      <c r="B724" s="7" t="s">
        <v>31</v>
      </c>
      <c r="C724" s="8">
        <v>279.0</v>
      </c>
      <c r="D724" s="8">
        <v>499.0</v>
      </c>
      <c r="E724" s="19">
        <v>0.44</v>
      </c>
      <c r="F724" s="10">
        <v>3.7</v>
      </c>
      <c r="G724" s="11">
        <v>10962.0</v>
      </c>
      <c r="K724" s="17"/>
    </row>
    <row r="725">
      <c r="A725" s="7" t="s">
        <v>43</v>
      </c>
      <c r="B725" s="7" t="s">
        <v>37</v>
      </c>
      <c r="C725" s="8">
        <v>13490.0</v>
      </c>
      <c r="D725" s="8">
        <v>22900.0</v>
      </c>
      <c r="E725" s="19">
        <v>0.41</v>
      </c>
      <c r="F725" s="10">
        <v>4.3</v>
      </c>
      <c r="G725" s="11">
        <v>16299.0</v>
      </c>
      <c r="K725" s="17"/>
    </row>
    <row r="726">
      <c r="A726" s="7" t="s">
        <v>772</v>
      </c>
      <c r="B726" s="7" t="s">
        <v>625</v>
      </c>
      <c r="C726" s="8">
        <v>279.0</v>
      </c>
      <c r="D726" s="8">
        <v>375.0</v>
      </c>
      <c r="E726" s="19">
        <v>0.26</v>
      </c>
      <c r="F726" s="10">
        <v>4.3</v>
      </c>
      <c r="G726" s="11">
        <v>31534.0</v>
      </c>
      <c r="K726" s="17"/>
    </row>
    <row r="727">
      <c r="A727" s="7" t="s">
        <v>773</v>
      </c>
      <c r="B727" s="7" t="s">
        <v>373</v>
      </c>
      <c r="C727" s="8">
        <v>2499.0</v>
      </c>
      <c r="D727" s="8">
        <v>4999.0</v>
      </c>
      <c r="E727" s="19">
        <v>0.5</v>
      </c>
      <c r="F727" s="10">
        <v>3.9</v>
      </c>
      <c r="G727" s="11">
        <v>7571.0</v>
      </c>
      <c r="K727" s="17"/>
    </row>
    <row r="728">
      <c r="A728" s="7" t="s">
        <v>774</v>
      </c>
      <c r="B728" s="7" t="s">
        <v>732</v>
      </c>
      <c r="C728" s="8">
        <v>137.0</v>
      </c>
      <c r="D728" s="8">
        <v>160.0</v>
      </c>
      <c r="E728" s="19">
        <v>0.14</v>
      </c>
      <c r="F728" s="10">
        <v>4.4</v>
      </c>
      <c r="G728" s="11">
        <v>6537.0</v>
      </c>
      <c r="K728" s="17"/>
    </row>
    <row r="729">
      <c r="A729" s="7" t="s">
        <v>44</v>
      </c>
      <c r="B729" s="7" t="s">
        <v>15</v>
      </c>
      <c r="C729" s="8">
        <v>59.0</v>
      </c>
      <c r="D729" s="8">
        <v>199.0</v>
      </c>
      <c r="E729" s="19">
        <v>0.7</v>
      </c>
      <c r="F729" s="10">
        <v>4.0</v>
      </c>
      <c r="G729" s="11">
        <v>9377.0</v>
      </c>
      <c r="K729" s="17"/>
    </row>
    <row r="730">
      <c r="A730" s="7" t="s">
        <v>775</v>
      </c>
      <c r="B730" s="7" t="s">
        <v>698</v>
      </c>
      <c r="C730" s="8">
        <v>299.0</v>
      </c>
      <c r="D730" s="8">
        <v>499.0</v>
      </c>
      <c r="E730" s="19">
        <v>0.4</v>
      </c>
      <c r="F730" s="10">
        <v>4.5</v>
      </c>
      <c r="G730" s="11">
        <v>21010.0</v>
      </c>
      <c r="K730" s="17"/>
    </row>
    <row r="731">
      <c r="A731" s="7" t="s">
        <v>776</v>
      </c>
      <c r="B731" s="7" t="s">
        <v>393</v>
      </c>
      <c r="C731" s="8">
        <v>1799.0</v>
      </c>
      <c r="D731" s="8">
        <v>3999.0</v>
      </c>
      <c r="E731" s="19">
        <v>0.55</v>
      </c>
      <c r="F731" s="10">
        <v>3.9</v>
      </c>
      <c r="G731" s="11">
        <v>3517.0</v>
      </c>
      <c r="K731" s="17"/>
    </row>
    <row r="732">
      <c r="A732" s="7" t="s">
        <v>777</v>
      </c>
      <c r="B732" s="7" t="s">
        <v>719</v>
      </c>
      <c r="C732" s="8">
        <v>1999.0</v>
      </c>
      <c r="D732" s="8">
        <v>2999.0</v>
      </c>
      <c r="E732" s="19">
        <v>0.33</v>
      </c>
      <c r="F732" s="10">
        <v>4.3</v>
      </c>
      <c r="G732" s="11">
        <v>63899.0</v>
      </c>
      <c r="K732" s="17"/>
    </row>
    <row r="733">
      <c r="A733" s="7" t="s">
        <v>46</v>
      </c>
      <c r="B733" s="7" t="s">
        <v>31</v>
      </c>
      <c r="C733" s="8">
        <v>199.0</v>
      </c>
      <c r="D733" s="8">
        <v>699.0</v>
      </c>
      <c r="E733" s="19">
        <v>0.72</v>
      </c>
      <c r="F733" s="10">
        <v>4.2</v>
      </c>
      <c r="G733" s="11">
        <v>12153.0</v>
      </c>
      <c r="K733" s="17"/>
    </row>
    <row r="734">
      <c r="A734" s="7" t="s">
        <v>778</v>
      </c>
      <c r="B734" s="7" t="s">
        <v>779</v>
      </c>
      <c r="C734" s="8">
        <v>399.0</v>
      </c>
      <c r="D734" s="8">
        <v>1499.0</v>
      </c>
      <c r="E734" s="19">
        <v>0.73</v>
      </c>
      <c r="F734" s="10">
        <v>4.1</v>
      </c>
      <c r="G734" s="11">
        <v>5730.0</v>
      </c>
      <c r="K734" s="17"/>
    </row>
    <row r="735">
      <c r="A735" s="7" t="s">
        <v>780</v>
      </c>
      <c r="B735" s="7" t="s">
        <v>781</v>
      </c>
      <c r="C735" s="8">
        <v>1699.0</v>
      </c>
      <c r="D735" s="8">
        <v>3999.0</v>
      </c>
      <c r="E735" s="19">
        <v>0.58</v>
      </c>
      <c r="F735" s="10">
        <v>4.2</v>
      </c>
      <c r="G735" s="11">
        <v>25488.0</v>
      </c>
      <c r="K735" s="17"/>
    </row>
    <row r="736">
      <c r="A736" s="7" t="s">
        <v>782</v>
      </c>
      <c r="B736" s="7" t="s">
        <v>625</v>
      </c>
      <c r="C736" s="8">
        <v>699.0</v>
      </c>
      <c r="D736" s="8">
        <v>995.0</v>
      </c>
      <c r="E736" s="19">
        <v>0.3</v>
      </c>
      <c r="F736" s="10">
        <v>4.5</v>
      </c>
      <c r="G736" s="11">
        <v>54405.0</v>
      </c>
      <c r="K736" s="17"/>
    </row>
    <row r="737">
      <c r="A737" s="7" t="s">
        <v>524</v>
      </c>
      <c r="B737" s="7" t="s">
        <v>469</v>
      </c>
      <c r="C737" s="8">
        <v>95.0</v>
      </c>
      <c r="D737" s="8">
        <v>499.0</v>
      </c>
      <c r="E737" s="19">
        <v>0.81</v>
      </c>
      <c r="F737" s="10">
        <v>4.2</v>
      </c>
      <c r="G737" s="11">
        <v>1949.0</v>
      </c>
      <c r="K737" s="17"/>
    </row>
    <row r="738">
      <c r="A738" s="7" t="s">
        <v>783</v>
      </c>
      <c r="B738" s="7" t="s">
        <v>709</v>
      </c>
      <c r="C738" s="8">
        <v>1149.0</v>
      </c>
      <c r="D738" s="8">
        <v>1699.0</v>
      </c>
      <c r="E738" s="19">
        <v>0.32</v>
      </c>
      <c r="F738" s="10">
        <v>4.2</v>
      </c>
      <c r="G738" s="7" t="s">
        <v>784</v>
      </c>
      <c r="K738" s="17"/>
    </row>
    <row r="739">
      <c r="A739" s="7" t="s">
        <v>785</v>
      </c>
      <c r="B739" s="7" t="s">
        <v>660</v>
      </c>
      <c r="C739" s="8">
        <v>1495.0</v>
      </c>
      <c r="D739" s="8">
        <v>1995.0</v>
      </c>
      <c r="E739" s="19">
        <v>0.25</v>
      </c>
      <c r="F739" s="10">
        <v>4.3</v>
      </c>
      <c r="G739" s="11">
        <v>7241.0</v>
      </c>
      <c r="K739" s="17"/>
    </row>
    <row r="740">
      <c r="A740" s="7" t="s">
        <v>786</v>
      </c>
      <c r="B740" s="7" t="s">
        <v>631</v>
      </c>
      <c r="C740" s="8">
        <v>849.0</v>
      </c>
      <c r="D740" s="8">
        <v>4999.0</v>
      </c>
      <c r="E740" s="19">
        <v>0.83</v>
      </c>
      <c r="F740" s="10">
        <v>4.0</v>
      </c>
      <c r="G740" s="11">
        <v>20457.0</v>
      </c>
      <c r="K740" s="17"/>
    </row>
    <row r="741">
      <c r="A741" s="7" t="s">
        <v>787</v>
      </c>
      <c r="B741" s="7" t="s">
        <v>788</v>
      </c>
      <c r="C741" s="8">
        <v>440.0</v>
      </c>
      <c r="D741" s="8">
        <v>440.0</v>
      </c>
      <c r="E741" s="19">
        <v>0.0</v>
      </c>
      <c r="F741" s="10">
        <v>4.5</v>
      </c>
      <c r="G741" s="11">
        <v>8610.0</v>
      </c>
      <c r="K741" s="17"/>
    </row>
    <row r="742">
      <c r="A742" s="7" t="s">
        <v>521</v>
      </c>
      <c r="B742" s="7" t="s">
        <v>502</v>
      </c>
      <c r="C742" s="8">
        <v>349.0</v>
      </c>
      <c r="D742" s="8">
        <v>999.0</v>
      </c>
      <c r="E742" s="19">
        <v>0.65</v>
      </c>
      <c r="F742" s="10">
        <v>3.8</v>
      </c>
      <c r="G742" s="11">
        <v>16557.0</v>
      </c>
      <c r="K742" s="17"/>
    </row>
    <row r="743">
      <c r="A743" s="7" t="s">
        <v>789</v>
      </c>
      <c r="B743" s="7" t="s">
        <v>631</v>
      </c>
      <c r="C743" s="8">
        <v>599.0</v>
      </c>
      <c r="D743" s="8">
        <v>3999.0</v>
      </c>
      <c r="E743" s="19">
        <v>0.85</v>
      </c>
      <c r="F743" s="10">
        <v>3.9</v>
      </c>
      <c r="G743" s="11">
        <v>1087.0</v>
      </c>
      <c r="K743" s="17"/>
    </row>
    <row r="744">
      <c r="A744" s="7" t="s">
        <v>790</v>
      </c>
      <c r="B744" s="7" t="s">
        <v>741</v>
      </c>
      <c r="C744" s="8">
        <v>149.0</v>
      </c>
      <c r="D744" s="8">
        <v>399.0</v>
      </c>
      <c r="E744" s="19">
        <v>0.63</v>
      </c>
      <c r="F744" s="10">
        <v>4.0</v>
      </c>
      <c r="G744" s="11">
        <v>1540.0</v>
      </c>
      <c r="K744" s="17"/>
    </row>
    <row r="745">
      <c r="A745" s="7" t="s">
        <v>791</v>
      </c>
      <c r="B745" s="7" t="s">
        <v>627</v>
      </c>
      <c r="C745" s="8">
        <v>289.0</v>
      </c>
      <c r="D745" s="8">
        <v>999.0</v>
      </c>
      <c r="E745" s="19">
        <v>0.71</v>
      </c>
      <c r="F745" s="10">
        <v>4.1</v>
      </c>
      <c r="G745" s="10">
        <v>401.0</v>
      </c>
      <c r="K745" s="17"/>
    </row>
    <row r="746">
      <c r="A746" s="7" t="s">
        <v>792</v>
      </c>
      <c r="B746" s="7" t="s">
        <v>793</v>
      </c>
      <c r="C746" s="8">
        <v>179.0</v>
      </c>
      <c r="D746" s="8">
        <v>499.0</v>
      </c>
      <c r="E746" s="19">
        <v>0.64</v>
      </c>
      <c r="F746" s="10">
        <v>3.4</v>
      </c>
      <c r="G746" s="11">
        <v>9385.0</v>
      </c>
      <c r="K746" s="17"/>
    </row>
    <row r="747">
      <c r="A747" s="7" t="s">
        <v>794</v>
      </c>
      <c r="B747" s="7" t="s">
        <v>373</v>
      </c>
      <c r="C747" s="8">
        <v>1499.0</v>
      </c>
      <c r="D747" s="8">
        <v>4999.0</v>
      </c>
      <c r="E747" s="19">
        <v>0.7</v>
      </c>
      <c r="F747" s="10">
        <v>4.0</v>
      </c>
      <c r="G747" s="11">
        <v>92588.0</v>
      </c>
      <c r="K747" s="17"/>
    </row>
    <row r="748">
      <c r="A748" s="7" t="s">
        <v>795</v>
      </c>
      <c r="B748" s="7" t="s">
        <v>393</v>
      </c>
      <c r="C748" s="8">
        <v>399.0</v>
      </c>
      <c r="D748" s="8">
        <v>699.0</v>
      </c>
      <c r="E748" s="19">
        <v>0.43</v>
      </c>
      <c r="F748" s="10">
        <v>3.4</v>
      </c>
      <c r="G748" s="11">
        <v>3454.0</v>
      </c>
      <c r="K748" s="17"/>
    </row>
    <row r="749">
      <c r="A749" s="7" t="s">
        <v>796</v>
      </c>
      <c r="B749" s="7" t="s">
        <v>692</v>
      </c>
      <c r="C749" s="8">
        <v>599.0</v>
      </c>
      <c r="D749" s="8">
        <v>799.0</v>
      </c>
      <c r="E749" s="19">
        <v>0.25</v>
      </c>
      <c r="F749" s="10">
        <v>4.3</v>
      </c>
      <c r="G749" s="11">
        <v>15790.0</v>
      </c>
      <c r="K749" s="17"/>
    </row>
    <row r="750">
      <c r="A750" s="7" t="s">
        <v>797</v>
      </c>
      <c r="B750" s="7" t="s">
        <v>798</v>
      </c>
      <c r="C750" s="8">
        <v>949.0</v>
      </c>
      <c r="D750" s="8">
        <v>2000.0</v>
      </c>
      <c r="E750" s="19">
        <v>0.53</v>
      </c>
      <c r="F750" s="10">
        <v>3.9</v>
      </c>
      <c r="G750" s="11">
        <v>14969.0</v>
      </c>
      <c r="K750" s="17"/>
    </row>
    <row r="751">
      <c r="A751" s="7" t="s">
        <v>799</v>
      </c>
      <c r="B751" s="7" t="s">
        <v>373</v>
      </c>
      <c r="C751" s="8">
        <v>2499.0</v>
      </c>
      <c r="D751" s="8">
        <v>9999.0</v>
      </c>
      <c r="E751" s="19">
        <v>0.75</v>
      </c>
      <c r="F751" s="10">
        <v>4.1</v>
      </c>
      <c r="G751" s="11">
        <v>42139.0</v>
      </c>
      <c r="K751" s="17"/>
    </row>
    <row r="752">
      <c r="A752" s="7" t="s">
        <v>800</v>
      </c>
      <c r="B752" s="7" t="s">
        <v>652</v>
      </c>
      <c r="C752" s="8">
        <v>159.0</v>
      </c>
      <c r="D752" s="8">
        <v>180.0</v>
      </c>
      <c r="E752" s="19">
        <v>0.12</v>
      </c>
      <c r="F752" s="10">
        <v>4.3</v>
      </c>
      <c r="G752" s="10">
        <v>989.0</v>
      </c>
      <c r="K752" s="17"/>
    </row>
    <row r="753">
      <c r="A753" s="7" t="s">
        <v>801</v>
      </c>
      <c r="B753" s="7" t="s">
        <v>386</v>
      </c>
      <c r="C753" s="8">
        <v>1329.0</v>
      </c>
      <c r="D753" s="8">
        <v>2900.0</v>
      </c>
      <c r="E753" s="19">
        <v>0.54</v>
      </c>
      <c r="F753" s="10">
        <v>4.5</v>
      </c>
      <c r="G753" s="11">
        <v>19624.0</v>
      </c>
      <c r="K753" s="17"/>
    </row>
    <row r="754">
      <c r="A754" s="7" t="s">
        <v>802</v>
      </c>
      <c r="B754" s="7" t="s">
        <v>793</v>
      </c>
      <c r="C754" s="8">
        <v>570.0</v>
      </c>
      <c r="D754" s="8">
        <v>999.0</v>
      </c>
      <c r="E754" s="19">
        <v>0.43</v>
      </c>
      <c r="F754" s="10">
        <v>4.2</v>
      </c>
      <c r="G754" s="11">
        <v>3201.0</v>
      </c>
      <c r="K754" s="17"/>
    </row>
    <row r="755">
      <c r="A755" s="7" t="s">
        <v>803</v>
      </c>
      <c r="B755" s="7" t="s">
        <v>804</v>
      </c>
      <c r="C755" s="8">
        <v>899.0</v>
      </c>
      <c r="D755" s="8">
        <v>1999.0</v>
      </c>
      <c r="E755" s="19">
        <v>0.55</v>
      </c>
      <c r="F755" s="10">
        <v>4.1</v>
      </c>
      <c r="G755" s="11">
        <v>30469.0</v>
      </c>
      <c r="K755" s="17"/>
    </row>
    <row r="756">
      <c r="A756" s="7" t="s">
        <v>805</v>
      </c>
      <c r="B756" s="7" t="s">
        <v>806</v>
      </c>
      <c r="C756" s="8">
        <v>449.0</v>
      </c>
      <c r="D756" s="8">
        <v>999.0</v>
      </c>
      <c r="E756" s="19">
        <v>0.55</v>
      </c>
      <c r="F756" s="10">
        <v>4.4</v>
      </c>
      <c r="G756" s="11">
        <v>9940.0</v>
      </c>
      <c r="K756" s="17"/>
    </row>
    <row r="757">
      <c r="A757" s="7" t="s">
        <v>807</v>
      </c>
      <c r="B757" s="7" t="s">
        <v>808</v>
      </c>
      <c r="C757" s="8">
        <v>549.0</v>
      </c>
      <c r="D757" s="8">
        <v>999.0</v>
      </c>
      <c r="E757" s="19">
        <v>0.45</v>
      </c>
      <c r="F757" s="10">
        <v>4.3</v>
      </c>
      <c r="G757" s="11">
        <v>7758.0</v>
      </c>
      <c r="K757" s="17"/>
    </row>
    <row r="758">
      <c r="A758" s="7" t="s">
        <v>809</v>
      </c>
      <c r="B758" s="7" t="s">
        <v>709</v>
      </c>
      <c r="C758" s="8">
        <v>1529.0</v>
      </c>
      <c r="D758" s="8">
        <v>2399.0</v>
      </c>
      <c r="E758" s="19">
        <v>0.36</v>
      </c>
      <c r="F758" s="10">
        <v>4.3</v>
      </c>
      <c r="G758" s="11">
        <v>68409.0</v>
      </c>
      <c r="K758" s="17"/>
    </row>
    <row r="759">
      <c r="A759" s="7" t="s">
        <v>810</v>
      </c>
      <c r="B759" s="7" t="s">
        <v>811</v>
      </c>
      <c r="C759" s="8">
        <v>100.0</v>
      </c>
      <c r="D759" s="8">
        <v>100.0</v>
      </c>
      <c r="E759" s="19">
        <v>0.0</v>
      </c>
      <c r="F759" s="10">
        <v>4.3</v>
      </c>
      <c r="G759" s="11">
        <v>3095.0</v>
      </c>
      <c r="K759" s="17"/>
    </row>
    <row r="760">
      <c r="A760" s="7" t="s">
        <v>812</v>
      </c>
      <c r="B760" s="7" t="s">
        <v>635</v>
      </c>
      <c r="C760" s="8">
        <v>299.0</v>
      </c>
      <c r="D760" s="8">
        <v>1499.0</v>
      </c>
      <c r="E760" s="19">
        <v>0.8</v>
      </c>
      <c r="F760" s="10">
        <v>4.2</v>
      </c>
      <c r="G760" s="10">
        <v>903.0</v>
      </c>
      <c r="K760" s="17"/>
    </row>
    <row r="761">
      <c r="A761" s="7" t="s">
        <v>813</v>
      </c>
      <c r="B761" s="7" t="s">
        <v>660</v>
      </c>
      <c r="C761" s="8">
        <v>1295.0</v>
      </c>
      <c r="D761" s="8">
        <v>1795.0</v>
      </c>
      <c r="E761" s="19">
        <v>0.28</v>
      </c>
      <c r="F761" s="10">
        <v>4.1</v>
      </c>
      <c r="G761" s="11">
        <v>25771.0</v>
      </c>
      <c r="K761" s="17"/>
    </row>
    <row r="762">
      <c r="A762" s="7" t="s">
        <v>814</v>
      </c>
      <c r="B762" s="7" t="s">
        <v>393</v>
      </c>
      <c r="C762" s="8">
        <v>699.0</v>
      </c>
      <c r="D762" s="8">
        <v>999.0</v>
      </c>
      <c r="E762" s="19">
        <v>0.3</v>
      </c>
      <c r="F762" s="10">
        <v>4.1</v>
      </c>
      <c r="G762" s="7" t="s">
        <v>815</v>
      </c>
      <c r="K762" s="17"/>
    </row>
    <row r="763">
      <c r="A763" s="7" t="s">
        <v>816</v>
      </c>
      <c r="B763" s="7" t="s">
        <v>817</v>
      </c>
      <c r="C763" s="8">
        <v>252.0</v>
      </c>
      <c r="D763" s="8">
        <v>315.0</v>
      </c>
      <c r="E763" s="19">
        <v>0.2</v>
      </c>
      <c r="F763" s="10">
        <v>4.5</v>
      </c>
      <c r="G763" s="11">
        <v>3785.0</v>
      </c>
      <c r="K763" s="17"/>
    </row>
    <row r="764">
      <c r="A764" s="7" t="s">
        <v>818</v>
      </c>
      <c r="B764" s="7" t="s">
        <v>652</v>
      </c>
      <c r="C764" s="8">
        <v>190.0</v>
      </c>
      <c r="D764" s="8">
        <v>220.0</v>
      </c>
      <c r="E764" s="19">
        <v>0.14</v>
      </c>
      <c r="F764" s="10">
        <v>4.4</v>
      </c>
      <c r="G764" s="11">
        <v>2866.0</v>
      </c>
      <c r="K764" s="17"/>
    </row>
    <row r="765">
      <c r="A765" s="7" t="s">
        <v>819</v>
      </c>
      <c r="B765" s="7" t="s">
        <v>660</v>
      </c>
      <c r="C765" s="8">
        <v>1299.0</v>
      </c>
      <c r="D765" s="8">
        <v>1599.0</v>
      </c>
      <c r="E765" s="19">
        <v>0.19</v>
      </c>
      <c r="F765" s="10">
        <v>4.3</v>
      </c>
      <c r="G765" s="11">
        <v>27223.0</v>
      </c>
      <c r="K765" s="17"/>
    </row>
    <row r="766">
      <c r="A766" s="7" t="s">
        <v>820</v>
      </c>
      <c r="B766" s="7" t="s">
        <v>622</v>
      </c>
      <c r="C766" s="8">
        <v>729.0</v>
      </c>
      <c r="D766" s="8">
        <v>1650.0</v>
      </c>
      <c r="E766" s="19">
        <v>0.56</v>
      </c>
      <c r="F766" s="10">
        <v>4.3</v>
      </c>
      <c r="G766" s="11">
        <v>82356.0</v>
      </c>
      <c r="K766" s="17"/>
    </row>
    <row r="767">
      <c r="A767" s="7" t="s">
        <v>821</v>
      </c>
      <c r="B767" s="7" t="s">
        <v>822</v>
      </c>
      <c r="C767" s="8">
        <v>480.0</v>
      </c>
      <c r="D767" s="8">
        <v>600.0</v>
      </c>
      <c r="E767" s="19">
        <v>0.2</v>
      </c>
      <c r="F767" s="10">
        <v>4.3</v>
      </c>
      <c r="G767" s="11">
        <v>5719.0</v>
      </c>
      <c r="K767" s="17"/>
    </row>
    <row r="768">
      <c r="A768" s="7" t="s">
        <v>534</v>
      </c>
      <c r="B768" s="7" t="s">
        <v>373</v>
      </c>
      <c r="C768" s="8">
        <v>1799.0</v>
      </c>
      <c r="D768" s="8">
        <v>6990.0</v>
      </c>
      <c r="E768" s="19">
        <v>0.74</v>
      </c>
      <c r="F768" s="10">
        <v>4.0</v>
      </c>
      <c r="G768" s="11">
        <v>26880.0</v>
      </c>
      <c r="K768" s="17"/>
    </row>
    <row r="769">
      <c r="A769" s="7" t="s">
        <v>823</v>
      </c>
      <c r="B769" s="7" t="s">
        <v>631</v>
      </c>
      <c r="C769" s="8">
        <v>999.0</v>
      </c>
      <c r="D769" s="8">
        <v>2499.0</v>
      </c>
      <c r="E769" s="19">
        <v>0.6</v>
      </c>
      <c r="F769" s="10">
        <v>4.3</v>
      </c>
      <c r="G769" s="11">
        <v>1690.0</v>
      </c>
      <c r="K769" s="17"/>
    </row>
    <row r="770">
      <c r="A770" s="7" t="s">
        <v>48</v>
      </c>
      <c r="B770" s="7" t="s">
        <v>15</v>
      </c>
      <c r="C770" s="8">
        <v>299.0</v>
      </c>
      <c r="D770" s="8">
        <v>399.0</v>
      </c>
      <c r="E770" s="19">
        <v>0.25</v>
      </c>
      <c r="F770" s="10">
        <v>4.0</v>
      </c>
      <c r="G770" s="11">
        <v>2766.0</v>
      </c>
      <c r="K770" s="17"/>
    </row>
    <row r="771">
      <c r="A771" s="7" t="s">
        <v>824</v>
      </c>
      <c r="B771" s="7" t="s">
        <v>825</v>
      </c>
      <c r="C771" s="8">
        <v>238.0</v>
      </c>
      <c r="D771" s="8">
        <v>699.0</v>
      </c>
      <c r="E771" s="19">
        <v>0.66</v>
      </c>
      <c r="F771" s="10">
        <v>4.4</v>
      </c>
      <c r="G771" s="11">
        <v>8372.0</v>
      </c>
      <c r="K771" s="17"/>
    </row>
    <row r="772">
      <c r="A772" s="7" t="s">
        <v>826</v>
      </c>
      <c r="B772" s="7" t="s">
        <v>660</v>
      </c>
      <c r="C772" s="8">
        <v>1349.0</v>
      </c>
      <c r="D772" s="8">
        <v>2198.0</v>
      </c>
      <c r="E772" s="19">
        <v>0.39</v>
      </c>
      <c r="F772" s="10">
        <v>4.0</v>
      </c>
      <c r="G772" s="11">
        <v>7113.0</v>
      </c>
      <c r="K772" s="17"/>
    </row>
    <row r="773">
      <c r="A773" s="7" t="s">
        <v>50</v>
      </c>
      <c r="B773" s="7" t="s">
        <v>15</v>
      </c>
      <c r="C773" s="8">
        <v>299.0</v>
      </c>
      <c r="D773" s="8">
        <v>999.0</v>
      </c>
      <c r="E773" s="19">
        <v>0.7</v>
      </c>
      <c r="F773" s="10">
        <v>4.3</v>
      </c>
      <c r="G773" s="11">
        <v>20850.0</v>
      </c>
      <c r="K773" s="17"/>
    </row>
    <row r="774">
      <c r="A774" s="7" t="s">
        <v>827</v>
      </c>
      <c r="B774" s="7" t="s">
        <v>798</v>
      </c>
      <c r="C774" s="8">
        <v>199.0</v>
      </c>
      <c r="D774" s="8">
        <v>499.0</v>
      </c>
      <c r="E774" s="19">
        <v>0.6</v>
      </c>
      <c r="F774" s="10">
        <v>3.3</v>
      </c>
      <c r="G774" s="11">
        <v>2804.0</v>
      </c>
      <c r="K774" s="17"/>
    </row>
    <row r="775">
      <c r="A775" s="7" t="s">
        <v>828</v>
      </c>
      <c r="B775" s="7" t="s">
        <v>393</v>
      </c>
      <c r="C775" s="8">
        <v>1999.0</v>
      </c>
      <c r="D775" s="8">
        <v>9999.0</v>
      </c>
      <c r="E775" s="19">
        <v>0.8</v>
      </c>
      <c r="F775" s="10">
        <v>3.7</v>
      </c>
      <c r="G775" s="11">
        <v>1986.0</v>
      </c>
      <c r="K775" s="17"/>
    </row>
    <row r="776">
      <c r="A776" s="7" t="s">
        <v>829</v>
      </c>
      <c r="B776" s="7" t="s">
        <v>450</v>
      </c>
      <c r="C776" s="8">
        <v>99.0</v>
      </c>
      <c r="D776" s="8">
        <v>499.0</v>
      </c>
      <c r="E776" s="19">
        <v>0.8</v>
      </c>
      <c r="F776" s="10">
        <v>4.1</v>
      </c>
      <c r="G776" s="11">
        <v>2451.0</v>
      </c>
      <c r="K776" s="17"/>
    </row>
    <row r="777">
      <c r="A777" s="7" t="s">
        <v>830</v>
      </c>
      <c r="B777" s="7" t="s">
        <v>625</v>
      </c>
      <c r="C777" s="8">
        <v>499.0</v>
      </c>
      <c r="D777" s="8">
        <v>1000.0</v>
      </c>
      <c r="E777" s="19">
        <v>0.5</v>
      </c>
      <c r="F777" s="10">
        <v>5.0</v>
      </c>
      <c r="G777" s="10">
        <v>23.0</v>
      </c>
      <c r="K777" s="17"/>
    </row>
    <row r="778">
      <c r="A778" s="7" t="s">
        <v>831</v>
      </c>
      <c r="B778" s="7" t="s">
        <v>832</v>
      </c>
      <c r="C778" s="8">
        <v>1792.0</v>
      </c>
      <c r="D778" s="8">
        <v>3500.0</v>
      </c>
      <c r="E778" s="19">
        <v>0.49</v>
      </c>
      <c r="F778" s="10">
        <v>4.5</v>
      </c>
      <c r="G778" s="11">
        <v>26194.0</v>
      </c>
      <c r="K778" s="17"/>
    </row>
    <row r="779">
      <c r="A779" s="7" t="s">
        <v>833</v>
      </c>
      <c r="B779" s="7" t="s">
        <v>834</v>
      </c>
      <c r="C779" s="8">
        <v>3299.0</v>
      </c>
      <c r="D779" s="8">
        <v>4100.0</v>
      </c>
      <c r="E779" s="19">
        <v>0.2</v>
      </c>
      <c r="F779" s="10">
        <v>3.9</v>
      </c>
      <c r="G779" s="11">
        <v>15783.0</v>
      </c>
      <c r="K779" s="17"/>
    </row>
    <row r="780">
      <c r="A780" s="7" t="s">
        <v>835</v>
      </c>
      <c r="B780" s="7" t="s">
        <v>817</v>
      </c>
      <c r="C780" s="8">
        <v>125.0</v>
      </c>
      <c r="D780" s="8">
        <v>180.0</v>
      </c>
      <c r="E780" s="19">
        <v>0.31</v>
      </c>
      <c r="F780" s="10">
        <v>4.4</v>
      </c>
      <c r="G780" s="11">
        <v>8053.0</v>
      </c>
      <c r="K780" s="17"/>
    </row>
    <row r="781">
      <c r="A781" s="7" t="s">
        <v>836</v>
      </c>
      <c r="B781" s="7" t="s">
        <v>625</v>
      </c>
      <c r="C781" s="8">
        <v>399.0</v>
      </c>
      <c r="D781" s="8">
        <v>1190.0</v>
      </c>
      <c r="E781" s="19">
        <v>0.66</v>
      </c>
      <c r="F781" s="10">
        <v>4.1</v>
      </c>
      <c r="G781" s="11">
        <v>2809.0</v>
      </c>
      <c r="K781" s="17"/>
    </row>
    <row r="782">
      <c r="A782" s="7" t="s">
        <v>837</v>
      </c>
      <c r="B782" s="7" t="s">
        <v>393</v>
      </c>
      <c r="C782" s="8">
        <v>1199.0</v>
      </c>
      <c r="D782" s="8">
        <v>7999.0</v>
      </c>
      <c r="E782" s="19">
        <v>0.85</v>
      </c>
      <c r="F782" s="10">
        <v>3.6</v>
      </c>
      <c r="G782" s="11">
        <v>25910.0</v>
      </c>
      <c r="K782" s="17"/>
    </row>
    <row r="783">
      <c r="A783" s="7" t="s">
        <v>838</v>
      </c>
      <c r="B783" s="7" t="s">
        <v>627</v>
      </c>
      <c r="C783" s="8">
        <v>235.0</v>
      </c>
      <c r="D783" s="8">
        <v>1599.0</v>
      </c>
      <c r="E783" s="19">
        <v>0.85</v>
      </c>
      <c r="F783" s="10">
        <v>3.8</v>
      </c>
      <c r="G783" s="11">
        <v>1173.0</v>
      </c>
      <c r="K783" s="17"/>
    </row>
    <row r="784">
      <c r="A784" s="7" t="s">
        <v>839</v>
      </c>
      <c r="B784" s="7" t="s">
        <v>631</v>
      </c>
      <c r="C784" s="8">
        <v>549.0</v>
      </c>
      <c r="D784" s="8">
        <v>1999.0</v>
      </c>
      <c r="E784" s="19">
        <v>0.73</v>
      </c>
      <c r="F784" s="10">
        <v>3.6</v>
      </c>
      <c r="G784" s="11">
        <v>6422.0</v>
      </c>
      <c r="K784" s="17"/>
    </row>
    <row r="785">
      <c r="A785" s="7" t="s">
        <v>840</v>
      </c>
      <c r="B785" s="7" t="s">
        <v>759</v>
      </c>
      <c r="C785" s="8">
        <v>89.0</v>
      </c>
      <c r="D785" s="8">
        <v>99.0</v>
      </c>
      <c r="E785" s="19">
        <v>0.1</v>
      </c>
      <c r="F785" s="10">
        <v>4.2</v>
      </c>
      <c r="G785" s="10">
        <v>241.0</v>
      </c>
      <c r="K785" s="17"/>
    </row>
    <row r="786">
      <c r="A786" s="7" t="s">
        <v>49</v>
      </c>
      <c r="B786" s="7" t="s">
        <v>15</v>
      </c>
      <c r="C786" s="8">
        <v>970.0</v>
      </c>
      <c r="D786" s="8">
        <v>1999.0</v>
      </c>
      <c r="E786" s="19">
        <v>0.51</v>
      </c>
      <c r="F786" s="10">
        <v>4.4</v>
      </c>
      <c r="G786" s="10">
        <v>184.0</v>
      </c>
      <c r="K786" s="17"/>
    </row>
    <row r="787">
      <c r="A787" s="7" t="s">
        <v>841</v>
      </c>
      <c r="B787" s="7" t="s">
        <v>393</v>
      </c>
      <c r="C787" s="8">
        <v>1299.0</v>
      </c>
      <c r="D787" s="8">
        <v>2999.0</v>
      </c>
      <c r="E787" s="19">
        <v>0.57</v>
      </c>
      <c r="F787" s="10">
        <v>3.8</v>
      </c>
      <c r="G787" s="11">
        <v>14629.0</v>
      </c>
      <c r="K787" s="17"/>
    </row>
    <row r="788">
      <c r="A788" s="7" t="s">
        <v>842</v>
      </c>
      <c r="B788" s="7" t="s">
        <v>696</v>
      </c>
      <c r="C788" s="8">
        <v>230.0</v>
      </c>
      <c r="D788" s="8">
        <v>999.0</v>
      </c>
      <c r="E788" s="19">
        <v>0.77</v>
      </c>
      <c r="F788" s="10">
        <v>4.2</v>
      </c>
      <c r="G788" s="11">
        <v>1528.0</v>
      </c>
      <c r="K788" s="17"/>
    </row>
    <row r="789">
      <c r="A789" s="7" t="s">
        <v>843</v>
      </c>
      <c r="B789" s="7" t="s">
        <v>844</v>
      </c>
      <c r="C789" s="8">
        <v>119.0</v>
      </c>
      <c r="D789" s="8">
        <v>499.0</v>
      </c>
      <c r="E789" s="19">
        <v>0.76</v>
      </c>
      <c r="F789" s="10">
        <v>4.3</v>
      </c>
      <c r="G789" s="11">
        <v>15032.0</v>
      </c>
      <c r="K789" s="17"/>
    </row>
    <row r="790">
      <c r="A790" s="7" t="s">
        <v>845</v>
      </c>
      <c r="B790" s="7" t="s">
        <v>846</v>
      </c>
      <c r="C790" s="8">
        <v>449.0</v>
      </c>
      <c r="D790" s="8">
        <v>800.0</v>
      </c>
      <c r="E790" s="19">
        <v>0.44</v>
      </c>
      <c r="F790" s="10">
        <v>4.4</v>
      </c>
      <c r="G790" s="11">
        <v>69585.0</v>
      </c>
      <c r="K790" s="17"/>
    </row>
    <row r="791">
      <c r="A791" s="7" t="s">
        <v>847</v>
      </c>
      <c r="B791" s="7" t="s">
        <v>848</v>
      </c>
      <c r="C791" s="8">
        <v>1699.0</v>
      </c>
      <c r="D791" s="8">
        <v>3495.0</v>
      </c>
      <c r="E791" s="19">
        <v>0.51</v>
      </c>
      <c r="F791" s="10">
        <v>4.1</v>
      </c>
      <c r="G791" s="11">
        <v>14371.0</v>
      </c>
      <c r="K791" s="17"/>
    </row>
    <row r="792">
      <c r="A792" s="7" t="s">
        <v>849</v>
      </c>
      <c r="B792" s="7" t="s">
        <v>817</v>
      </c>
      <c r="C792" s="8">
        <v>561.0</v>
      </c>
      <c r="D792" s="8">
        <v>720.0</v>
      </c>
      <c r="E792" s="19">
        <v>0.22</v>
      </c>
      <c r="F792" s="10">
        <v>4.4</v>
      </c>
      <c r="G792" s="11">
        <v>3182.0</v>
      </c>
      <c r="K792" s="17"/>
    </row>
    <row r="793">
      <c r="A793" s="7" t="s">
        <v>850</v>
      </c>
      <c r="B793" s="7" t="s">
        <v>625</v>
      </c>
      <c r="C793" s="8">
        <v>289.0</v>
      </c>
      <c r="D793" s="8">
        <v>590.0</v>
      </c>
      <c r="E793" s="19">
        <v>0.51</v>
      </c>
      <c r="F793" s="10">
        <v>4.4</v>
      </c>
      <c r="G793" s="11">
        <v>25886.0</v>
      </c>
      <c r="K793" s="17"/>
    </row>
    <row r="794">
      <c r="A794" s="7" t="s">
        <v>851</v>
      </c>
      <c r="B794" s="7" t="s">
        <v>635</v>
      </c>
      <c r="C794" s="8">
        <v>599.0</v>
      </c>
      <c r="D794" s="8">
        <v>1999.0</v>
      </c>
      <c r="E794" s="19">
        <v>0.7</v>
      </c>
      <c r="F794" s="10">
        <v>4.4</v>
      </c>
      <c r="G794" s="11">
        <v>4736.0</v>
      </c>
      <c r="K794" s="17"/>
    </row>
    <row r="795">
      <c r="A795" s="7" t="s">
        <v>852</v>
      </c>
      <c r="B795" s="7" t="s">
        <v>662</v>
      </c>
      <c r="C795" s="8">
        <v>5599.0</v>
      </c>
      <c r="D795" s="8">
        <v>7350.0</v>
      </c>
      <c r="E795" s="19">
        <v>0.24</v>
      </c>
      <c r="F795" s="10">
        <v>4.4</v>
      </c>
      <c r="G795" s="11">
        <v>73005.0</v>
      </c>
      <c r="K795" s="17"/>
    </row>
    <row r="796">
      <c r="A796" s="7" t="s">
        <v>853</v>
      </c>
      <c r="B796" s="7" t="s">
        <v>854</v>
      </c>
      <c r="C796" s="8">
        <v>1990.0</v>
      </c>
      <c r="D796" s="8">
        <v>2595.0</v>
      </c>
      <c r="E796" s="19">
        <v>0.23</v>
      </c>
      <c r="F796" s="10">
        <v>4.3</v>
      </c>
      <c r="G796" s="11">
        <v>20398.0</v>
      </c>
      <c r="K796" s="17"/>
    </row>
    <row r="797">
      <c r="A797" s="7" t="s">
        <v>855</v>
      </c>
      <c r="B797" s="7" t="s">
        <v>793</v>
      </c>
      <c r="C797" s="8">
        <v>499.0</v>
      </c>
      <c r="D797" s="8">
        <v>799.0</v>
      </c>
      <c r="E797" s="19">
        <v>0.38</v>
      </c>
      <c r="F797" s="10">
        <v>4.3</v>
      </c>
      <c r="G797" s="11">
        <v>2125.0</v>
      </c>
      <c r="K797" s="17"/>
    </row>
    <row r="798">
      <c r="A798" s="7" t="s">
        <v>856</v>
      </c>
      <c r="B798" s="7" t="s">
        <v>806</v>
      </c>
      <c r="C798" s="8">
        <v>449.0</v>
      </c>
      <c r="D798" s="8">
        <v>999.0</v>
      </c>
      <c r="E798" s="19">
        <v>0.55</v>
      </c>
      <c r="F798" s="10">
        <v>4.3</v>
      </c>
      <c r="G798" s="11">
        <v>11330.0</v>
      </c>
      <c r="K798" s="17"/>
    </row>
    <row r="799">
      <c r="A799" s="7" t="s">
        <v>857</v>
      </c>
      <c r="B799" s="7" t="s">
        <v>858</v>
      </c>
      <c r="C799" s="8">
        <v>999.0</v>
      </c>
      <c r="D799" s="8">
        <v>1999.0</v>
      </c>
      <c r="E799" s="19">
        <v>0.5</v>
      </c>
      <c r="F799" s="10">
        <v>4.2</v>
      </c>
      <c r="G799" s="11">
        <v>27441.0</v>
      </c>
      <c r="K799" s="17"/>
    </row>
    <row r="800">
      <c r="A800" s="7" t="s">
        <v>859</v>
      </c>
      <c r="B800" s="7" t="s">
        <v>576</v>
      </c>
      <c r="C800" s="8">
        <v>69.0</v>
      </c>
      <c r="D800" s="8">
        <v>299.0</v>
      </c>
      <c r="E800" s="19">
        <v>0.77</v>
      </c>
      <c r="F800" s="10">
        <v>4.3</v>
      </c>
      <c r="G800" s="10">
        <v>255.0</v>
      </c>
      <c r="K800" s="17"/>
    </row>
    <row r="801">
      <c r="A801" s="7" t="s">
        <v>860</v>
      </c>
      <c r="B801" s="7" t="s">
        <v>625</v>
      </c>
      <c r="C801" s="8">
        <v>899.0</v>
      </c>
      <c r="D801" s="8">
        <v>1499.0</v>
      </c>
      <c r="E801" s="19">
        <v>0.4</v>
      </c>
      <c r="F801" s="10">
        <v>4.2</v>
      </c>
      <c r="G801" s="11">
        <v>23174.0</v>
      </c>
      <c r="K801" s="17"/>
    </row>
    <row r="802">
      <c r="A802" s="7" t="s">
        <v>861</v>
      </c>
      <c r="B802" s="7" t="s">
        <v>650</v>
      </c>
      <c r="C802" s="8">
        <v>478.0</v>
      </c>
      <c r="D802" s="8">
        <v>699.0</v>
      </c>
      <c r="E802" s="19">
        <v>0.32</v>
      </c>
      <c r="F802" s="10">
        <v>3.8</v>
      </c>
      <c r="G802" s="11">
        <v>20218.0</v>
      </c>
      <c r="K802" s="17"/>
    </row>
    <row r="803">
      <c r="A803" s="7" t="s">
        <v>862</v>
      </c>
      <c r="B803" s="7" t="s">
        <v>863</v>
      </c>
      <c r="C803" s="8">
        <v>1399.0</v>
      </c>
      <c r="D803" s="8">
        <v>2490.0</v>
      </c>
      <c r="E803" s="19">
        <v>0.44</v>
      </c>
      <c r="F803" s="10">
        <v>4.3</v>
      </c>
      <c r="G803" s="11">
        <v>11074.0</v>
      </c>
      <c r="K803" s="17"/>
    </row>
    <row r="804">
      <c r="A804" s="7" t="s">
        <v>51</v>
      </c>
      <c r="B804" s="7" t="s">
        <v>15</v>
      </c>
      <c r="C804" s="8">
        <v>199.0</v>
      </c>
      <c r="D804" s="8">
        <v>750.0</v>
      </c>
      <c r="E804" s="19">
        <v>0.73</v>
      </c>
      <c r="F804" s="10">
        <v>4.5</v>
      </c>
      <c r="G804" s="11">
        <v>74976.0</v>
      </c>
      <c r="K804" s="17"/>
    </row>
    <row r="805">
      <c r="A805" s="7" t="s">
        <v>864</v>
      </c>
      <c r="B805" s="7" t="s">
        <v>865</v>
      </c>
      <c r="C805" s="8">
        <v>149.0</v>
      </c>
      <c r="D805" s="8">
        <v>499.0</v>
      </c>
      <c r="E805" s="19">
        <v>0.7</v>
      </c>
      <c r="F805" s="10">
        <v>4.1</v>
      </c>
      <c r="G805" s="11">
        <v>25607.0</v>
      </c>
      <c r="K805" s="17"/>
    </row>
    <row r="806">
      <c r="A806" s="7" t="s">
        <v>866</v>
      </c>
      <c r="B806" s="7" t="s">
        <v>719</v>
      </c>
      <c r="C806" s="8">
        <v>1799.0</v>
      </c>
      <c r="D806" s="8">
        <v>4990.0</v>
      </c>
      <c r="E806" s="19">
        <v>0.64</v>
      </c>
      <c r="F806" s="10">
        <v>4.2</v>
      </c>
      <c r="G806" s="11">
        <v>41226.0</v>
      </c>
      <c r="K806" s="17"/>
    </row>
    <row r="807">
      <c r="A807" s="7" t="s">
        <v>867</v>
      </c>
      <c r="B807" s="7" t="s">
        <v>868</v>
      </c>
      <c r="C807" s="8">
        <v>425.0</v>
      </c>
      <c r="D807" s="8">
        <v>999.0</v>
      </c>
      <c r="E807" s="19">
        <v>0.57</v>
      </c>
      <c r="F807" s="10">
        <v>4.0</v>
      </c>
      <c r="G807" s="11">
        <v>2581.0</v>
      </c>
      <c r="K807" s="17"/>
    </row>
    <row r="808">
      <c r="A808" s="7" t="s">
        <v>869</v>
      </c>
      <c r="B808" s="7" t="s">
        <v>804</v>
      </c>
      <c r="C808" s="8">
        <v>999.0</v>
      </c>
      <c r="D808" s="8">
        <v>2490.0</v>
      </c>
      <c r="E808" s="19">
        <v>0.6</v>
      </c>
      <c r="F808" s="10">
        <v>4.1</v>
      </c>
      <c r="G808" s="11">
        <v>18331.0</v>
      </c>
      <c r="K808" s="17"/>
    </row>
    <row r="809">
      <c r="A809" s="7" t="s">
        <v>870</v>
      </c>
      <c r="B809" s="7" t="s">
        <v>627</v>
      </c>
      <c r="C809" s="8">
        <v>378.0</v>
      </c>
      <c r="D809" s="8">
        <v>999.0</v>
      </c>
      <c r="E809" s="19">
        <v>0.62</v>
      </c>
      <c r="F809" s="10">
        <v>4.1</v>
      </c>
      <c r="G809" s="11">
        <v>1779.0</v>
      </c>
      <c r="K809" s="17"/>
    </row>
    <row r="810">
      <c r="A810" s="7" t="s">
        <v>871</v>
      </c>
      <c r="B810" s="7" t="s">
        <v>872</v>
      </c>
      <c r="C810" s="8">
        <v>99.0</v>
      </c>
      <c r="D810" s="8">
        <v>99.0</v>
      </c>
      <c r="E810" s="19">
        <v>0.0</v>
      </c>
      <c r="F810" s="10">
        <v>4.3</v>
      </c>
      <c r="G810" s="10">
        <v>388.0</v>
      </c>
      <c r="K810" s="17"/>
    </row>
    <row r="811">
      <c r="A811" s="7" t="s">
        <v>873</v>
      </c>
      <c r="B811" s="7" t="s">
        <v>709</v>
      </c>
      <c r="C811" s="8">
        <v>1499.0</v>
      </c>
      <c r="D811" s="8">
        <v>2999.0</v>
      </c>
      <c r="E811" s="19">
        <v>0.5</v>
      </c>
      <c r="F811" s="10">
        <v>4.5</v>
      </c>
      <c r="G811" s="11">
        <v>8656.0</v>
      </c>
      <c r="K811" s="17"/>
    </row>
    <row r="812">
      <c r="A812" s="7" t="s">
        <v>874</v>
      </c>
      <c r="B812" s="7" t="s">
        <v>875</v>
      </c>
      <c r="C812" s="8">
        <v>1815.0</v>
      </c>
      <c r="D812" s="8">
        <v>3100.0</v>
      </c>
      <c r="E812" s="19">
        <v>0.41</v>
      </c>
      <c r="F812" s="10">
        <v>4.5</v>
      </c>
      <c r="G812" s="11">
        <v>92925.0</v>
      </c>
      <c r="K812" s="17"/>
    </row>
    <row r="813">
      <c r="A813" s="7" t="s">
        <v>876</v>
      </c>
      <c r="B813" s="7" t="s">
        <v>817</v>
      </c>
      <c r="C813" s="8">
        <v>67.0</v>
      </c>
      <c r="D813" s="8">
        <v>75.0</v>
      </c>
      <c r="E813" s="19">
        <v>0.11</v>
      </c>
      <c r="F813" s="10">
        <v>4.1</v>
      </c>
      <c r="G813" s="11">
        <v>1269.0</v>
      </c>
      <c r="K813" s="17"/>
    </row>
    <row r="814">
      <c r="A814" s="7" t="s">
        <v>877</v>
      </c>
      <c r="B814" s="7" t="s">
        <v>631</v>
      </c>
      <c r="C814" s="8">
        <v>1889.0</v>
      </c>
      <c r="D814" s="8">
        <v>2699.0</v>
      </c>
      <c r="E814" s="19">
        <v>0.3</v>
      </c>
      <c r="F814" s="10">
        <v>4.3</v>
      </c>
      <c r="G814" s="11">
        <v>17394.0</v>
      </c>
      <c r="K814" s="17"/>
    </row>
    <row r="815">
      <c r="A815" s="7" t="s">
        <v>878</v>
      </c>
      <c r="B815" s="7" t="s">
        <v>393</v>
      </c>
      <c r="C815" s="8">
        <v>499.0</v>
      </c>
      <c r="D815" s="8">
        <v>1499.0</v>
      </c>
      <c r="E815" s="19">
        <v>0.67</v>
      </c>
      <c r="F815" s="10">
        <v>3.6</v>
      </c>
      <c r="G815" s="11">
        <v>9169.0</v>
      </c>
      <c r="K815" s="17"/>
    </row>
    <row r="816">
      <c r="A816" s="7" t="s">
        <v>879</v>
      </c>
      <c r="B816" s="7" t="s">
        <v>696</v>
      </c>
      <c r="C816" s="8">
        <v>499.0</v>
      </c>
      <c r="D816" s="8">
        <v>999.0</v>
      </c>
      <c r="E816" s="19">
        <v>0.5</v>
      </c>
      <c r="F816" s="10">
        <v>4.4</v>
      </c>
      <c r="G816" s="11">
        <v>1030.0</v>
      </c>
      <c r="K816" s="17"/>
    </row>
    <row r="817">
      <c r="A817" s="7" t="s">
        <v>880</v>
      </c>
      <c r="B817" s="7" t="s">
        <v>662</v>
      </c>
      <c r="C817" s="8">
        <v>5799.0</v>
      </c>
      <c r="D817" s="8">
        <v>7999.0</v>
      </c>
      <c r="E817" s="19">
        <v>0.28</v>
      </c>
      <c r="F817" s="10">
        <v>4.5</v>
      </c>
      <c r="G817" s="11">
        <v>50273.0</v>
      </c>
      <c r="K817" s="17"/>
    </row>
    <row r="818">
      <c r="A818" s="7" t="s">
        <v>881</v>
      </c>
      <c r="B818" s="7" t="s">
        <v>882</v>
      </c>
      <c r="C818" s="8">
        <v>499.0</v>
      </c>
      <c r="D818" s="8">
        <v>799.0</v>
      </c>
      <c r="E818" s="19">
        <v>0.38</v>
      </c>
      <c r="F818" s="10">
        <v>3.9</v>
      </c>
      <c r="G818" s="11">
        <v>6742.0</v>
      </c>
      <c r="K818" s="17"/>
    </row>
    <row r="819">
      <c r="A819" s="7" t="s">
        <v>883</v>
      </c>
      <c r="B819" s="7" t="s">
        <v>627</v>
      </c>
      <c r="C819" s="8">
        <v>249.0</v>
      </c>
      <c r="D819" s="8">
        <v>600.0</v>
      </c>
      <c r="E819" s="19">
        <v>0.59</v>
      </c>
      <c r="F819" s="10">
        <v>4.0</v>
      </c>
      <c r="G819" s="11">
        <v>1208.0</v>
      </c>
      <c r="K819" s="17"/>
    </row>
    <row r="820">
      <c r="A820" s="7" t="s">
        <v>52</v>
      </c>
      <c r="B820" s="7" t="s">
        <v>15</v>
      </c>
      <c r="C820" s="8">
        <v>179.0</v>
      </c>
      <c r="D820" s="8">
        <v>499.0</v>
      </c>
      <c r="E820" s="19">
        <v>0.64</v>
      </c>
      <c r="F820" s="10">
        <v>4.0</v>
      </c>
      <c r="G820" s="11">
        <v>1933.0</v>
      </c>
      <c r="K820" s="17"/>
    </row>
    <row r="821">
      <c r="A821" s="7" t="s">
        <v>884</v>
      </c>
      <c r="B821" s="7" t="s">
        <v>662</v>
      </c>
      <c r="C821" s="8">
        <v>4449.0</v>
      </c>
      <c r="D821" s="8">
        <v>5734.0</v>
      </c>
      <c r="E821" s="19">
        <v>0.22</v>
      </c>
      <c r="F821" s="10">
        <v>4.4</v>
      </c>
      <c r="G821" s="11">
        <v>25006.0</v>
      </c>
      <c r="K821" s="17"/>
    </row>
    <row r="822">
      <c r="A822" s="7" t="s">
        <v>885</v>
      </c>
      <c r="B822" s="7" t="s">
        <v>781</v>
      </c>
      <c r="C822" s="8">
        <v>299.0</v>
      </c>
      <c r="D822" s="8">
        <v>550.0</v>
      </c>
      <c r="E822" s="19">
        <v>0.46</v>
      </c>
      <c r="F822" s="10">
        <v>4.6</v>
      </c>
      <c r="G822" s="11">
        <v>33434.0</v>
      </c>
      <c r="K822" s="17"/>
    </row>
    <row r="823">
      <c r="A823" s="7" t="s">
        <v>886</v>
      </c>
      <c r="B823" s="7" t="s">
        <v>625</v>
      </c>
      <c r="C823" s="8">
        <v>629.0</v>
      </c>
      <c r="D823" s="8">
        <v>1390.0</v>
      </c>
      <c r="E823" s="19">
        <v>0.55</v>
      </c>
      <c r="F823" s="10">
        <v>4.4</v>
      </c>
      <c r="G823" s="11">
        <v>6301.0</v>
      </c>
      <c r="K823" s="17"/>
    </row>
    <row r="824">
      <c r="A824" s="7" t="s">
        <v>887</v>
      </c>
      <c r="B824" s="7" t="s">
        <v>647</v>
      </c>
      <c r="C824" s="8">
        <v>2595.0</v>
      </c>
      <c r="D824" s="8">
        <v>3295.0</v>
      </c>
      <c r="E824" s="19">
        <v>0.21</v>
      </c>
      <c r="F824" s="10">
        <v>4.4</v>
      </c>
      <c r="G824" s="11">
        <v>22618.0</v>
      </c>
      <c r="K824" s="17"/>
    </row>
    <row r="825">
      <c r="A825" s="7" t="s">
        <v>53</v>
      </c>
      <c r="B825" s="7" t="s">
        <v>15</v>
      </c>
      <c r="C825" s="8">
        <v>389.0</v>
      </c>
      <c r="D825" s="8">
        <v>1099.0</v>
      </c>
      <c r="E825" s="19">
        <v>0.65</v>
      </c>
      <c r="F825" s="10">
        <v>4.3</v>
      </c>
      <c r="G825" s="10">
        <v>974.0</v>
      </c>
      <c r="K825" s="17"/>
    </row>
    <row r="826">
      <c r="A826" s="7" t="s">
        <v>888</v>
      </c>
      <c r="B826" s="7" t="s">
        <v>709</v>
      </c>
      <c r="C826" s="8">
        <v>1799.0</v>
      </c>
      <c r="D826" s="8">
        <v>2911.0</v>
      </c>
      <c r="E826" s="19">
        <v>0.38</v>
      </c>
      <c r="F826" s="10">
        <v>4.3</v>
      </c>
      <c r="G826" s="11">
        <v>20342.0</v>
      </c>
      <c r="K826" s="17"/>
    </row>
    <row r="827">
      <c r="A827" s="7" t="s">
        <v>889</v>
      </c>
      <c r="B827" s="7" t="s">
        <v>749</v>
      </c>
      <c r="C827" s="8">
        <v>90.0</v>
      </c>
      <c r="D827" s="8">
        <v>175.0</v>
      </c>
      <c r="E827" s="19">
        <v>0.49</v>
      </c>
      <c r="F827" s="10">
        <v>4.4</v>
      </c>
      <c r="G827" s="11">
        <v>7429.0</v>
      </c>
      <c r="K827" s="17"/>
    </row>
    <row r="828">
      <c r="A828" s="7" t="s">
        <v>890</v>
      </c>
      <c r="B828" s="7" t="s">
        <v>631</v>
      </c>
      <c r="C828" s="8">
        <v>599.0</v>
      </c>
      <c r="D828" s="8">
        <v>599.0</v>
      </c>
      <c r="E828" s="19">
        <v>0.0</v>
      </c>
      <c r="F828" s="10">
        <v>4.0</v>
      </c>
      <c r="G828" s="11">
        <v>26423.0</v>
      </c>
      <c r="K828" s="17"/>
    </row>
    <row r="829">
      <c r="A829" s="7" t="s">
        <v>891</v>
      </c>
      <c r="B829" s="7" t="s">
        <v>373</v>
      </c>
      <c r="C829" s="8">
        <v>1999.0</v>
      </c>
      <c r="D829" s="8">
        <v>7999.0</v>
      </c>
      <c r="E829" s="19">
        <v>0.75</v>
      </c>
      <c r="F829" s="10">
        <v>4.2</v>
      </c>
      <c r="G829" s="11">
        <v>31305.0</v>
      </c>
      <c r="K829" s="17"/>
    </row>
    <row r="830">
      <c r="A830" s="7" t="s">
        <v>892</v>
      </c>
      <c r="B830" s="7" t="s">
        <v>893</v>
      </c>
      <c r="C830" s="8">
        <v>2099.0</v>
      </c>
      <c r="D830" s="8">
        <v>3250.0</v>
      </c>
      <c r="E830" s="19">
        <v>0.35</v>
      </c>
      <c r="F830" s="10">
        <v>3.8</v>
      </c>
      <c r="G830" s="11">
        <v>11213.0</v>
      </c>
      <c r="K830" s="17"/>
    </row>
    <row r="831">
      <c r="A831" s="7" t="s">
        <v>894</v>
      </c>
      <c r="B831" s="7" t="s">
        <v>895</v>
      </c>
      <c r="C831" s="8">
        <v>179.0</v>
      </c>
      <c r="D831" s="8">
        <v>499.0</v>
      </c>
      <c r="E831" s="19">
        <v>0.64</v>
      </c>
      <c r="F831" s="10">
        <v>4.1</v>
      </c>
      <c r="G831" s="11">
        <v>10174.0</v>
      </c>
      <c r="K831" s="17"/>
    </row>
    <row r="832">
      <c r="A832" s="7" t="s">
        <v>896</v>
      </c>
      <c r="B832" s="7" t="s">
        <v>660</v>
      </c>
      <c r="C832" s="8">
        <v>1345.0</v>
      </c>
      <c r="D832" s="8">
        <v>2295.0</v>
      </c>
      <c r="E832" s="19">
        <v>0.41</v>
      </c>
      <c r="F832" s="10">
        <v>4.2</v>
      </c>
      <c r="G832" s="11">
        <v>17413.0</v>
      </c>
      <c r="K832" s="17"/>
    </row>
    <row r="833">
      <c r="A833" s="7" t="s">
        <v>897</v>
      </c>
      <c r="B833" s="7" t="s">
        <v>680</v>
      </c>
      <c r="C833" s="8">
        <v>349.0</v>
      </c>
      <c r="D833" s="8">
        <v>995.0</v>
      </c>
      <c r="E833" s="19">
        <v>0.65</v>
      </c>
      <c r="F833" s="10">
        <v>4.2</v>
      </c>
      <c r="G833" s="11">
        <v>6676.0</v>
      </c>
      <c r="K833" s="17"/>
    </row>
    <row r="834">
      <c r="A834" s="7" t="s">
        <v>898</v>
      </c>
      <c r="B834" s="7" t="s">
        <v>825</v>
      </c>
      <c r="C834" s="8">
        <v>287.0</v>
      </c>
      <c r="D834" s="8">
        <v>499.0</v>
      </c>
      <c r="E834" s="19">
        <v>0.42</v>
      </c>
      <c r="F834" s="10">
        <v>4.4</v>
      </c>
      <c r="G834" s="11">
        <v>8076.0</v>
      </c>
      <c r="K834" s="17"/>
    </row>
    <row r="835">
      <c r="A835" s="7" t="s">
        <v>54</v>
      </c>
      <c r="B835" s="7" t="s">
        <v>15</v>
      </c>
      <c r="C835" s="8">
        <v>599.0</v>
      </c>
      <c r="D835" s="8">
        <v>599.0</v>
      </c>
      <c r="E835" s="19">
        <v>0.0</v>
      </c>
      <c r="F835" s="10">
        <v>4.3</v>
      </c>
      <c r="G835" s="10">
        <v>355.0</v>
      </c>
      <c r="K835" s="17"/>
    </row>
    <row r="836">
      <c r="A836" s="7" t="s">
        <v>899</v>
      </c>
      <c r="B836" s="7" t="s">
        <v>622</v>
      </c>
      <c r="C836" s="8">
        <v>349.0</v>
      </c>
      <c r="D836" s="8">
        <v>450.0</v>
      </c>
      <c r="E836" s="19">
        <v>0.22</v>
      </c>
      <c r="F836" s="10">
        <v>4.1</v>
      </c>
      <c r="G836" s="11">
        <v>18656.0</v>
      </c>
      <c r="K836" s="17"/>
    </row>
    <row r="837">
      <c r="A837" s="7" t="s">
        <v>900</v>
      </c>
      <c r="B837" s="7" t="s">
        <v>652</v>
      </c>
      <c r="C837" s="8">
        <v>879.0</v>
      </c>
      <c r="D837" s="8">
        <v>1109.0</v>
      </c>
      <c r="E837" s="19">
        <v>0.21</v>
      </c>
      <c r="F837" s="10">
        <v>4.4</v>
      </c>
      <c r="G837" s="11">
        <v>31599.0</v>
      </c>
      <c r="K837" s="17"/>
    </row>
    <row r="838">
      <c r="A838" s="7" t="s">
        <v>55</v>
      </c>
      <c r="B838" s="7" t="s">
        <v>15</v>
      </c>
      <c r="C838" s="8">
        <v>199.0</v>
      </c>
      <c r="D838" s="8">
        <v>999.0</v>
      </c>
      <c r="E838" s="19">
        <v>0.8</v>
      </c>
      <c r="F838" s="10">
        <v>3.9</v>
      </c>
      <c r="G838" s="11">
        <v>1075.0</v>
      </c>
      <c r="K838" s="17"/>
    </row>
    <row r="839">
      <c r="A839" s="7" t="s">
        <v>901</v>
      </c>
      <c r="B839" s="7" t="s">
        <v>735</v>
      </c>
      <c r="C839" s="8">
        <v>250.0</v>
      </c>
      <c r="D839" s="8">
        <v>250.0</v>
      </c>
      <c r="E839" s="19">
        <v>0.0</v>
      </c>
      <c r="F839" s="10">
        <v>3.9</v>
      </c>
      <c r="G839" s="11">
        <v>13971.0</v>
      </c>
      <c r="K839" s="17"/>
    </row>
    <row r="840">
      <c r="A840" s="7" t="s">
        <v>902</v>
      </c>
      <c r="B840" s="7" t="s">
        <v>393</v>
      </c>
      <c r="C840" s="8">
        <v>199.0</v>
      </c>
      <c r="D840" s="8">
        <v>499.0</v>
      </c>
      <c r="E840" s="19">
        <v>0.6</v>
      </c>
      <c r="F840" s="10">
        <v>3.6</v>
      </c>
      <c r="G840" s="11">
        <v>2492.0</v>
      </c>
      <c r="K840" s="17"/>
    </row>
    <row r="841">
      <c r="A841" s="7" t="s">
        <v>57</v>
      </c>
      <c r="B841" s="7" t="s">
        <v>15</v>
      </c>
      <c r="C841" s="8">
        <v>899.0</v>
      </c>
      <c r="D841" s="8">
        <v>1900.0</v>
      </c>
      <c r="E841" s="19">
        <v>0.53</v>
      </c>
      <c r="F841" s="10">
        <v>4.4</v>
      </c>
      <c r="G841" s="11">
        <v>13552.0</v>
      </c>
      <c r="K841" s="17"/>
    </row>
    <row r="842">
      <c r="A842" s="7" t="s">
        <v>58</v>
      </c>
      <c r="B842" s="7" t="s">
        <v>15</v>
      </c>
      <c r="C842" s="8">
        <v>199.0</v>
      </c>
      <c r="D842" s="8">
        <v>999.0</v>
      </c>
      <c r="E842" s="19">
        <v>0.8</v>
      </c>
      <c r="F842" s="10">
        <v>4.0</v>
      </c>
      <c r="G842" s="10">
        <v>575.0</v>
      </c>
      <c r="K842" s="17"/>
    </row>
    <row r="843">
      <c r="A843" s="7" t="s">
        <v>903</v>
      </c>
      <c r="B843" s="7" t="s">
        <v>895</v>
      </c>
      <c r="C843" s="8">
        <v>149.0</v>
      </c>
      <c r="D843" s="8">
        <v>999.0</v>
      </c>
      <c r="E843" s="19">
        <v>0.85</v>
      </c>
      <c r="F843" s="10">
        <v>3.5</v>
      </c>
      <c r="G843" s="11">
        <v>2523.0</v>
      </c>
      <c r="K843" s="17"/>
    </row>
    <row r="844">
      <c r="A844" s="7" t="s">
        <v>904</v>
      </c>
      <c r="B844" s="7" t="s">
        <v>627</v>
      </c>
      <c r="C844" s="8">
        <v>469.0</v>
      </c>
      <c r="D844" s="8">
        <v>1499.0</v>
      </c>
      <c r="E844" s="19">
        <v>0.69</v>
      </c>
      <c r="F844" s="10">
        <v>4.1</v>
      </c>
      <c r="G844" s="10">
        <v>352.0</v>
      </c>
      <c r="K844" s="17"/>
    </row>
    <row r="845">
      <c r="A845" s="7" t="s">
        <v>905</v>
      </c>
      <c r="B845" s="7" t="s">
        <v>793</v>
      </c>
      <c r="C845" s="8">
        <v>1187.0</v>
      </c>
      <c r="D845" s="8">
        <v>1929.0</v>
      </c>
      <c r="E845" s="19">
        <v>0.38</v>
      </c>
      <c r="F845" s="10">
        <v>4.1</v>
      </c>
      <c r="G845" s="11">
        <v>1662.0</v>
      </c>
      <c r="K845" s="17"/>
    </row>
    <row r="846">
      <c r="A846" s="7" t="s">
        <v>906</v>
      </c>
      <c r="B846" s="7" t="s">
        <v>907</v>
      </c>
      <c r="C846" s="8">
        <v>849.0</v>
      </c>
      <c r="D846" s="8">
        <v>1499.0</v>
      </c>
      <c r="E846" s="19">
        <v>0.43</v>
      </c>
      <c r="F846" s="10">
        <v>4.0</v>
      </c>
      <c r="G846" s="11">
        <v>7352.0</v>
      </c>
      <c r="K846" s="17"/>
    </row>
    <row r="847">
      <c r="A847" s="7" t="s">
        <v>908</v>
      </c>
      <c r="B847" s="7" t="s">
        <v>625</v>
      </c>
      <c r="C847" s="8">
        <v>328.0</v>
      </c>
      <c r="D847" s="8">
        <v>399.0</v>
      </c>
      <c r="E847" s="19">
        <v>0.18</v>
      </c>
      <c r="F847" s="10">
        <v>4.1</v>
      </c>
      <c r="G847" s="11">
        <v>3441.0</v>
      </c>
      <c r="K847" s="17"/>
    </row>
    <row r="848">
      <c r="A848" s="7" t="s">
        <v>909</v>
      </c>
      <c r="B848" s="7" t="s">
        <v>631</v>
      </c>
      <c r="C848" s="8">
        <v>269.0</v>
      </c>
      <c r="D848" s="8">
        <v>699.0</v>
      </c>
      <c r="E848" s="19">
        <v>0.62</v>
      </c>
      <c r="F848" s="10">
        <v>4.0</v>
      </c>
      <c r="G848" s="10">
        <v>93.0</v>
      </c>
      <c r="K848" s="17"/>
    </row>
    <row r="849">
      <c r="A849" s="7" t="s">
        <v>910</v>
      </c>
      <c r="B849" s="7" t="s">
        <v>911</v>
      </c>
      <c r="C849" s="8">
        <v>299.0</v>
      </c>
      <c r="D849" s="8">
        <v>400.0</v>
      </c>
      <c r="E849" s="19">
        <v>0.25</v>
      </c>
      <c r="F849" s="10">
        <v>3.8</v>
      </c>
      <c r="G849" s="11">
        <v>40895.0</v>
      </c>
      <c r="K849" s="17"/>
    </row>
    <row r="850">
      <c r="A850" s="7" t="s">
        <v>912</v>
      </c>
      <c r="B850" s="7" t="s">
        <v>913</v>
      </c>
      <c r="C850" s="8">
        <v>549.0</v>
      </c>
      <c r="D850" s="8">
        <v>1499.0</v>
      </c>
      <c r="E850" s="19">
        <v>0.63</v>
      </c>
      <c r="F850" s="10">
        <v>4.3</v>
      </c>
      <c r="G850" s="11">
        <v>11006.0</v>
      </c>
      <c r="K850" s="17"/>
    </row>
    <row r="851">
      <c r="A851" s="7" t="s">
        <v>914</v>
      </c>
      <c r="B851" s="7" t="s">
        <v>732</v>
      </c>
      <c r="C851" s="8">
        <v>114.0</v>
      </c>
      <c r="D851" s="8">
        <v>120.0</v>
      </c>
      <c r="E851" s="19">
        <v>0.05</v>
      </c>
      <c r="F851" s="10">
        <v>4.2</v>
      </c>
      <c r="G851" s="11">
        <v>8938.0</v>
      </c>
      <c r="K851" s="17"/>
    </row>
    <row r="852">
      <c r="A852" s="7" t="s">
        <v>915</v>
      </c>
      <c r="B852" s="7" t="s">
        <v>916</v>
      </c>
      <c r="C852" s="8">
        <v>120.0</v>
      </c>
      <c r="D852" s="8">
        <v>120.0</v>
      </c>
      <c r="E852" s="19">
        <v>0.0</v>
      </c>
      <c r="F852" s="10">
        <v>4.1</v>
      </c>
      <c r="G852" s="11">
        <v>4308.0</v>
      </c>
      <c r="K852" s="17"/>
    </row>
    <row r="853">
      <c r="A853" s="7" t="s">
        <v>60</v>
      </c>
      <c r="B853" s="7" t="s">
        <v>15</v>
      </c>
      <c r="C853" s="8">
        <v>970.0</v>
      </c>
      <c r="D853" s="8">
        <v>1999.0</v>
      </c>
      <c r="E853" s="19">
        <v>0.51</v>
      </c>
      <c r="F853" s="10">
        <v>4.2</v>
      </c>
      <c r="G853" s="10">
        <v>462.0</v>
      </c>
      <c r="K853" s="17"/>
    </row>
    <row r="854">
      <c r="A854" s="7" t="s">
        <v>61</v>
      </c>
      <c r="B854" s="7" t="s">
        <v>15</v>
      </c>
      <c r="C854" s="8">
        <v>209.0</v>
      </c>
      <c r="D854" s="8">
        <v>695.0</v>
      </c>
      <c r="E854" s="19">
        <v>0.7</v>
      </c>
      <c r="F854" s="10">
        <v>4.5</v>
      </c>
      <c r="G854" s="7" t="s">
        <v>917</v>
      </c>
      <c r="K854" s="17"/>
    </row>
    <row r="855">
      <c r="A855" s="7" t="s">
        <v>918</v>
      </c>
      <c r="B855" s="7" t="s">
        <v>625</v>
      </c>
      <c r="C855" s="8">
        <v>1490.0</v>
      </c>
      <c r="D855" s="8">
        <v>2295.0</v>
      </c>
      <c r="E855" s="19">
        <v>0.35</v>
      </c>
      <c r="F855" s="10">
        <v>4.6</v>
      </c>
      <c r="G855" s="11">
        <v>10652.0</v>
      </c>
      <c r="K855" s="17"/>
    </row>
    <row r="856">
      <c r="A856" s="7" t="s">
        <v>919</v>
      </c>
      <c r="B856" s="7" t="s">
        <v>920</v>
      </c>
      <c r="C856" s="8">
        <v>99.0</v>
      </c>
      <c r="D856" s="8">
        <v>99.0</v>
      </c>
      <c r="E856" s="19">
        <v>0.0</v>
      </c>
      <c r="F856" s="10">
        <v>4.3</v>
      </c>
      <c r="G856" s="11">
        <v>5036.0</v>
      </c>
      <c r="K856" s="17"/>
    </row>
    <row r="857">
      <c r="A857" s="7" t="s">
        <v>921</v>
      </c>
      <c r="B857" s="7" t="s">
        <v>625</v>
      </c>
      <c r="C857" s="8">
        <v>149.0</v>
      </c>
      <c r="D857" s="8">
        <v>249.0</v>
      </c>
      <c r="E857" s="19">
        <v>0.4</v>
      </c>
      <c r="F857" s="10">
        <v>4.0</v>
      </c>
      <c r="G857" s="11">
        <v>5057.0</v>
      </c>
      <c r="K857" s="17"/>
    </row>
    <row r="858">
      <c r="A858" s="7" t="s">
        <v>922</v>
      </c>
      <c r="B858" s="7" t="s">
        <v>692</v>
      </c>
      <c r="C858" s="8">
        <v>575.0</v>
      </c>
      <c r="D858" s="8">
        <v>2799.0</v>
      </c>
      <c r="E858" s="19">
        <v>0.79</v>
      </c>
      <c r="F858" s="10">
        <v>4.2</v>
      </c>
      <c r="G858" s="11">
        <v>8537.0</v>
      </c>
      <c r="K858" s="17"/>
    </row>
    <row r="859">
      <c r="A859" s="7" t="s">
        <v>67</v>
      </c>
      <c r="B859" s="7" t="s">
        <v>15</v>
      </c>
      <c r="C859" s="8">
        <v>333.0</v>
      </c>
      <c r="D859" s="8">
        <v>999.0</v>
      </c>
      <c r="E859" s="19">
        <v>0.67</v>
      </c>
      <c r="F859" s="10">
        <v>3.3</v>
      </c>
      <c r="G859" s="11">
        <v>9792.0</v>
      </c>
      <c r="K859" s="17"/>
    </row>
    <row r="860">
      <c r="A860" s="7" t="s">
        <v>923</v>
      </c>
      <c r="B860" s="7" t="s">
        <v>822</v>
      </c>
      <c r="C860" s="8">
        <v>178.0</v>
      </c>
      <c r="D860" s="8">
        <v>210.0</v>
      </c>
      <c r="E860" s="19">
        <v>0.15</v>
      </c>
      <c r="F860" s="10">
        <v>4.3</v>
      </c>
      <c r="G860" s="11">
        <v>2450.0</v>
      </c>
      <c r="K860" s="17"/>
    </row>
    <row r="861">
      <c r="A861" s="7" t="s">
        <v>924</v>
      </c>
      <c r="B861" s="7" t="s">
        <v>393</v>
      </c>
      <c r="C861" s="8">
        <v>1599.0</v>
      </c>
      <c r="D861" s="8">
        <v>3490.0</v>
      </c>
      <c r="E861" s="19">
        <v>0.54</v>
      </c>
      <c r="F861" s="10">
        <v>3.7</v>
      </c>
      <c r="G861" s="10">
        <v>676.0</v>
      </c>
      <c r="K861" s="17"/>
    </row>
    <row r="862">
      <c r="A862" s="7" t="s">
        <v>925</v>
      </c>
      <c r="B862" s="7" t="s">
        <v>393</v>
      </c>
      <c r="C862" s="8">
        <v>499.0</v>
      </c>
      <c r="D862" s="8">
        <v>1299.0</v>
      </c>
      <c r="E862" s="19">
        <v>0.62</v>
      </c>
      <c r="F862" s="10">
        <v>3.9</v>
      </c>
      <c r="G862" s="11">
        <v>1173.0</v>
      </c>
      <c r="K862" s="17"/>
    </row>
    <row r="863">
      <c r="A863" s="7" t="s">
        <v>926</v>
      </c>
      <c r="B863" s="7" t="s">
        <v>696</v>
      </c>
      <c r="C863" s="8">
        <v>199.0</v>
      </c>
      <c r="D863" s="8">
        <v>499.0</v>
      </c>
      <c r="E863" s="19">
        <v>0.6</v>
      </c>
      <c r="F863" s="10">
        <v>4.3</v>
      </c>
      <c r="G863" s="11">
        <v>9998.0</v>
      </c>
      <c r="K863" s="17"/>
    </row>
    <row r="864">
      <c r="A864" s="7" t="s">
        <v>927</v>
      </c>
      <c r="B864" s="7" t="s">
        <v>373</v>
      </c>
      <c r="C864" s="8">
        <v>2499.0</v>
      </c>
      <c r="D864" s="8">
        <v>5999.0</v>
      </c>
      <c r="E864" s="19">
        <v>0.58</v>
      </c>
      <c r="F864" s="10">
        <v>4.1</v>
      </c>
      <c r="G864" s="11">
        <v>5852.0</v>
      </c>
      <c r="K864" s="17"/>
    </row>
    <row r="865">
      <c r="A865" s="7" t="s">
        <v>928</v>
      </c>
      <c r="B865" s="7" t="s">
        <v>929</v>
      </c>
      <c r="C865" s="8">
        <v>199.0</v>
      </c>
      <c r="D865" s="8">
        <v>999.0</v>
      </c>
      <c r="E865" s="19">
        <v>0.8</v>
      </c>
      <c r="F865" s="10">
        <v>4.2</v>
      </c>
      <c r="G865" s="10">
        <v>362.0</v>
      </c>
      <c r="K865" s="17"/>
    </row>
    <row r="866">
      <c r="A866" s="7" t="s">
        <v>930</v>
      </c>
      <c r="B866" s="7" t="s">
        <v>386</v>
      </c>
      <c r="C866" s="8">
        <v>939.0</v>
      </c>
      <c r="D866" s="8">
        <v>1800.0</v>
      </c>
      <c r="E866" s="19">
        <v>0.48</v>
      </c>
      <c r="F866" s="10">
        <v>4.5</v>
      </c>
      <c r="G866" s="7" t="s">
        <v>931</v>
      </c>
      <c r="K866" s="17"/>
    </row>
    <row r="867">
      <c r="A867" s="7" t="s">
        <v>932</v>
      </c>
      <c r="B867" s="7" t="s">
        <v>373</v>
      </c>
      <c r="C867" s="8">
        <v>2499.0</v>
      </c>
      <c r="D867" s="8">
        <v>9999.0</v>
      </c>
      <c r="E867" s="19">
        <v>0.75</v>
      </c>
      <c r="F867" s="10">
        <v>4.0</v>
      </c>
      <c r="G867" s="11">
        <v>9090.0</v>
      </c>
      <c r="K867" s="17"/>
    </row>
    <row r="868">
      <c r="A868" s="7" t="s">
        <v>933</v>
      </c>
      <c r="B868" s="7" t="s">
        <v>625</v>
      </c>
      <c r="C868" s="8">
        <v>1439.0</v>
      </c>
      <c r="D868" s="8">
        <v>2890.0</v>
      </c>
      <c r="E868" s="19">
        <v>0.5</v>
      </c>
      <c r="F868" s="10">
        <v>4.5</v>
      </c>
      <c r="G868" s="11">
        <v>4099.0</v>
      </c>
      <c r="K868" s="17"/>
    </row>
    <row r="869">
      <c r="A869" s="7" t="s">
        <v>934</v>
      </c>
      <c r="B869" s="7" t="s">
        <v>393</v>
      </c>
      <c r="C869" s="8">
        <v>1099.0</v>
      </c>
      <c r="D869" s="8">
        <v>5999.0</v>
      </c>
      <c r="E869" s="19">
        <v>0.82</v>
      </c>
      <c r="F869" s="10">
        <v>3.5</v>
      </c>
      <c r="G869" s="11">
        <v>12966.0</v>
      </c>
      <c r="K869" s="17"/>
    </row>
    <row r="870">
      <c r="A870" s="7" t="s">
        <v>935</v>
      </c>
      <c r="B870" s="7" t="s">
        <v>732</v>
      </c>
      <c r="C870" s="8">
        <v>157.0</v>
      </c>
      <c r="D870" s="8">
        <v>160.0</v>
      </c>
      <c r="E870" s="19">
        <v>0.02</v>
      </c>
      <c r="F870" s="10">
        <v>4.5</v>
      </c>
      <c r="G870" s="11">
        <v>4428.0</v>
      </c>
      <c r="K870" s="17"/>
    </row>
    <row r="871">
      <c r="A871" s="7" t="s">
        <v>65</v>
      </c>
      <c r="B871" s="7" t="s">
        <v>25</v>
      </c>
      <c r="C871" s="8">
        <v>999.0</v>
      </c>
      <c r="D871" s="8">
        <v>1599.0</v>
      </c>
      <c r="E871" s="19">
        <v>0.38</v>
      </c>
      <c r="F871" s="10">
        <v>4.3</v>
      </c>
      <c r="G871" s="11">
        <v>12093.0</v>
      </c>
      <c r="K871" s="17"/>
    </row>
    <row r="872">
      <c r="A872" s="7" t="s">
        <v>936</v>
      </c>
      <c r="B872" s="7" t="s">
        <v>685</v>
      </c>
      <c r="C872" s="8">
        <v>115.0</v>
      </c>
      <c r="D872" s="8">
        <v>999.0</v>
      </c>
      <c r="E872" s="19">
        <v>0.88</v>
      </c>
      <c r="F872" s="10">
        <v>3.3</v>
      </c>
      <c r="G872" s="11">
        <v>5692.0</v>
      </c>
      <c r="K872" s="17"/>
    </row>
    <row r="873">
      <c r="A873" s="7" t="s">
        <v>937</v>
      </c>
      <c r="B873" s="7" t="s">
        <v>627</v>
      </c>
      <c r="C873" s="8">
        <v>175.0</v>
      </c>
      <c r="D873" s="8">
        <v>499.0</v>
      </c>
      <c r="E873" s="19">
        <v>0.65</v>
      </c>
      <c r="F873" s="10">
        <v>4.1</v>
      </c>
      <c r="G873" s="10">
        <v>21.0</v>
      </c>
      <c r="K873" s="17"/>
    </row>
    <row r="874">
      <c r="A874" s="7" t="s">
        <v>938</v>
      </c>
      <c r="B874" s="7" t="s">
        <v>769</v>
      </c>
      <c r="C874" s="8">
        <v>1999.0</v>
      </c>
      <c r="D874" s="8">
        <v>4700.0</v>
      </c>
      <c r="E874" s="19">
        <v>0.57</v>
      </c>
      <c r="F874" s="10">
        <v>3.8</v>
      </c>
      <c r="G874" s="11">
        <v>1880.0</v>
      </c>
      <c r="K874" s="17"/>
    </row>
    <row r="875">
      <c r="A875" s="7" t="s">
        <v>939</v>
      </c>
      <c r="B875" s="7" t="s">
        <v>940</v>
      </c>
      <c r="C875" s="8">
        <v>3999.0</v>
      </c>
      <c r="D875" s="8">
        <v>4332.96</v>
      </c>
      <c r="E875" s="19">
        <v>0.08</v>
      </c>
      <c r="F875" s="10">
        <v>3.5</v>
      </c>
      <c r="G875" s="11">
        <v>21762.0</v>
      </c>
      <c r="K875" s="17"/>
    </row>
    <row r="876">
      <c r="A876" s="7" t="s">
        <v>941</v>
      </c>
      <c r="B876" s="7" t="s">
        <v>709</v>
      </c>
      <c r="C876" s="8">
        <v>899.0</v>
      </c>
      <c r="D876" s="8">
        <v>1800.0</v>
      </c>
      <c r="E876" s="19">
        <v>0.5</v>
      </c>
      <c r="F876" s="10">
        <v>4.1</v>
      </c>
      <c r="G876" s="11">
        <v>22375.0</v>
      </c>
      <c r="K876" s="17"/>
    </row>
    <row r="877">
      <c r="A877" s="7" t="s">
        <v>942</v>
      </c>
      <c r="B877" s="7" t="s">
        <v>696</v>
      </c>
      <c r="C877" s="8">
        <v>299.0</v>
      </c>
      <c r="D877" s="8">
        <v>990.0</v>
      </c>
      <c r="E877" s="19">
        <v>0.7</v>
      </c>
      <c r="F877" s="10">
        <v>4.5</v>
      </c>
      <c r="G877" s="11">
        <v>2453.0</v>
      </c>
      <c r="K877" s="17"/>
    </row>
    <row r="878">
      <c r="A878" s="7" t="s">
        <v>943</v>
      </c>
      <c r="B878" s="7" t="s">
        <v>627</v>
      </c>
      <c r="C878" s="8">
        <v>3303.0</v>
      </c>
      <c r="D878" s="8">
        <v>4699.0</v>
      </c>
      <c r="E878" s="19">
        <v>0.3</v>
      </c>
      <c r="F878" s="10">
        <v>4.4</v>
      </c>
      <c r="G878" s="11">
        <v>13544.0</v>
      </c>
      <c r="K878" s="17"/>
    </row>
    <row r="879">
      <c r="A879" s="7" t="s">
        <v>944</v>
      </c>
      <c r="B879" s="7" t="s">
        <v>854</v>
      </c>
      <c r="C879" s="8">
        <v>1890.0</v>
      </c>
      <c r="D879" s="8">
        <v>5490.0</v>
      </c>
      <c r="E879" s="19">
        <v>0.66</v>
      </c>
      <c r="F879" s="10">
        <v>4.1</v>
      </c>
      <c r="G879" s="11">
        <v>10976.0</v>
      </c>
      <c r="K879" s="17"/>
    </row>
    <row r="880">
      <c r="A880" s="7" t="s">
        <v>945</v>
      </c>
      <c r="B880" s="7" t="s">
        <v>811</v>
      </c>
      <c r="C880" s="8">
        <v>90.0</v>
      </c>
      <c r="D880" s="8">
        <v>100.0</v>
      </c>
      <c r="E880" s="19">
        <v>0.1</v>
      </c>
      <c r="F880" s="10">
        <v>4.3</v>
      </c>
      <c r="G880" s="11">
        <v>3061.0</v>
      </c>
      <c r="K880" s="17"/>
    </row>
    <row r="881">
      <c r="A881" s="7" t="s">
        <v>946</v>
      </c>
      <c r="B881" s="7" t="s">
        <v>393</v>
      </c>
      <c r="C881" s="8">
        <v>1599.0</v>
      </c>
      <c r="D881" s="8">
        <v>2790.0</v>
      </c>
      <c r="E881" s="19">
        <v>0.43</v>
      </c>
      <c r="F881" s="10">
        <v>3.6</v>
      </c>
      <c r="G881" s="11">
        <v>2272.0</v>
      </c>
      <c r="K881" s="17"/>
    </row>
    <row r="882">
      <c r="A882" s="7" t="s">
        <v>947</v>
      </c>
      <c r="B882" s="7" t="s">
        <v>858</v>
      </c>
      <c r="C882" s="8">
        <v>599.0</v>
      </c>
      <c r="D882" s="8">
        <v>999.0</v>
      </c>
      <c r="E882" s="19">
        <v>0.4</v>
      </c>
      <c r="F882" s="10">
        <v>4.0</v>
      </c>
      <c r="G882" s="11">
        <v>7601.0</v>
      </c>
      <c r="K882" s="17"/>
    </row>
    <row r="883">
      <c r="A883" s="7" t="s">
        <v>68</v>
      </c>
      <c r="B883" s="7" t="s">
        <v>25</v>
      </c>
      <c r="C883" s="8">
        <v>507.0</v>
      </c>
      <c r="D883" s="8">
        <v>1208.0</v>
      </c>
      <c r="E883" s="19">
        <v>0.58</v>
      </c>
      <c r="F883" s="10">
        <v>4.1</v>
      </c>
      <c r="G883" s="11">
        <v>8131.0</v>
      </c>
      <c r="K883" s="17"/>
    </row>
    <row r="884">
      <c r="A884" s="7" t="s">
        <v>948</v>
      </c>
      <c r="B884" s="7" t="s">
        <v>696</v>
      </c>
      <c r="C884" s="8">
        <v>425.0</v>
      </c>
      <c r="D884" s="8">
        <v>899.0</v>
      </c>
      <c r="E884" s="19">
        <v>0.53</v>
      </c>
      <c r="F884" s="10">
        <v>4.5</v>
      </c>
      <c r="G884" s="11">
        <v>4219.0</v>
      </c>
      <c r="K884" s="17"/>
    </row>
    <row r="885">
      <c r="A885" s="7" t="s">
        <v>949</v>
      </c>
      <c r="B885" s="7" t="s">
        <v>572</v>
      </c>
      <c r="C885" s="8">
        <v>1499.0</v>
      </c>
      <c r="D885" s="8">
        <v>3999.0</v>
      </c>
      <c r="E885" s="19">
        <v>0.63</v>
      </c>
      <c r="F885" s="10">
        <v>4.2</v>
      </c>
      <c r="G885" s="11">
        <v>42775.0</v>
      </c>
      <c r="K885" s="17"/>
    </row>
    <row r="886">
      <c r="A886" s="7" t="s">
        <v>950</v>
      </c>
      <c r="B886" s="7" t="s">
        <v>913</v>
      </c>
      <c r="C886" s="8">
        <v>549.0</v>
      </c>
      <c r="D886" s="8">
        <v>2499.0</v>
      </c>
      <c r="E886" s="19">
        <v>0.78</v>
      </c>
      <c r="F886" s="10">
        <v>4.3</v>
      </c>
      <c r="G886" s="11">
        <v>5556.0</v>
      </c>
      <c r="K886" s="17"/>
    </row>
    <row r="887">
      <c r="A887" s="7" t="s">
        <v>72</v>
      </c>
      <c r="B887" s="7" t="s">
        <v>15</v>
      </c>
      <c r="C887" s="8">
        <v>199.0</v>
      </c>
      <c r="D887" s="8">
        <v>395.0</v>
      </c>
      <c r="E887" s="19">
        <v>0.5</v>
      </c>
      <c r="F887" s="10">
        <v>4.2</v>
      </c>
      <c r="G887" s="11">
        <v>92595.0</v>
      </c>
      <c r="K887" s="17"/>
    </row>
    <row r="888">
      <c r="A888" s="7" t="s">
        <v>951</v>
      </c>
      <c r="B888" s="7" t="s">
        <v>625</v>
      </c>
      <c r="C888" s="8">
        <v>1295.0</v>
      </c>
      <c r="D888" s="8">
        <v>1645.0</v>
      </c>
      <c r="E888" s="19">
        <v>0.21</v>
      </c>
      <c r="F888" s="10">
        <v>4.6</v>
      </c>
      <c r="G888" s="11">
        <v>12375.0</v>
      </c>
      <c r="K888" s="17"/>
    </row>
    <row r="889">
      <c r="A889" s="7" t="s">
        <v>952</v>
      </c>
      <c r="B889" s="7" t="s">
        <v>694</v>
      </c>
      <c r="C889" s="8">
        <v>310.0</v>
      </c>
      <c r="D889" s="8">
        <v>310.0</v>
      </c>
      <c r="E889" s="19">
        <v>0.0</v>
      </c>
      <c r="F889" s="10">
        <v>4.5</v>
      </c>
      <c r="G889" s="11">
        <v>5882.0</v>
      </c>
      <c r="K889" s="17"/>
    </row>
    <row r="890">
      <c r="A890" s="7" t="s">
        <v>575</v>
      </c>
      <c r="B890" s="7" t="s">
        <v>576</v>
      </c>
      <c r="C890" s="8">
        <v>149.0</v>
      </c>
      <c r="D890" s="8">
        <v>149.0</v>
      </c>
      <c r="E890" s="19">
        <v>0.0</v>
      </c>
      <c r="F890" s="10">
        <v>4.3</v>
      </c>
      <c r="G890" s="11">
        <v>10833.0</v>
      </c>
      <c r="K890" s="17"/>
    </row>
    <row r="891">
      <c r="A891" s="7" t="s">
        <v>953</v>
      </c>
      <c r="B891" s="7" t="s">
        <v>660</v>
      </c>
      <c r="C891" s="8">
        <v>1149.0</v>
      </c>
      <c r="D891" s="8">
        <v>1499.0</v>
      </c>
      <c r="E891" s="19">
        <v>0.23</v>
      </c>
      <c r="F891" s="10">
        <v>4.1</v>
      </c>
      <c r="G891" s="11">
        <v>10443.0</v>
      </c>
      <c r="K891" s="17"/>
    </row>
    <row r="892">
      <c r="A892" s="7" t="s">
        <v>954</v>
      </c>
      <c r="B892" s="7" t="s">
        <v>631</v>
      </c>
      <c r="C892" s="8">
        <v>499.0</v>
      </c>
      <c r="D892" s="8">
        <v>1299.0</v>
      </c>
      <c r="E892" s="19">
        <v>0.62</v>
      </c>
      <c r="F892" s="10">
        <v>4.5</v>
      </c>
      <c r="G892" s="10">
        <v>434.0</v>
      </c>
      <c r="K892" s="17"/>
    </row>
    <row r="893">
      <c r="A893" s="7" t="s">
        <v>955</v>
      </c>
      <c r="B893" s="7" t="s">
        <v>393</v>
      </c>
      <c r="C893" s="8">
        <v>999.0</v>
      </c>
      <c r="D893" s="8">
        <v>4199.0</v>
      </c>
      <c r="E893" s="19">
        <v>0.76</v>
      </c>
      <c r="F893" s="10">
        <v>3.5</v>
      </c>
      <c r="G893" s="11">
        <v>1913.0</v>
      </c>
      <c r="K893" s="17"/>
    </row>
    <row r="894">
      <c r="A894" s="7" t="s">
        <v>956</v>
      </c>
      <c r="B894" s="7" t="s">
        <v>875</v>
      </c>
      <c r="C894" s="8">
        <v>1709.0</v>
      </c>
      <c r="D894" s="8">
        <v>4000.0</v>
      </c>
      <c r="E894" s="19">
        <v>0.57</v>
      </c>
      <c r="F894" s="10">
        <v>4.4</v>
      </c>
      <c r="G894" s="11">
        <v>3029.0</v>
      </c>
      <c r="K894" s="17"/>
    </row>
    <row r="895">
      <c r="A895" s="7" t="s">
        <v>957</v>
      </c>
      <c r="B895" s="7" t="s">
        <v>654</v>
      </c>
      <c r="C895" s="8">
        <v>250.0</v>
      </c>
      <c r="D895" s="8">
        <v>250.0</v>
      </c>
      <c r="E895" s="19">
        <v>0.0</v>
      </c>
      <c r="F895" s="10">
        <v>4.2</v>
      </c>
      <c r="G895" s="11">
        <v>2628.0</v>
      </c>
      <c r="K895" s="17"/>
    </row>
    <row r="896">
      <c r="A896" s="7" t="s">
        <v>73</v>
      </c>
      <c r="B896" s="7" t="s">
        <v>25</v>
      </c>
      <c r="C896" s="8">
        <v>1199.0</v>
      </c>
      <c r="D896" s="8">
        <v>2199.0</v>
      </c>
      <c r="E896" s="19">
        <v>0.45</v>
      </c>
      <c r="F896" s="10">
        <v>4.4</v>
      </c>
      <c r="G896" s="11">
        <v>24780.0</v>
      </c>
      <c r="K896" s="17"/>
    </row>
    <row r="897">
      <c r="A897" s="7" t="s">
        <v>958</v>
      </c>
      <c r="B897" s="7" t="s">
        <v>959</v>
      </c>
      <c r="C897" s="8">
        <v>90.0</v>
      </c>
      <c r="D897" s="8">
        <v>100.0</v>
      </c>
      <c r="E897" s="19">
        <v>0.1</v>
      </c>
      <c r="F897" s="10">
        <v>4.4</v>
      </c>
      <c r="G897" s="11">
        <v>10718.0</v>
      </c>
      <c r="K897" s="17"/>
    </row>
    <row r="898">
      <c r="A898" s="7" t="s">
        <v>960</v>
      </c>
      <c r="B898" s="7" t="s">
        <v>502</v>
      </c>
      <c r="C898" s="8">
        <v>2025.0</v>
      </c>
      <c r="D898" s="8">
        <v>5999.0</v>
      </c>
      <c r="E898" s="19">
        <v>0.66</v>
      </c>
      <c r="F898" s="10">
        <v>4.2</v>
      </c>
      <c r="G898" s="11">
        <v>6233.0</v>
      </c>
      <c r="K898" s="17"/>
    </row>
    <row r="899">
      <c r="A899" s="7" t="s">
        <v>961</v>
      </c>
      <c r="B899" s="7" t="s">
        <v>692</v>
      </c>
      <c r="C899" s="8">
        <v>1495.0</v>
      </c>
      <c r="D899" s="8">
        <v>1995.0</v>
      </c>
      <c r="E899" s="19">
        <v>0.25</v>
      </c>
      <c r="F899" s="10">
        <v>4.5</v>
      </c>
      <c r="G899" s="11">
        <v>10541.0</v>
      </c>
      <c r="K899" s="17"/>
    </row>
    <row r="900">
      <c r="A900" s="7" t="s">
        <v>75</v>
      </c>
      <c r="B900" s="7" t="s">
        <v>15</v>
      </c>
      <c r="C900" s="8">
        <v>799.0</v>
      </c>
      <c r="D900" s="8">
        <v>2100.0</v>
      </c>
      <c r="E900" s="19">
        <v>0.62</v>
      </c>
      <c r="F900" s="10">
        <v>4.3</v>
      </c>
      <c r="G900" s="11">
        <v>8188.0</v>
      </c>
      <c r="K900" s="17"/>
    </row>
    <row r="901">
      <c r="A901" s="7" t="s">
        <v>962</v>
      </c>
      <c r="B901" s="7" t="s">
        <v>719</v>
      </c>
      <c r="C901" s="8">
        <v>899.0</v>
      </c>
      <c r="D901" s="8">
        <v>1199.0</v>
      </c>
      <c r="E901" s="19">
        <v>0.25</v>
      </c>
      <c r="F901" s="10">
        <v>3.8</v>
      </c>
      <c r="G901" s="11">
        <v>10751.0</v>
      </c>
      <c r="K901" s="17"/>
    </row>
    <row r="902">
      <c r="A902" s="7" t="s">
        <v>963</v>
      </c>
      <c r="B902" s="7" t="s">
        <v>964</v>
      </c>
      <c r="C902" s="8">
        <v>349.0</v>
      </c>
      <c r="D902" s="8">
        <v>999.0</v>
      </c>
      <c r="E902" s="19">
        <v>0.65</v>
      </c>
      <c r="F902" s="10">
        <v>3.9</v>
      </c>
      <c r="G902" s="10">
        <v>817.0</v>
      </c>
      <c r="K902" s="17"/>
    </row>
    <row r="903">
      <c r="A903" s="7" t="s">
        <v>965</v>
      </c>
      <c r="B903" s="7" t="s">
        <v>377</v>
      </c>
      <c r="C903" s="8">
        <v>900.0</v>
      </c>
      <c r="D903" s="8">
        <v>2499.0</v>
      </c>
      <c r="E903" s="19">
        <v>0.64</v>
      </c>
      <c r="F903" s="10">
        <v>4.0</v>
      </c>
      <c r="G903" s="11">
        <v>36384.0</v>
      </c>
      <c r="K903" s="17"/>
    </row>
    <row r="904">
      <c r="A904" s="7" t="s">
        <v>966</v>
      </c>
      <c r="B904" s="7" t="s">
        <v>769</v>
      </c>
      <c r="C904" s="8">
        <v>2490.0</v>
      </c>
      <c r="D904" s="8">
        <v>3990.0</v>
      </c>
      <c r="E904" s="19">
        <v>0.38</v>
      </c>
      <c r="F904" s="10">
        <v>4.1</v>
      </c>
      <c r="G904" s="11">
        <v>3606.0</v>
      </c>
      <c r="K904" s="17"/>
    </row>
    <row r="905">
      <c r="A905" s="7" t="s">
        <v>967</v>
      </c>
      <c r="B905" s="7" t="s">
        <v>721</v>
      </c>
      <c r="C905" s="8">
        <v>116.0</v>
      </c>
      <c r="D905" s="8">
        <v>200.0</v>
      </c>
      <c r="E905" s="19">
        <v>0.42</v>
      </c>
      <c r="F905" s="10">
        <v>4.4</v>
      </c>
      <c r="G905" s="10">
        <v>357.0</v>
      </c>
      <c r="K905" s="17"/>
    </row>
    <row r="906">
      <c r="A906" s="7" t="s">
        <v>968</v>
      </c>
      <c r="B906" s="7" t="s">
        <v>694</v>
      </c>
      <c r="C906" s="8">
        <v>200.0</v>
      </c>
      <c r="D906" s="8">
        <v>230.0</v>
      </c>
      <c r="E906" s="19">
        <v>0.13</v>
      </c>
      <c r="F906" s="10">
        <v>4.4</v>
      </c>
      <c r="G906" s="11">
        <v>10170.0</v>
      </c>
      <c r="K906" s="17"/>
    </row>
    <row r="907">
      <c r="A907" s="7" t="s">
        <v>969</v>
      </c>
      <c r="B907" s="7" t="s">
        <v>895</v>
      </c>
      <c r="C907" s="8">
        <v>1249.0</v>
      </c>
      <c r="D907" s="8">
        <v>2796.0</v>
      </c>
      <c r="E907" s="19">
        <v>0.55</v>
      </c>
      <c r="F907" s="10">
        <v>4.4</v>
      </c>
      <c r="G907" s="11">
        <v>4598.0</v>
      </c>
      <c r="K907" s="17"/>
    </row>
    <row r="908">
      <c r="A908" s="7" t="s">
        <v>970</v>
      </c>
      <c r="B908" s="7" t="s">
        <v>971</v>
      </c>
      <c r="C908" s="8">
        <v>649.0</v>
      </c>
      <c r="D908" s="8">
        <v>999.0</v>
      </c>
      <c r="E908" s="19">
        <v>0.35</v>
      </c>
      <c r="F908" s="10">
        <v>3.5</v>
      </c>
      <c r="G908" s="11">
        <v>7222.0</v>
      </c>
      <c r="K908" s="17"/>
    </row>
    <row r="909">
      <c r="A909" s="7" t="s">
        <v>972</v>
      </c>
      <c r="B909" s="7" t="s">
        <v>973</v>
      </c>
      <c r="C909" s="8">
        <v>2649.0</v>
      </c>
      <c r="D909" s="8">
        <v>3499.0</v>
      </c>
      <c r="E909" s="19">
        <v>0.24</v>
      </c>
      <c r="F909" s="10">
        <v>4.5</v>
      </c>
      <c r="G909" s="11">
        <v>1271.0</v>
      </c>
      <c r="K909" s="17"/>
    </row>
    <row r="910">
      <c r="A910" s="7" t="s">
        <v>78</v>
      </c>
      <c r="B910" s="7" t="s">
        <v>15</v>
      </c>
      <c r="C910" s="8">
        <v>199.0</v>
      </c>
      <c r="D910" s="8">
        <v>349.0</v>
      </c>
      <c r="E910" s="19">
        <v>0.43</v>
      </c>
      <c r="F910" s="10">
        <v>4.1</v>
      </c>
      <c r="G910" s="10">
        <v>314.0</v>
      </c>
      <c r="K910" s="17"/>
    </row>
    <row r="911">
      <c r="A911" s="7" t="s">
        <v>974</v>
      </c>
      <c r="B911" s="7" t="s">
        <v>683</v>
      </c>
      <c r="C911" s="8">
        <v>596.0</v>
      </c>
      <c r="D911" s="8">
        <v>723.0</v>
      </c>
      <c r="E911" s="19">
        <v>0.18</v>
      </c>
      <c r="F911" s="10">
        <v>4.4</v>
      </c>
      <c r="G911" s="11">
        <v>3219.0</v>
      </c>
      <c r="K911" s="17"/>
    </row>
    <row r="912">
      <c r="A912" s="7" t="s">
        <v>975</v>
      </c>
      <c r="B912" s="7" t="s">
        <v>373</v>
      </c>
      <c r="C912" s="8">
        <v>2499.0</v>
      </c>
      <c r="D912" s="8">
        <v>5999.0</v>
      </c>
      <c r="E912" s="19">
        <v>0.58</v>
      </c>
      <c r="F912" s="10">
        <v>4.1</v>
      </c>
      <c r="G912" s="11">
        <v>38879.0</v>
      </c>
      <c r="K912" s="17"/>
    </row>
    <row r="913">
      <c r="A913" s="7" t="s">
        <v>976</v>
      </c>
      <c r="B913" s="7" t="s">
        <v>977</v>
      </c>
      <c r="C913" s="8">
        <v>4999.0</v>
      </c>
      <c r="D913" s="8">
        <v>12499.0</v>
      </c>
      <c r="E913" s="19">
        <v>0.6</v>
      </c>
      <c r="F913" s="10">
        <v>4.2</v>
      </c>
      <c r="G913" s="11">
        <v>4541.0</v>
      </c>
      <c r="K913" s="17"/>
    </row>
    <row r="914">
      <c r="A914" s="7" t="s">
        <v>978</v>
      </c>
      <c r="B914" s="7" t="s">
        <v>393</v>
      </c>
      <c r="C914" s="8">
        <v>399.0</v>
      </c>
      <c r="D914" s="8">
        <v>1290.0</v>
      </c>
      <c r="E914" s="19">
        <v>0.69</v>
      </c>
      <c r="F914" s="10">
        <v>4.2</v>
      </c>
      <c r="G914" s="11">
        <v>76042.0</v>
      </c>
      <c r="K914" s="17"/>
    </row>
    <row r="915">
      <c r="A915" s="7" t="s">
        <v>979</v>
      </c>
      <c r="B915" s="7" t="s">
        <v>721</v>
      </c>
      <c r="C915" s="8">
        <v>116.0</v>
      </c>
      <c r="D915" s="8">
        <v>200.0</v>
      </c>
      <c r="E915" s="19">
        <v>0.42</v>
      </c>
      <c r="F915" s="10">
        <v>4.3</v>
      </c>
      <c r="G915" s="10">
        <v>485.0</v>
      </c>
      <c r="K915" s="17"/>
    </row>
    <row r="916">
      <c r="A916" s="7" t="s">
        <v>980</v>
      </c>
      <c r="B916" s="7" t="s">
        <v>769</v>
      </c>
      <c r="C916" s="8">
        <v>4499.0</v>
      </c>
      <c r="D916" s="8">
        <v>5999.0</v>
      </c>
      <c r="E916" s="19">
        <v>0.25</v>
      </c>
      <c r="F916" s="10">
        <v>4.3</v>
      </c>
      <c r="G916" s="11">
        <v>44696.0</v>
      </c>
      <c r="K916" s="17"/>
    </row>
    <row r="917">
      <c r="A917" s="7" t="s">
        <v>981</v>
      </c>
      <c r="B917" s="7" t="s">
        <v>793</v>
      </c>
      <c r="C917" s="8">
        <v>330.0</v>
      </c>
      <c r="D917" s="8">
        <v>499.0</v>
      </c>
      <c r="E917" s="19">
        <v>0.34</v>
      </c>
      <c r="F917" s="10">
        <v>3.7</v>
      </c>
      <c r="G917" s="11">
        <v>8566.0</v>
      </c>
      <c r="K917" s="17"/>
    </row>
    <row r="918">
      <c r="A918" s="7" t="s">
        <v>982</v>
      </c>
      <c r="B918" s="7" t="s">
        <v>711</v>
      </c>
      <c r="C918" s="8">
        <v>649.0</v>
      </c>
      <c r="D918" s="8">
        <v>2499.0</v>
      </c>
      <c r="E918" s="19">
        <v>0.74</v>
      </c>
      <c r="F918" s="10">
        <v>3.9</v>
      </c>
      <c r="G918" s="11">
        <v>13049.0</v>
      </c>
      <c r="K918" s="17"/>
    </row>
    <row r="919">
      <c r="A919" s="7" t="s">
        <v>983</v>
      </c>
      <c r="B919" s="7" t="s">
        <v>779</v>
      </c>
      <c r="C919" s="8">
        <v>1234.0</v>
      </c>
      <c r="D919" s="8">
        <v>1599.0</v>
      </c>
      <c r="E919" s="19">
        <v>0.23</v>
      </c>
      <c r="F919" s="10">
        <v>4.5</v>
      </c>
      <c r="G919" s="11">
        <v>16680.0</v>
      </c>
      <c r="K919" s="17"/>
    </row>
    <row r="920">
      <c r="A920" s="7" t="s">
        <v>571</v>
      </c>
      <c r="B920" s="7" t="s">
        <v>572</v>
      </c>
      <c r="C920" s="8">
        <v>1399.0</v>
      </c>
      <c r="D920" s="8">
        <v>2990.0</v>
      </c>
      <c r="E920" s="19">
        <v>0.53</v>
      </c>
      <c r="F920" s="10">
        <v>4.1</v>
      </c>
      <c r="G920" s="11">
        <v>97174.0</v>
      </c>
      <c r="K920" s="17"/>
    </row>
    <row r="921">
      <c r="A921" s="7" t="s">
        <v>984</v>
      </c>
      <c r="B921" s="7" t="s">
        <v>916</v>
      </c>
      <c r="C921" s="8">
        <v>272.0</v>
      </c>
      <c r="D921" s="8">
        <v>320.0</v>
      </c>
      <c r="E921" s="19">
        <v>0.15</v>
      </c>
      <c r="F921" s="10">
        <v>4.0</v>
      </c>
      <c r="G921" s="11">
        <v>3686.0</v>
      </c>
      <c r="K921" s="17"/>
    </row>
    <row r="922">
      <c r="A922" s="7" t="s">
        <v>985</v>
      </c>
      <c r="B922" s="7" t="s">
        <v>986</v>
      </c>
      <c r="C922" s="8">
        <v>99.0</v>
      </c>
      <c r="D922" s="8">
        <v>999.0</v>
      </c>
      <c r="E922" s="19">
        <v>0.9</v>
      </c>
      <c r="F922" s="10">
        <v>3.8</v>
      </c>
      <c r="G922" s="10">
        <v>594.0</v>
      </c>
      <c r="K922" s="17"/>
    </row>
    <row r="923">
      <c r="A923" s="7" t="s">
        <v>987</v>
      </c>
      <c r="B923" s="7" t="s">
        <v>988</v>
      </c>
      <c r="C923" s="8">
        <v>3498.0</v>
      </c>
      <c r="D923" s="8">
        <v>3875.0</v>
      </c>
      <c r="E923" s="19">
        <v>0.1</v>
      </c>
      <c r="F923" s="10">
        <v>3.4</v>
      </c>
      <c r="G923" s="11">
        <v>12185.0</v>
      </c>
      <c r="K923" s="17"/>
    </row>
    <row r="924">
      <c r="A924" s="7" t="s">
        <v>989</v>
      </c>
      <c r="B924" s="7" t="s">
        <v>757</v>
      </c>
      <c r="C924" s="8">
        <v>10099.0</v>
      </c>
      <c r="D924" s="8">
        <v>19110.0</v>
      </c>
      <c r="E924" s="19">
        <v>0.47</v>
      </c>
      <c r="F924" s="10">
        <v>4.3</v>
      </c>
      <c r="G924" s="11">
        <v>2623.0</v>
      </c>
      <c r="K924" s="17"/>
    </row>
    <row r="925">
      <c r="A925" s="7" t="s">
        <v>990</v>
      </c>
      <c r="B925" s="7" t="s">
        <v>806</v>
      </c>
      <c r="C925" s="8">
        <v>449.0</v>
      </c>
      <c r="D925" s="8">
        <v>999.0</v>
      </c>
      <c r="E925" s="19">
        <v>0.55</v>
      </c>
      <c r="F925" s="10">
        <v>4.3</v>
      </c>
      <c r="G925" s="11">
        <v>9701.0</v>
      </c>
      <c r="K925" s="17"/>
    </row>
    <row r="926">
      <c r="A926" s="7" t="s">
        <v>991</v>
      </c>
      <c r="B926" s="7" t="s">
        <v>992</v>
      </c>
      <c r="C926" s="8">
        <v>150.0</v>
      </c>
      <c r="D926" s="8">
        <v>150.0</v>
      </c>
      <c r="E926" s="19">
        <v>0.0</v>
      </c>
      <c r="F926" s="10">
        <v>4.3</v>
      </c>
      <c r="G926" s="11">
        <v>15867.0</v>
      </c>
      <c r="K926" s="17"/>
    </row>
    <row r="927">
      <c r="A927" s="7" t="s">
        <v>82</v>
      </c>
      <c r="B927" s="7" t="s">
        <v>15</v>
      </c>
      <c r="C927" s="8">
        <v>348.0</v>
      </c>
      <c r="D927" s="8">
        <v>1499.0</v>
      </c>
      <c r="E927" s="19">
        <v>0.77</v>
      </c>
      <c r="F927" s="10">
        <v>4.2</v>
      </c>
      <c r="G927" s="10">
        <v>656.0</v>
      </c>
      <c r="K927" s="17"/>
    </row>
    <row r="928">
      <c r="A928" s="7" t="s">
        <v>993</v>
      </c>
      <c r="B928" s="7" t="s">
        <v>709</v>
      </c>
      <c r="C928" s="8">
        <v>1199.0</v>
      </c>
      <c r="D928" s="8">
        <v>2999.0</v>
      </c>
      <c r="E928" s="19">
        <v>0.6</v>
      </c>
      <c r="F928" s="10">
        <v>4.1</v>
      </c>
      <c r="G928" s="11">
        <v>10725.0</v>
      </c>
      <c r="K928" s="17"/>
    </row>
    <row r="929">
      <c r="A929" s="7" t="s">
        <v>994</v>
      </c>
      <c r="B929" s="7" t="s">
        <v>698</v>
      </c>
      <c r="C929" s="8">
        <v>397.0</v>
      </c>
      <c r="D929" s="8">
        <v>899.0</v>
      </c>
      <c r="E929" s="19">
        <v>0.56</v>
      </c>
      <c r="F929" s="10">
        <v>4.0</v>
      </c>
      <c r="G929" s="11">
        <v>3025.0</v>
      </c>
      <c r="K929" s="17"/>
    </row>
    <row r="930">
      <c r="A930" s="7" t="s">
        <v>83</v>
      </c>
      <c r="B930" s="7" t="s">
        <v>15</v>
      </c>
      <c r="C930" s="8">
        <v>154.0</v>
      </c>
      <c r="D930" s="8">
        <v>349.0</v>
      </c>
      <c r="E930" s="19">
        <v>0.56</v>
      </c>
      <c r="F930" s="10">
        <v>4.3</v>
      </c>
      <c r="G930" s="11">
        <v>7064.0</v>
      </c>
      <c r="K930" s="17"/>
    </row>
    <row r="931">
      <c r="A931" s="7" t="s">
        <v>995</v>
      </c>
      <c r="B931" s="7" t="s">
        <v>781</v>
      </c>
      <c r="C931" s="8">
        <v>699.0</v>
      </c>
      <c r="D931" s="8">
        <v>1490.0</v>
      </c>
      <c r="E931" s="19">
        <v>0.53</v>
      </c>
      <c r="F931" s="10">
        <v>4.0</v>
      </c>
      <c r="G931" s="11">
        <v>5736.0</v>
      </c>
      <c r="K931" s="17"/>
    </row>
    <row r="932">
      <c r="A932" s="7" t="s">
        <v>996</v>
      </c>
      <c r="B932" s="7" t="s">
        <v>393</v>
      </c>
      <c r="C932" s="8">
        <v>1679.0</v>
      </c>
      <c r="D932" s="8">
        <v>1999.0</v>
      </c>
      <c r="E932" s="19">
        <v>0.16</v>
      </c>
      <c r="F932" s="10">
        <v>4.1</v>
      </c>
      <c r="G932" s="11">
        <v>72563.0</v>
      </c>
      <c r="K932" s="17"/>
    </row>
    <row r="933">
      <c r="A933" s="7" t="s">
        <v>997</v>
      </c>
      <c r="B933" s="7" t="s">
        <v>627</v>
      </c>
      <c r="C933" s="8">
        <v>354.0</v>
      </c>
      <c r="D933" s="8">
        <v>1500.0</v>
      </c>
      <c r="E933" s="19">
        <v>0.76</v>
      </c>
      <c r="F933" s="10">
        <v>4.0</v>
      </c>
      <c r="G933" s="11">
        <v>1026.0</v>
      </c>
      <c r="K933" s="17"/>
    </row>
    <row r="934">
      <c r="A934" s="7" t="s">
        <v>998</v>
      </c>
      <c r="B934" s="7" t="s">
        <v>999</v>
      </c>
      <c r="C934" s="8">
        <v>1199.0</v>
      </c>
      <c r="D934" s="8">
        <v>5499.0</v>
      </c>
      <c r="E934" s="19">
        <v>0.78</v>
      </c>
      <c r="F934" s="10">
        <v>3.8</v>
      </c>
      <c r="G934" s="11">
        <v>2043.0</v>
      </c>
      <c r="K934" s="17"/>
    </row>
    <row r="935">
      <c r="A935" s="7" t="s">
        <v>1000</v>
      </c>
      <c r="B935" s="7" t="s">
        <v>779</v>
      </c>
      <c r="C935" s="8">
        <v>379.0</v>
      </c>
      <c r="D935" s="8">
        <v>1499.0</v>
      </c>
      <c r="E935" s="19">
        <v>0.75</v>
      </c>
      <c r="F935" s="10">
        <v>4.2</v>
      </c>
      <c r="G935" s="11">
        <v>4149.0</v>
      </c>
      <c r="K935" s="17"/>
    </row>
    <row r="936">
      <c r="A936" s="7" t="s">
        <v>1001</v>
      </c>
      <c r="B936" s="7" t="s">
        <v>662</v>
      </c>
      <c r="C936" s="8">
        <v>499.0</v>
      </c>
      <c r="D936" s="8">
        <v>775.0</v>
      </c>
      <c r="E936" s="19">
        <v>0.36</v>
      </c>
      <c r="F936" s="10">
        <v>4.3</v>
      </c>
      <c r="G936" s="10">
        <v>74.0</v>
      </c>
      <c r="K936" s="17"/>
    </row>
    <row r="937">
      <c r="A937" s="7" t="s">
        <v>1002</v>
      </c>
      <c r="B937" s="7" t="s">
        <v>1003</v>
      </c>
      <c r="C937" s="8">
        <v>10389.0</v>
      </c>
      <c r="D937" s="8">
        <v>32000.0</v>
      </c>
      <c r="E937" s="19">
        <v>0.68</v>
      </c>
      <c r="F937" s="10">
        <v>4.4</v>
      </c>
      <c r="G937" s="11">
        <v>41398.0</v>
      </c>
      <c r="K937" s="17"/>
    </row>
    <row r="938">
      <c r="A938" s="7" t="s">
        <v>1004</v>
      </c>
      <c r="B938" s="7" t="s">
        <v>907</v>
      </c>
      <c r="C938" s="8">
        <v>649.0</v>
      </c>
      <c r="D938" s="8">
        <v>1300.0</v>
      </c>
      <c r="E938" s="19">
        <v>0.5</v>
      </c>
      <c r="F938" s="10">
        <v>4.1</v>
      </c>
      <c r="G938" s="11">
        <v>5195.0</v>
      </c>
      <c r="K938" s="17"/>
    </row>
    <row r="939">
      <c r="A939" s="7" t="s">
        <v>1005</v>
      </c>
      <c r="B939" s="7" t="s">
        <v>1006</v>
      </c>
      <c r="C939" s="8">
        <v>1199.0</v>
      </c>
      <c r="D939" s="8">
        <v>1999.0</v>
      </c>
      <c r="E939" s="19">
        <v>0.4</v>
      </c>
      <c r="F939" s="10">
        <v>4.5</v>
      </c>
      <c r="G939" s="11">
        <v>22420.0</v>
      </c>
      <c r="K939" s="17"/>
    </row>
    <row r="940">
      <c r="A940" s="7" t="s">
        <v>86</v>
      </c>
      <c r="B940" s="7" t="s">
        <v>15</v>
      </c>
      <c r="C940" s="8">
        <v>139.0</v>
      </c>
      <c r="D940" s="8">
        <v>999.0</v>
      </c>
      <c r="E940" s="19">
        <v>0.86</v>
      </c>
      <c r="F940" s="10">
        <v>4.0</v>
      </c>
      <c r="G940" s="11">
        <v>1313.0</v>
      </c>
      <c r="K940" s="17"/>
    </row>
    <row r="941">
      <c r="A941" s="7" t="s">
        <v>1007</v>
      </c>
      <c r="B941" s="7" t="s">
        <v>393</v>
      </c>
      <c r="C941" s="8">
        <v>889.0</v>
      </c>
      <c r="D941" s="8">
        <v>1999.0</v>
      </c>
      <c r="E941" s="19">
        <v>0.56</v>
      </c>
      <c r="F941" s="10">
        <v>4.2</v>
      </c>
      <c r="G941" s="11">
        <v>2284.0</v>
      </c>
      <c r="K941" s="17"/>
    </row>
    <row r="942">
      <c r="A942" s="7" t="s">
        <v>1008</v>
      </c>
      <c r="B942" s="7" t="s">
        <v>660</v>
      </c>
      <c r="C942" s="8">
        <v>1409.0</v>
      </c>
      <c r="D942" s="8">
        <v>2199.0</v>
      </c>
      <c r="E942" s="19">
        <v>0.36</v>
      </c>
      <c r="F942" s="10">
        <v>3.9</v>
      </c>
      <c r="G942" s="10">
        <v>427.0</v>
      </c>
      <c r="K942" s="17"/>
    </row>
    <row r="943">
      <c r="A943" s="7" t="s">
        <v>1009</v>
      </c>
      <c r="B943" s="7" t="s">
        <v>1010</v>
      </c>
      <c r="C943" s="8">
        <v>549.0</v>
      </c>
      <c r="D943" s="8">
        <v>1999.0</v>
      </c>
      <c r="E943" s="19">
        <v>0.73</v>
      </c>
      <c r="F943" s="10">
        <v>4.3</v>
      </c>
      <c r="G943" s="11">
        <v>1367.0</v>
      </c>
      <c r="K943" s="17"/>
    </row>
    <row r="944">
      <c r="A944" s="7" t="s">
        <v>1011</v>
      </c>
      <c r="B944" s="7" t="s">
        <v>999</v>
      </c>
      <c r="C944" s="8">
        <v>749.0</v>
      </c>
      <c r="D944" s="8">
        <v>1799.0</v>
      </c>
      <c r="E944" s="19">
        <v>0.58</v>
      </c>
      <c r="F944" s="10">
        <v>4.0</v>
      </c>
      <c r="G944" s="11">
        <v>13199.0</v>
      </c>
      <c r="K944" s="17"/>
    </row>
    <row r="945">
      <c r="A945" s="7" t="s">
        <v>87</v>
      </c>
      <c r="B945" s="7" t="s">
        <v>15</v>
      </c>
      <c r="C945" s="8">
        <v>329.0</v>
      </c>
      <c r="D945" s="8">
        <v>845.0</v>
      </c>
      <c r="E945" s="19">
        <v>0.61</v>
      </c>
      <c r="F945" s="10">
        <v>4.2</v>
      </c>
      <c r="G945" s="11">
        <v>29746.0</v>
      </c>
      <c r="K945" s="17"/>
    </row>
    <row r="946">
      <c r="A946" s="7" t="s">
        <v>1012</v>
      </c>
      <c r="B946" s="7" t="s">
        <v>15</v>
      </c>
      <c r="C946" s="8">
        <v>379.0</v>
      </c>
      <c r="D946" s="8">
        <v>1099.0</v>
      </c>
      <c r="E946" s="19">
        <v>0.66</v>
      </c>
      <c r="F946" s="10">
        <v>4.3</v>
      </c>
      <c r="G946" s="11">
        <v>2806.0</v>
      </c>
      <c r="K946" s="17"/>
    </row>
    <row r="947">
      <c r="A947" s="7" t="s">
        <v>1013</v>
      </c>
      <c r="B947" s="7" t="s">
        <v>373</v>
      </c>
      <c r="C947" s="8">
        <v>5998.0</v>
      </c>
      <c r="D947" s="8">
        <v>7999.0</v>
      </c>
      <c r="E947" s="19">
        <v>0.25</v>
      </c>
      <c r="F947" s="10">
        <v>4.2</v>
      </c>
      <c r="G947" s="11">
        <v>30355.0</v>
      </c>
      <c r="K947" s="17"/>
    </row>
    <row r="948">
      <c r="A948" s="7" t="s">
        <v>1014</v>
      </c>
      <c r="B948" s="7" t="s">
        <v>806</v>
      </c>
      <c r="C948" s="8">
        <v>299.0</v>
      </c>
      <c r="D948" s="8">
        <v>1499.0</v>
      </c>
      <c r="E948" s="19">
        <v>0.8</v>
      </c>
      <c r="F948" s="10">
        <v>4.2</v>
      </c>
      <c r="G948" s="11">
        <v>2868.0</v>
      </c>
      <c r="K948" s="17"/>
    </row>
    <row r="949">
      <c r="A949" s="7" t="s">
        <v>1015</v>
      </c>
      <c r="B949" s="7" t="s">
        <v>779</v>
      </c>
      <c r="C949" s="8">
        <v>379.0</v>
      </c>
      <c r="D949" s="8">
        <v>1499.0</v>
      </c>
      <c r="E949" s="19">
        <v>0.75</v>
      </c>
      <c r="F949" s="10">
        <v>4.1</v>
      </c>
      <c r="G949" s="10">
        <v>670.0</v>
      </c>
      <c r="K949" s="17"/>
    </row>
    <row r="950">
      <c r="A950" s="7" t="s">
        <v>1016</v>
      </c>
      <c r="B950" s="7" t="s">
        <v>1017</v>
      </c>
      <c r="C950" s="8">
        <v>1399.0</v>
      </c>
      <c r="D950" s="8">
        <v>2999.0</v>
      </c>
      <c r="E950" s="19">
        <v>0.53</v>
      </c>
      <c r="F950" s="10">
        <v>4.3</v>
      </c>
      <c r="G950" s="11">
        <v>3530.0</v>
      </c>
      <c r="K950" s="17"/>
    </row>
    <row r="951">
      <c r="A951" s="7" t="s">
        <v>1018</v>
      </c>
      <c r="B951" s="7" t="s">
        <v>1019</v>
      </c>
      <c r="C951" s="8">
        <v>699.0</v>
      </c>
      <c r="D951" s="8">
        <v>1299.0</v>
      </c>
      <c r="E951" s="19">
        <v>0.46</v>
      </c>
      <c r="F951" s="10">
        <v>4.3</v>
      </c>
      <c r="G951" s="11">
        <v>6183.0</v>
      </c>
      <c r="K951" s="17"/>
    </row>
    <row r="952">
      <c r="A952" s="7" t="s">
        <v>1020</v>
      </c>
      <c r="B952" s="7" t="s">
        <v>817</v>
      </c>
      <c r="C952" s="8">
        <v>300.0</v>
      </c>
      <c r="D952" s="8">
        <v>300.0</v>
      </c>
      <c r="E952" s="19">
        <v>0.0</v>
      </c>
      <c r="F952" s="10">
        <v>4.2</v>
      </c>
      <c r="G952" s="10">
        <v>419.0</v>
      </c>
      <c r="K952" s="17"/>
    </row>
    <row r="953">
      <c r="A953" s="7" t="s">
        <v>1021</v>
      </c>
      <c r="B953" s="7" t="s">
        <v>696</v>
      </c>
      <c r="C953" s="8">
        <v>999.0</v>
      </c>
      <c r="D953" s="8">
        <v>1995.0</v>
      </c>
      <c r="E953" s="19">
        <v>0.5</v>
      </c>
      <c r="F953" s="10">
        <v>4.5</v>
      </c>
      <c r="G953" s="11">
        <v>7317.0</v>
      </c>
      <c r="K953" s="17"/>
    </row>
    <row r="954">
      <c r="A954" s="7" t="s">
        <v>1022</v>
      </c>
      <c r="B954" s="7" t="s">
        <v>1023</v>
      </c>
      <c r="C954" s="8">
        <v>535.0</v>
      </c>
      <c r="D954" s="8">
        <v>535.0</v>
      </c>
      <c r="E954" s="19">
        <v>0.0</v>
      </c>
      <c r="F954" s="10">
        <v>4.4</v>
      </c>
      <c r="G954" s="11">
        <v>4426.0</v>
      </c>
      <c r="K954" s="17"/>
    </row>
    <row r="955">
      <c r="A955" s="7" t="s">
        <v>88</v>
      </c>
      <c r="B955" s="7" t="s">
        <v>37</v>
      </c>
      <c r="C955" s="8">
        <v>13999.0</v>
      </c>
      <c r="D955" s="8">
        <v>24999.0</v>
      </c>
      <c r="E955" s="19">
        <v>0.44</v>
      </c>
      <c r="F955" s="10">
        <v>4.2</v>
      </c>
      <c r="G955" s="11">
        <v>45237.0</v>
      </c>
      <c r="K955" s="17"/>
    </row>
    <row r="956">
      <c r="A956" s="7" t="s">
        <v>1024</v>
      </c>
      <c r="B956" s="7" t="s">
        <v>806</v>
      </c>
      <c r="C956" s="8">
        <v>269.0</v>
      </c>
      <c r="D956" s="8">
        <v>1099.0</v>
      </c>
      <c r="E956" s="19">
        <v>0.76</v>
      </c>
      <c r="F956" s="10">
        <v>4.1</v>
      </c>
      <c r="G956" s="11">
        <v>1092.0</v>
      </c>
      <c r="K956" s="17"/>
    </row>
    <row r="957">
      <c r="A957" s="7" t="s">
        <v>1025</v>
      </c>
      <c r="B957" s="7" t="s">
        <v>916</v>
      </c>
      <c r="C957" s="8">
        <v>341.0</v>
      </c>
      <c r="D957" s="8">
        <v>450.0</v>
      </c>
      <c r="E957" s="19">
        <v>0.24</v>
      </c>
      <c r="F957" s="10">
        <v>4.3</v>
      </c>
      <c r="G957" s="11">
        <v>2493.0</v>
      </c>
      <c r="K957" s="17"/>
    </row>
    <row r="958">
      <c r="A958" s="7" t="s">
        <v>1026</v>
      </c>
      <c r="B958" s="7" t="s">
        <v>709</v>
      </c>
      <c r="C958" s="8">
        <v>2499.0</v>
      </c>
      <c r="D958" s="8">
        <v>3999.0</v>
      </c>
      <c r="E958" s="19">
        <v>0.38</v>
      </c>
      <c r="F958" s="10">
        <v>4.4</v>
      </c>
      <c r="G958" s="11">
        <v>12679.0</v>
      </c>
      <c r="K958" s="17"/>
    </row>
    <row r="959">
      <c r="A959" s="7" t="s">
        <v>96</v>
      </c>
      <c r="B959" s="7" t="s">
        <v>15</v>
      </c>
      <c r="C959" s="8">
        <v>349.0</v>
      </c>
      <c r="D959" s="8">
        <v>599.0</v>
      </c>
      <c r="E959" s="19">
        <v>0.42</v>
      </c>
      <c r="F959" s="10">
        <v>4.1</v>
      </c>
      <c r="G959" s="10">
        <v>210.0</v>
      </c>
      <c r="K959" s="17"/>
    </row>
    <row r="960">
      <c r="A960" s="7" t="s">
        <v>1027</v>
      </c>
      <c r="B960" s="7" t="s">
        <v>940</v>
      </c>
      <c r="C960" s="8">
        <v>5899.0</v>
      </c>
      <c r="D960" s="8">
        <v>7005.0</v>
      </c>
      <c r="E960" s="19">
        <v>0.16</v>
      </c>
      <c r="F960" s="10">
        <v>3.6</v>
      </c>
      <c r="G960" s="11">
        <v>4199.0</v>
      </c>
      <c r="K960" s="17"/>
    </row>
    <row r="961">
      <c r="A961" s="7" t="s">
        <v>592</v>
      </c>
      <c r="B961" s="7" t="s">
        <v>409</v>
      </c>
      <c r="C961" s="8">
        <v>699.0</v>
      </c>
      <c r="D961" s="8">
        <v>1199.0</v>
      </c>
      <c r="E961" s="19">
        <v>0.42</v>
      </c>
      <c r="F961" s="10">
        <v>4.0</v>
      </c>
      <c r="G961" s="11">
        <v>14403.0</v>
      </c>
      <c r="K961" s="17"/>
    </row>
    <row r="962">
      <c r="A962" s="7" t="s">
        <v>1028</v>
      </c>
      <c r="B962" s="7" t="s">
        <v>709</v>
      </c>
      <c r="C962" s="8">
        <v>1565.0</v>
      </c>
      <c r="D962" s="8">
        <v>2999.0</v>
      </c>
      <c r="E962" s="19">
        <v>0.48</v>
      </c>
      <c r="F962" s="10">
        <v>4.0</v>
      </c>
      <c r="G962" s="11">
        <v>11113.0</v>
      </c>
      <c r="K962" s="17"/>
    </row>
    <row r="963">
      <c r="A963" s="7" t="s">
        <v>1029</v>
      </c>
      <c r="B963" s="7" t="s">
        <v>668</v>
      </c>
      <c r="C963" s="8">
        <v>326.0</v>
      </c>
      <c r="D963" s="8">
        <v>799.0</v>
      </c>
      <c r="E963" s="19">
        <v>0.59</v>
      </c>
      <c r="F963" s="10">
        <v>4.4</v>
      </c>
      <c r="G963" s="11">
        <v>10773.0</v>
      </c>
      <c r="K963" s="17"/>
    </row>
    <row r="964">
      <c r="A964" s="7" t="s">
        <v>588</v>
      </c>
      <c r="B964" s="7" t="s">
        <v>589</v>
      </c>
      <c r="C964" s="8">
        <v>120.0</v>
      </c>
      <c r="D964" s="8">
        <v>999.0</v>
      </c>
      <c r="E964" s="19">
        <v>0.88</v>
      </c>
      <c r="F964" s="10">
        <v>3.9</v>
      </c>
      <c r="G964" s="11">
        <v>6491.0</v>
      </c>
      <c r="K964" s="17"/>
    </row>
    <row r="965">
      <c r="A965" s="7" t="s">
        <v>1030</v>
      </c>
      <c r="B965" s="7" t="s">
        <v>662</v>
      </c>
      <c r="C965" s="8">
        <v>657.0</v>
      </c>
      <c r="D965" s="8">
        <v>999.0</v>
      </c>
      <c r="E965" s="19">
        <v>0.34</v>
      </c>
      <c r="F965" s="10">
        <v>4.3</v>
      </c>
      <c r="G965" s="11">
        <v>13944.0</v>
      </c>
      <c r="K965" s="17"/>
    </row>
    <row r="966">
      <c r="A966" s="7" t="s">
        <v>1031</v>
      </c>
      <c r="B966" s="7" t="s">
        <v>692</v>
      </c>
      <c r="C966" s="8">
        <v>1995.0</v>
      </c>
      <c r="D966" s="8">
        <v>2895.0</v>
      </c>
      <c r="E966" s="19">
        <v>0.31</v>
      </c>
      <c r="F966" s="10">
        <v>4.6</v>
      </c>
      <c r="G966" s="11">
        <v>10760.0</v>
      </c>
      <c r="K966" s="17"/>
    </row>
    <row r="967">
      <c r="A967" s="7" t="s">
        <v>1032</v>
      </c>
      <c r="B967" s="7" t="s">
        <v>721</v>
      </c>
      <c r="C967" s="8">
        <v>1500.0</v>
      </c>
      <c r="D967" s="8">
        <v>1500.0</v>
      </c>
      <c r="E967" s="19">
        <v>0.0</v>
      </c>
      <c r="F967" s="10">
        <v>4.4</v>
      </c>
      <c r="G967" s="11">
        <v>25996.0</v>
      </c>
      <c r="K967" s="17"/>
    </row>
    <row r="968">
      <c r="A968" s="7" t="s">
        <v>1033</v>
      </c>
      <c r="B968" s="7" t="s">
        <v>647</v>
      </c>
      <c r="C968" s="8">
        <v>2640.0</v>
      </c>
      <c r="D968" s="8">
        <v>3195.0</v>
      </c>
      <c r="E968" s="19">
        <v>0.17</v>
      </c>
      <c r="F968" s="10">
        <v>4.5</v>
      </c>
      <c r="G968" s="11">
        <v>16146.0</v>
      </c>
      <c r="K968" s="17"/>
    </row>
    <row r="969">
      <c r="A969" s="7" t="s">
        <v>1034</v>
      </c>
      <c r="B969" s="7" t="s">
        <v>940</v>
      </c>
      <c r="C969" s="8">
        <v>5299.0</v>
      </c>
      <c r="D969" s="8">
        <v>6355.0</v>
      </c>
      <c r="E969" s="19">
        <v>0.17</v>
      </c>
      <c r="F969" s="10">
        <v>3.9</v>
      </c>
      <c r="G969" s="11">
        <v>8280.0</v>
      </c>
      <c r="K969" s="17"/>
    </row>
    <row r="970">
      <c r="A970" s="7" t="s">
        <v>90</v>
      </c>
      <c r="B970" s="7" t="s">
        <v>15</v>
      </c>
      <c r="C970" s="8">
        <v>263.0</v>
      </c>
      <c r="D970" s="8">
        <v>699.0</v>
      </c>
      <c r="E970" s="19">
        <v>0.62</v>
      </c>
      <c r="F970" s="10">
        <v>4.1</v>
      </c>
      <c r="G970" s="10">
        <v>450.0</v>
      </c>
      <c r="K970" s="17"/>
    </row>
    <row r="971">
      <c r="A971" s="7" t="s">
        <v>1035</v>
      </c>
      <c r="B971" s="7" t="s">
        <v>999</v>
      </c>
      <c r="C971" s="8">
        <v>1990.0</v>
      </c>
      <c r="D971" s="8">
        <v>2999.0</v>
      </c>
      <c r="E971" s="19">
        <v>0.34</v>
      </c>
      <c r="F971" s="10">
        <v>4.3</v>
      </c>
      <c r="G971" s="11">
        <v>14237.0</v>
      </c>
      <c r="K971" s="17"/>
    </row>
    <row r="972">
      <c r="A972" s="7" t="s">
        <v>1036</v>
      </c>
      <c r="B972" s="7" t="s">
        <v>1037</v>
      </c>
      <c r="C972" s="8">
        <v>1289.0</v>
      </c>
      <c r="D972" s="8">
        <v>1499.0</v>
      </c>
      <c r="E972" s="19">
        <v>0.14</v>
      </c>
      <c r="F972" s="10">
        <v>4.5</v>
      </c>
      <c r="G972" s="11">
        <v>20668.0</v>
      </c>
      <c r="K972" s="17"/>
    </row>
    <row r="973">
      <c r="A973" s="7" t="s">
        <v>1038</v>
      </c>
      <c r="B973" s="7" t="s">
        <v>817</v>
      </c>
      <c r="C973" s="8">
        <v>165.0</v>
      </c>
      <c r="D973" s="8">
        <v>165.0</v>
      </c>
      <c r="E973" s="19">
        <v>0.0</v>
      </c>
      <c r="F973" s="10">
        <v>4.5</v>
      </c>
      <c r="G973" s="11">
        <v>1674.0</v>
      </c>
      <c r="K973" s="17"/>
    </row>
    <row r="974">
      <c r="A974" s="7" t="s">
        <v>1039</v>
      </c>
      <c r="B974" s="7" t="s">
        <v>895</v>
      </c>
      <c r="C974" s="8">
        <v>1699.0</v>
      </c>
      <c r="D974" s="8">
        <v>3499.0</v>
      </c>
      <c r="E974" s="19">
        <v>0.51</v>
      </c>
      <c r="F974" s="10">
        <v>3.6</v>
      </c>
      <c r="G974" s="11">
        <v>7689.0</v>
      </c>
      <c r="K974" s="17"/>
    </row>
    <row r="975">
      <c r="A975" s="7" t="s">
        <v>1040</v>
      </c>
      <c r="B975" s="7" t="s">
        <v>769</v>
      </c>
      <c r="C975" s="8">
        <v>2299.0</v>
      </c>
      <c r="D975" s="8">
        <v>7500.0</v>
      </c>
      <c r="E975" s="19">
        <v>0.69</v>
      </c>
      <c r="F975" s="10">
        <v>4.1</v>
      </c>
      <c r="G975" s="11">
        <v>5554.0</v>
      </c>
      <c r="K975" s="17"/>
    </row>
    <row r="976">
      <c r="A976" s="7" t="s">
        <v>94</v>
      </c>
      <c r="B976" s="7" t="s">
        <v>15</v>
      </c>
      <c r="C976" s="8">
        <v>219.0</v>
      </c>
      <c r="D976" s="8">
        <v>700.0</v>
      </c>
      <c r="E976" s="19">
        <v>0.69</v>
      </c>
      <c r="F976" s="10">
        <v>4.3</v>
      </c>
      <c r="G976" s="11">
        <v>20053.0</v>
      </c>
      <c r="K976" s="17"/>
    </row>
    <row r="977">
      <c r="A977" s="7" t="s">
        <v>1041</v>
      </c>
      <c r="B977" s="7" t="s">
        <v>759</v>
      </c>
      <c r="C977" s="8">
        <v>39.0</v>
      </c>
      <c r="D977" s="8">
        <v>39.0</v>
      </c>
      <c r="E977" s="19">
        <v>0.0</v>
      </c>
      <c r="F977" s="10">
        <v>3.8</v>
      </c>
      <c r="G977" s="11">
        <v>3344.0</v>
      </c>
      <c r="K977" s="17"/>
    </row>
    <row r="978">
      <c r="A978" s="7" t="s">
        <v>1042</v>
      </c>
      <c r="B978" s="7" t="s">
        <v>1043</v>
      </c>
      <c r="C978" s="8">
        <v>26999.0</v>
      </c>
      <c r="D978" s="8">
        <v>37999.0</v>
      </c>
      <c r="E978" s="19">
        <v>0.29</v>
      </c>
      <c r="F978" s="10">
        <v>4.6</v>
      </c>
      <c r="G978" s="11">
        <v>2886.0</v>
      </c>
      <c r="K978" s="17"/>
    </row>
    <row r="979">
      <c r="A979" s="7" t="s">
        <v>1044</v>
      </c>
      <c r="B979" s="7" t="s">
        <v>393</v>
      </c>
      <c r="C979" s="8">
        <v>1490.0</v>
      </c>
      <c r="D979" s="8">
        <v>1990.0</v>
      </c>
      <c r="E979" s="19">
        <v>0.25</v>
      </c>
      <c r="F979" s="10">
        <v>4.1</v>
      </c>
      <c r="G979" s="11">
        <v>98250.0</v>
      </c>
      <c r="K979" s="17"/>
    </row>
    <row r="980">
      <c r="A980" s="7" t="s">
        <v>1045</v>
      </c>
      <c r="B980" s="7" t="s">
        <v>631</v>
      </c>
      <c r="C980" s="8">
        <v>398.0</v>
      </c>
      <c r="D980" s="8">
        <v>1949.0</v>
      </c>
      <c r="E980" s="19">
        <v>0.8</v>
      </c>
      <c r="F980" s="10">
        <v>4.0</v>
      </c>
      <c r="G980" s="10">
        <v>75.0</v>
      </c>
      <c r="K980" s="17"/>
    </row>
    <row r="981">
      <c r="A981" s="7" t="s">
        <v>95</v>
      </c>
      <c r="B981" s="7" t="s">
        <v>15</v>
      </c>
      <c r="C981" s="8">
        <v>349.0</v>
      </c>
      <c r="D981" s="8">
        <v>899.0</v>
      </c>
      <c r="E981" s="19">
        <v>0.61</v>
      </c>
      <c r="F981" s="10">
        <v>4.5</v>
      </c>
      <c r="G981" s="10">
        <v>149.0</v>
      </c>
      <c r="K981" s="17"/>
    </row>
    <row r="982">
      <c r="A982" s="7" t="s">
        <v>1046</v>
      </c>
      <c r="B982" s="7" t="s">
        <v>895</v>
      </c>
      <c r="C982" s="8">
        <v>770.0</v>
      </c>
      <c r="D982" s="8">
        <v>1547.0</v>
      </c>
      <c r="E982" s="19">
        <v>0.5</v>
      </c>
      <c r="F982" s="10">
        <v>4.3</v>
      </c>
      <c r="G982" s="11">
        <v>2585.0</v>
      </c>
      <c r="K982" s="17"/>
    </row>
    <row r="983">
      <c r="A983" s="7" t="s">
        <v>1047</v>
      </c>
      <c r="B983" s="7" t="s">
        <v>450</v>
      </c>
      <c r="C983" s="8">
        <v>279.0</v>
      </c>
      <c r="D983" s="8">
        <v>1299.0</v>
      </c>
      <c r="E983" s="19">
        <v>0.79</v>
      </c>
      <c r="F983" s="10">
        <v>4.0</v>
      </c>
      <c r="G983" s="11">
        <v>5072.0</v>
      </c>
      <c r="K983" s="17"/>
    </row>
    <row r="984">
      <c r="A984" s="7" t="s">
        <v>1048</v>
      </c>
      <c r="B984" s="7" t="s">
        <v>1049</v>
      </c>
      <c r="C984" s="8">
        <v>249.0</v>
      </c>
      <c r="D984" s="8">
        <v>599.0</v>
      </c>
      <c r="E984" s="19">
        <v>0.58</v>
      </c>
      <c r="F984" s="10">
        <v>4.5</v>
      </c>
      <c r="G984" s="11">
        <v>5985.0</v>
      </c>
      <c r="K984" s="17"/>
    </row>
    <row r="985">
      <c r="A985" s="7" t="s">
        <v>98</v>
      </c>
      <c r="B985" s="7" t="s">
        <v>15</v>
      </c>
      <c r="C985" s="8">
        <v>115.0</v>
      </c>
      <c r="D985" s="8">
        <v>499.0</v>
      </c>
      <c r="E985" s="19">
        <v>0.77</v>
      </c>
      <c r="F985" s="10">
        <v>4.0</v>
      </c>
      <c r="G985" s="11">
        <v>7732.0</v>
      </c>
      <c r="K985" s="17"/>
    </row>
    <row r="986">
      <c r="A986" s="7" t="s">
        <v>1050</v>
      </c>
      <c r="B986" s="7" t="s">
        <v>1051</v>
      </c>
      <c r="C986" s="8">
        <v>230.0</v>
      </c>
      <c r="D986" s="8">
        <v>230.0</v>
      </c>
      <c r="E986" s="19">
        <v>0.0</v>
      </c>
      <c r="F986" s="10">
        <v>4.5</v>
      </c>
      <c r="G986" s="11">
        <v>9427.0</v>
      </c>
      <c r="K986" s="17"/>
    </row>
    <row r="987">
      <c r="A987" s="7" t="s">
        <v>99</v>
      </c>
      <c r="B987" s="7" t="s">
        <v>15</v>
      </c>
      <c r="C987" s="8">
        <v>399.0</v>
      </c>
      <c r="D987" s="8">
        <v>999.0</v>
      </c>
      <c r="E987" s="19">
        <v>0.6</v>
      </c>
      <c r="F987" s="10">
        <v>4.1</v>
      </c>
      <c r="G987" s="11">
        <v>1780.0</v>
      </c>
      <c r="K987" s="17"/>
    </row>
    <row r="988">
      <c r="A988" s="7" t="s">
        <v>1052</v>
      </c>
      <c r="B988" s="7" t="s">
        <v>692</v>
      </c>
      <c r="C988" s="8">
        <v>599.0</v>
      </c>
      <c r="D988" s="8">
        <v>700.0</v>
      </c>
      <c r="E988" s="19">
        <v>0.14</v>
      </c>
      <c r="F988" s="10">
        <v>4.3</v>
      </c>
      <c r="G988" s="11">
        <v>2301.0</v>
      </c>
      <c r="K988" s="17"/>
    </row>
    <row r="989">
      <c r="A989" s="7" t="s">
        <v>1053</v>
      </c>
      <c r="B989" s="7" t="s">
        <v>1054</v>
      </c>
      <c r="C989" s="8">
        <v>598.0</v>
      </c>
      <c r="D989" s="8">
        <v>1150.0</v>
      </c>
      <c r="E989" s="19">
        <v>0.48</v>
      </c>
      <c r="F989" s="10">
        <v>4.1</v>
      </c>
      <c r="G989" s="11">
        <v>2535.0</v>
      </c>
      <c r="K989" s="17"/>
    </row>
    <row r="990">
      <c r="A990" s="7" t="s">
        <v>1055</v>
      </c>
      <c r="B990" s="7" t="s">
        <v>779</v>
      </c>
      <c r="C990" s="8">
        <v>399.0</v>
      </c>
      <c r="D990" s="8">
        <v>1499.0</v>
      </c>
      <c r="E990" s="19">
        <v>0.73</v>
      </c>
      <c r="F990" s="10">
        <v>4.0</v>
      </c>
      <c r="G990" s="10">
        <v>691.0</v>
      </c>
      <c r="K990" s="17"/>
    </row>
    <row r="991">
      <c r="A991" s="7" t="s">
        <v>1056</v>
      </c>
      <c r="B991" s="7" t="s">
        <v>631</v>
      </c>
      <c r="C991" s="8">
        <v>499.0</v>
      </c>
      <c r="D991" s="8">
        <v>1299.0</v>
      </c>
      <c r="E991" s="19">
        <v>0.62</v>
      </c>
      <c r="F991" s="10">
        <v>4.1</v>
      </c>
      <c r="G991" s="11">
        <v>2740.0</v>
      </c>
      <c r="K991" s="17"/>
    </row>
    <row r="992">
      <c r="A992" s="7" t="s">
        <v>100</v>
      </c>
      <c r="B992" s="7" t="s">
        <v>15</v>
      </c>
      <c r="C992" s="8">
        <v>199.0</v>
      </c>
      <c r="D992" s="8">
        <v>499.0</v>
      </c>
      <c r="E992" s="19">
        <v>0.6</v>
      </c>
      <c r="F992" s="10">
        <v>4.1</v>
      </c>
      <c r="G992" s="10">
        <v>602.0</v>
      </c>
      <c r="K992" s="17"/>
    </row>
    <row r="993">
      <c r="A993" s="7" t="s">
        <v>1057</v>
      </c>
      <c r="B993" s="7" t="s">
        <v>625</v>
      </c>
      <c r="C993" s="8">
        <v>579.0</v>
      </c>
      <c r="D993" s="8">
        <v>1090.0</v>
      </c>
      <c r="E993" s="19">
        <v>0.47</v>
      </c>
      <c r="F993" s="10">
        <v>4.4</v>
      </c>
      <c r="G993" s="11">
        <v>3482.0</v>
      </c>
      <c r="K993" s="17"/>
    </row>
    <row r="994">
      <c r="A994" s="7" t="s">
        <v>101</v>
      </c>
      <c r="B994" s="7" t="s">
        <v>15</v>
      </c>
      <c r="C994" s="8">
        <v>179.0</v>
      </c>
      <c r="D994" s="8">
        <v>399.0</v>
      </c>
      <c r="E994" s="19">
        <v>0.55</v>
      </c>
      <c r="F994" s="10">
        <v>4.0</v>
      </c>
      <c r="G994" s="11">
        <v>1423.0</v>
      </c>
      <c r="K994" s="17"/>
    </row>
    <row r="995">
      <c r="A995" s="7" t="s">
        <v>1058</v>
      </c>
      <c r="B995" s="7" t="s">
        <v>1059</v>
      </c>
      <c r="C995" s="8">
        <v>90.0</v>
      </c>
      <c r="D995" s="8">
        <v>100.0</v>
      </c>
      <c r="E995" s="19">
        <v>0.1</v>
      </c>
      <c r="F995" s="10">
        <v>4.1</v>
      </c>
      <c r="G995" s="11">
        <v>6199.0</v>
      </c>
      <c r="K995" s="17"/>
    </row>
    <row r="996">
      <c r="A996" s="7" t="s">
        <v>1060</v>
      </c>
      <c r="B996" s="7" t="s">
        <v>631</v>
      </c>
      <c r="C996" s="8">
        <v>899.0</v>
      </c>
      <c r="D996" s="8">
        <v>1999.0</v>
      </c>
      <c r="E996" s="19">
        <v>0.55</v>
      </c>
      <c r="F996" s="10">
        <v>4.4</v>
      </c>
      <c r="G996" s="11">
        <v>1667.0</v>
      </c>
      <c r="K996" s="17"/>
    </row>
    <row r="997">
      <c r="A997" s="7" t="s">
        <v>1061</v>
      </c>
      <c r="B997" s="7" t="s">
        <v>973</v>
      </c>
      <c r="C997" s="8">
        <v>1149.0</v>
      </c>
      <c r="D997" s="8">
        <v>1800.0</v>
      </c>
      <c r="E997" s="19">
        <v>0.36</v>
      </c>
      <c r="F997" s="10">
        <v>4.3</v>
      </c>
      <c r="G997" s="11">
        <v>4723.0</v>
      </c>
      <c r="K997" s="17"/>
    </row>
    <row r="998">
      <c r="A998" s="7" t="s">
        <v>1062</v>
      </c>
      <c r="B998" s="7" t="s">
        <v>806</v>
      </c>
      <c r="C998" s="8">
        <v>249.0</v>
      </c>
      <c r="D998" s="8">
        <v>499.0</v>
      </c>
      <c r="E998" s="19">
        <v>0.5</v>
      </c>
      <c r="F998" s="10">
        <v>4.2</v>
      </c>
      <c r="G998" s="11">
        <v>22860.0</v>
      </c>
      <c r="K998" s="17"/>
    </row>
    <row r="999">
      <c r="A999" s="7" t="s">
        <v>1063</v>
      </c>
      <c r="B999" s="7" t="s">
        <v>759</v>
      </c>
      <c r="C999" s="8">
        <v>39.0</v>
      </c>
      <c r="D999" s="8">
        <v>39.0</v>
      </c>
      <c r="E999" s="19">
        <v>0.0</v>
      </c>
      <c r="F999" s="10">
        <v>3.6</v>
      </c>
      <c r="G999" s="11">
        <v>13572.0</v>
      </c>
      <c r="K999" s="17"/>
    </row>
    <row r="1000">
      <c r="A1000" s="7" t="s">
        <v>1064</v>
      </c>
      <c r="B1000" s="7" t="s">
        <v>676</v>
      </c>
      <c r="C1000" s="8">
        <v>1599.0</v>
      </c>
      <c r="D1000" s="8">
        <v>3599.0</v>
      </c>
      <c r="E1000" s="19">
        <v>0.56</v>
      </c>
      <c r="F1000" s="10">
        <v>4.2</v>
      </c>
      <c r="G1000" s="11">
        <v>16182.0</v>
      </c>
      <c r="K1000" s="17"/>
    </row>
    <row r="1001">
      <c r="A1001" s="7" t="s">
        <v>1065</v>
      </c>
      <c r="B1001" s="7" t="s">
        <v>719</v>
      </c>
      <c r="C1001" s="8">
        <v>1199.0</v>
      </c>
      <c r="D1001" s="8">
        <v>3990.0</v>
      </c>
      <c r="E1001" s="19">
        <v>0.7</v>
      </c>
      <c r="F1001" s="10">
        <v>4.2</v>
      </c>
      <c r="G1001" s="11">
        <v>2908.0</v>
      </c>
      <c r="K1001" s="17"/>
    </row>
    <row r="1002">
      <c r="A1002" s="7" t="s">
        <v>103</v>
      </c>
      <c r="B1002" s="7" t="s">
        <v>15</v>
      </c>
      <c r="C1002" s="8">
        <v>209.0</v>
      </c>
      <c r="D1002" s="8">
        <v>499.0</v>
      </c>
      <c r="E1002" s="19">
        <v>0.58</v>
      </c>
      <c r="F1002" s="10">
        <v>3.9</v>
      </c>
      <c r="G1002" s="10">
        <v>536.0</v>
      </c>
      <c r="K1002" s="17"/>
    </row>
    <row r="1003">
      <c r="A1003" s="7" t="s">
        <v>1066</v>
      </c>
      <c r="B1003" s="7" t="s">
        <v>625</v>
      </c>
      <c r="C1003" s="8">
        <v>1099.0</v>
      </c>
      <c r="D1003" s="8">
        <v>1499.0</v>
      </c>
      <c r="E1003" s="19">
        <v>0.27</v>
      </c>
      <c r="F1003" s="10">
        <v>4.2</v>
      </c>
      <c r="G1003" s="11">
        <v>2375.0</v>
      </c>
      <c r="K1003" s="17"/>
    </row>
    <row r="1004">
      <c r="A1004" s="7" t="s">
        <v>1067</v>
      </c>
      <c r="B1004" s="7" t="s">
        <v>817</v>
      </c>
      <c r="C1004" s="8">
        <v>120.0</v>
      </c>
      <c r="D1004" s="8">
        <v>120.0</v>
      </c>
      <c r="E1004" s="19">
        <v>0.0</v>
      </c>
      <c r="F1004" s="10">
        <v>4.5</v>
      </c>
      <c r="G1004" s="11">
        <v>4951.0</v>
      </c>
      <c r="K1004" s="17"/>
    </row>
    <row r="1005">
      <c r="A1005" s="7" t="s">
        <v>1068</v>
      </c>
      <c r="B1005" s="7" t="s">
        <v>973</v>
      </c>
      <c r="C1005" s="8">
        <v>1519.0</v>
      </c>
      <c r="D1005" s="8">
        <v>3499.0</v>
      </c>
      <c r="E1005" s="19">
        <v>0.57</v>
      </c>
      <c r="F1005" s="10">
        <v>4.3</v>
      </c>
      <c r="G1005" s="10">
        <v>408.0</v>
      </c>
      <c r="K1005" s="17"/>
    </row>
    <row r="1006">
      <c r="A1006" s="7" t="s">
        <v>1069</v>
      </c>
      <c r="B1006" s="7" t="s">
        <v>1059</v>
      </c>
      <c r="C1006" s="8">
        <v>420.0</v>
      </c>
      <c r="D1006" s="8">
        <v>420.0</v>
      </c>
      <c r="E1006" s="19">
        <v>0.0</v>
      </c>
      <c r="F1006" s="10">
        <v>4.2</v>
      </c>
      <c r="G1006" s="11">
        <v>1926.0</v>
      </c>
      <c r="K1006" s="17"/>
    </row>
    <row r="1007">
      <c r="A1007" s="7" t="s">
        <v>1070</v>
      </c>
      <c r="B1007" s="7" t="s">
        <v>1071</v>
      </c>
      <c r="C1007" s="8">
        <v>225.0</v>
      </c>
      <c r="D1007" s="8">
        <v>225.0</v>
      </c>
      <c r="E1007" s="19">
        <v>0.0</v>
      </c>
      <c r="F1007" s="10">
        <v>4.1</v>
      </c>
      <c r="G1007" s="11">
        <v>4798.0</v>
      </c>
      <c r="K1007" s="17"/>
    </row>
    <row r="1008">
      <c r="A1008" s="7" t="s">
        <v>1072</v>
      </c>
      <c r="B1008" s="7" t="s">
        <v>1073</v>
      </c>
      <c r="C1008" s="8">
        <v>199.0</v>
      </c>
      <c r="D1008" s="8">
        <v>799.0</v>
      </c>
      <c r="E1008" s="19">
        <v>0.75</v>
      </c>
      <c r="F1008" s="10">
        <v>4.1</v>
      </c>
      <c r="G1008" s="11">
        <v>7333.0</v>
      </c>
      <c r="K1008" s="17"/>
    </row>
    <row r="1009">
      <c r="A1009" s="7" t="s">
        <v>604</v>
      </c>
      <c r="B1009" s="7" t="s">
        <v>441</v>
      </c>
      <c r="C1009" s="8">
        <v>1799.0</v>
      </c>
      <c r="D1009" s="8">
        <v>3999.0</v>
      </c>
      <c r="E1009" s="19">
        <v>0.55</v>
      </c>
      <c r="F1009" s="10">
        <v>4.6</v>
      </c>
      <c r="G1009" s="10">
        <v>245.0</v>
      </c>
      <c r="K1009" s="17"/>
    </row>
    <row r="1010">
      <c r="A1010" s="7" t="s">
        <v>1074</v>
      </c>
      <c r="B1010" s="7" t="s">
        <v>988</v>
      </c>
      <c r="C1010" s="8">
        <v>8349.0</v>
      </c>
      <c r="D1010" s="8">
        <v>9625.0</v>
      </c>
      <c r="E1010" s="19">
        <v>0.13</v>
      </c>
      <c r="F1010" s="10">
        <v>3.8</v>
      </c>
      <c r="G1010" s="11">
        <v>3652.0</v>
      </c>
      <c r="K1010" s="17"/>
    </row>
    <row r="1011">
      <c r="A1011" s="7" t="s">
        <v>1075</v>
      </c>
      <c r="B1011" s="7" t="s">
        <v>875</v>
      </c>
      <c r="C1011" s="8">
        <v>3307.0</v>
      </c>
      <c r="D1011" s="8">
        <v>6100.0</v>
      </c>
      <c r="E1011" s="19">
        <v>0.46</v>
      </c>
      <c r="F1011" s="10">
        <v>4.3</v>
      </c>
      <c r="G1011" s="11">
        <v>2515.0</v>
      </c>
      <c r="K1011" s="17"/>
    </row>
    <row r="1012">
      <c r="A1012" s="7" t="s">
        <v>109</v>
      </c>
      <c r="B1012" s="7" t="s">
        <v>15</v>
      </c>
      <c r="C1012" s="8">
        <v>325.0</v>
      </c>
      <c r="D1012" s="8">
        <v>1299.0</v>
      </c>
      <c r="E1012" s="19">
        <v>0.75</v>
      </c>
      <c r="F1012" s="10">
        <v>4.2</v>
      </c>
      <c r="G1012" s="11">
        <v>10576.0</v>
      </c>
      <c r="K1012" s="17"/>
    </row>
    <row r="1013">
      <c r="A1013" s="7" t="s">
        <v>1076</v>
      </c>
      <c r="B1013" s="7" t="s">
        <v>622</v>
      </c>
      <c r="C1013" s="8">
        <v>449.0</v>
      </c>
      <c r="D1013" s="8">
        <v>1300.0</v>
      </c>
      <c r="E1013" s="19">
        <v>0.65</v>
      </c>
      <c r="F1013" s="10">
        <v>4.2</v>
      </c>
      <c r="G1013" s="11">
        <v>4959.0</v>
      </c>
      <c r="K1013" s="17"/>
    </row>
    <row r="1014">
      <c r="A1014" s="7" t="s">
        <v>1077</v>
      </c>
      <c r="B1014" s="7" t="s">
        <v>652</v>
      </c>
      <c r="C1014" s="8">
        <v>380.0</v>
      </c>
      <c r="D1014" s="8">
        <v>400.0</v>
      </c>
      <c r="E1014" s="19">
        <v>0.05</v>
      </c>
      <c r="F1014" s="10">
        <v>4.4</v>
      </c>
      <c r="G1014" s="11">
        <v>2111.0</v>
      </c>
      <c r="K1014" s="17"/>
    </row>
    <row r="1015">
      <c r="A1015" s="7" t="s">
        <v>1078</v>
      </c>
      <c r="B1015" s="7" t="s">
        <v>627</v>
      </c>
      <c r="C1015" s="8">
        <v>499.0</v>
      </c>
      <c r="D1015" s="8">
        <v>1399.0</v>
      </c>
      <c r="E1015" s="19">
        <v>0.64</v>
      </c>
      <c r="F1015" s="10">
        <v>3.9</v>
      </c>
      <c r="G1015" s="11">
        <v>1462.0</v>
      </c>
      <c r="K1015" s="17"/>
    </row>
    <row r="1016">
      <c r="A1016" s="7" t="s">
        <v>1079</v>
      </c>
      <c r="B1016" s="7" t="s">
        <v>1080</v>
      </c>
      <c r="C1016" s="8">
        <v>37247.0</v>
      </c>
      <c r="D1016" s="8">
        <v>59890.0</v>
      </c>
      <c r="E1016" s="19">
        <v>0.38</v>
      </c>
      <c r="F1016" s="10">
        <v>4.0</v>
      </c>
      <c r="G1016" s="10">
        <v>323.0</v>
      </c>
      <c r="K1016" s="17"/>
    </row>
    <row r="1017">
      <c r="A1017" s="7" t="s">
        <v>1081</v>
      </c>
      <c r="B1017" s="7" t="s">
        <v>572</v>
      </c>
      <c r="C1017" s="8">
        <v>849.0</v>
      </c>
      <c r="D1017" s="8">
        <v>2490.0</v>
      </c>
      <c r="E1017" s="19">
        <v>0.66</v>
      </c>
      <c r="F1017" s="10">
        <v>4.2</v>
      </c>
      <c r="G1017" s="11">
        <v>91188.0</v>
      </c>
      <c r="K1017" s="17"/>
    </row>
    <row r="1018">
      <c r="A1018" s="7" t="s">
        <v>1082</v>
      </c>
      <c r="B1018" s="7" t="s">
        <v>804</v>
      </c>
      <c r="C1018" s="8">
        <v>799.0</v>
      </c>
      <c r="D1018" s="8">
        <v>1999.0</v>
      </c>
      <c r="E1018" s="19">
        <v>0.6</v>
      </c>
      <c r="F1018" s="10">
        <v>3.7</v>
      </c>
      <c r="G1018" s="10">
        <v>418.0</v>
      </c>
      <c r="K1018" s="17"/>
    </row>
    <row r="1019">
      <c r="A1019" s="7" t="s">
        <v>616</v>
      </c>
      <c r="B1019" s="7" t="s">
        <v>502</v>
      </c>
      <c r="C1019" s="8">
        <v>2599.0</v>
      </c>
      <c r="D1019" s="8">
        <v>6999.0</v>
      </c>
      <c r="E1019" s="19">
        <v>0.63</v>
      </c>
      <c r="F1019" s="10">
        <v>4.5</v>
      </c>
      <c r="G1019" s="11">
        <v>1526.0</v>
      </c>
      <c r="K1019" s="17"/>
    </row>
    <row r="1020">
      <c r="A1020" s="7" t="s">
        <v>113</v>
      </c>
      <c r="B1020" s="7" t="s">
        <v>15</v>
      </c>
      <c r="C1020" s="8">
        <v>199.0</v>
      </c>
      <c r="D1020" s="8">
        <v>999.0</v>
      </c>
      <c r="E1020" s="19">
        <v>0.8</v>
      </c>
      <c r="F1020" s="10">
        <v>4.5</v>
      </c>
      <c r="G1020" s="10">
        <v>127.0</v>
      </c>
      <c r="K1020" s="17"/>
    </row>
    <row r="1021">
      <c r="A1021" s="7" t="s">
        <v>115</v>
      </c>
      <c r="B1021" s="7" t="s">
        <v>25</v>
      </c>
      <c r="C1021" s="8">
        <v>269.0</v>
      </c>
      <c r="D1021" s="8">
        <v>800.0</v>
      </c>
      <c r="E1021" s="19">
        <v>0.66</v>
      </c>
      <c r="F1021" s="10">
        <v>3.6</v>
      </c>
      <c r="G1021" s="11">
        <v>10134.0</v>
      </c>
      <c r="K1021" s="17"/>
    </row>
    <row r="1022">
      <c r="A1022" s="7" t="s">
        <v>1083</v>
      </c>
      <c r="B1022" s="7" t="s">
        <v>759</v>
      </c>
      <c r="C1022" s="8">
        <v>298.0</v>
      </c>
      <c r="D1022" s="8">
        <v>999.0</v>
      </c>
      <c r="E1022" s="19">
        <v>0.7</v>
      </c>
      <c r="F1022" s="10">
        <v>4.3</v>
      </c>
      <c r="G1022" s="11">
        <v>1552.0</v>
      </c>
      <c r="K1022" s="17"/>
    </row>
    <row r="1023">
      <c r="A1023" s="7" t="s">
        <v>1084</v>
      </c>
      <c r="B1023" s="7" t="s">
        <v>804</v>
      </c>
      <c r="C1023" s="8">
        <v>1499.0</v>
      </c>
      <c r="D1023" s="8">
        <v>2999.0</v>
      </c>
      <c r="E1023" s="19">
        <v>0.5</v>
      </c>
      <c r="F1023" s="10">
        <v>4.1</v>
      </c>
      <c r="G1023" s="11">
        <v>25262.0</v>
      </c>
      <c r="K1023" s="17"/>
    </row>
    <row r="1024">
      <c r="A1024" s="7" t="s">
        <v>1085</v>
      </c>
      <c r="B1024" s="7" t="s">
        <v>1086</v>
      </c>
      <c r="C1024" s="8">
        <v>649.0</v>
      </c>
      <c r="D1024" s="8">
        <v>1245.0</v>
      </c>
      <c r="E1024" s="19">
        <v>0.48</v>
      </c>
      <c r="F1024" s="10">
        <v>3.9</v>
      </c>
      <c r="G1024" s="7" t="s">
        <v>1087</v>
      </c>
      <c r="K1024" s="17"/>
    </row>
    <row r="1025">
      <c r="A1025" s="7" t="s">
        <v>1088</v>
      </c>
      <c r="B1025" s="7" t="s">
        <v>1089</v>
      </c>
      <c r="C1025" s="8">
        <v>1199.0</v>
      </c>
      <c r="D1025" s="8">
        <v>1695.0</v>
      </c>
      <c r="E1025" s="19">
        <v>0.29</v>
      </c>
      <c r="F1025" s="10">
        <v>3.6</v>
      </c>
      <c r="G1025" s="11">
        <v>13300.0</v>
      </c>
      <c r="K1025" s="17"/>
    </row>
    <row r="1026">
      <c r="A1026" s="7" t="s">
        <v>1090</v>
      </c>
      <c r="B1026" s="7" t="s">
        <v>1091</v>
      </c>
      <c r="C1026" s="8">
        <v>1199.0</v>
      </c>
      <c r="D1026" s="8">
        <v>2000.0</v>
      </c>
      <c r="E1026" s="19">
        <v>0.4</v>
      </c>
      <c r="F1026" s="10">
        <v>4.0</v>
      </c>
      <c r="G1026" s="11">
        <v>18543.0</v>
      </c>
      <c r="K1026" s="17"/>
    </row>
    <row r="1027">
      <c r="A1027" s="7" t="s">
        <v>1092</v>
      </c>
      <c r="B1027" s="7" t="s">
        <v>1093</v>
      </c>
      <c r="C1027" s="8">
        <v>455.0</v>
      </c>
      <c r="D1027" s="8">
        <v>999.0</v>
      </c>
      <c r="E1027" s="19">
        <v>0.54</v>
      </c>
      <c r="F1027" s="10">
        <v>4.1</v>
      </c>
      <c r="G1027" s="11">
        <v>3578.0</v>
      </c>
      <c r="K1027" s="17"/>
    </row>
    <row r="1028">
      <c r="A1028" s="7" t="s">
        <v>1094</v>
      </c>
      <c r="B1028" s="7" t="s">
        <v>1095</v>
      </c>
      <c r="C1028" s="8">
        <v>199.0</v>
      </c>
      <c r="D1028" s="8">
        <v>1999.0</v>
      </c>
      <c r="E1028" s="19">
        <v>0.9</v>
      </c>
      <c r="F1028" s="10">
        <v>3.7</v>
      </c>
      <c r="G1028" s="11">
        <v>2031.0</v>
      </c>
      <c r="K1028" s="17"/>
    </row>
    <row r="1029">
      <c r="A1029" s="7" t="s">
        <v>1096</v>
      </c>
      <c r="B1029" s="7" t="s">
        <v>1095</v>
      </c>
      <c r="C1029" s="8">
        <v>293.0</v>
      </c>
      <c r="D1029" s="8">
        <v>499.0</v>
      </c>
      <c r="E1029" s="19">
        <v>0.41</v>
      </c>
      <c r="F1029" s="10">
        <v>3.9</v>
      </c>
      <c r="G1029" s="11">
        <v>44994.0</v>
      </c>
      <c r="K1029" s="17"/>
    </row>
    <row r="1030">
      <c r="A1030" s="7" t="s">
        <v>1097</v>
      </c>
      <c r="B1030" s="7" t="s">
        <v>1098</v>
      </c>
      <c r="C1030" s="8">
        <v>199.0</v>
      </c>
      <c r="D1030" s="8">
        <v>495.0</v>
      </c>
      <c r="E1030" s="19">
        <v>0.6</v>
      </c>
      <c r="F1030" s="10">
        <v>4.1</v>
      </c>
      <c r="G1030" s="7" t="s">
        <v>1099</v>
      </c>
      <c r="K1030" s="17"/>
    </row>
    <row r="1031">
      <c r="A1031" s="7" t="s">
        <v>1100</v>
      </c>
      <c r="B1031" s="7" t="s">
        <v>1086</v>
      </c>
      <c r="C1031" s="8">
        <v>749.0</v>
      </c>
      <c r="D1031" s="8">
        <v>1245.0</v>
      </c>
      <c r="E1031" s="19">
        <v>0.4</v>
      </c>
      <c r="F1031" s="10">
        <v>3.9</v>
      </c>
      <c r="G1031" s="11">
        <v>31783.0</v>
      </c>
      <c r="K1031" s="17"/>
    </row>
    <row r="1032">
      <c r="A1032" s="7" t="s">
        <v>1101</v>
      </c>
      <c r="B1032" s="7" t="s">
        <v>1089</v>
      </c>
      <c r="C1032" s="8">
        <v>1399.0</v>
      </c>
      <c r="D1032" s="8">
        <v>1549.0</v>
      </c>
      <c r="E1032" s="19">
        <v>0.1</v>
      </c>
      <c r="F1032" s="10">
        <v>3.9</v>
      </c>
      <c r="G1032" s="11">
        <v>2602.0</v>
      </c>
      <c r="K1032" s="17"/>
    </row>
    <row r="1033">
      <c r="A1033" s="7" t="s">
        <v>1102</v>
      </c>
      <c r="B1033" s="7" t="s">
        <v>1086</v>
      </c>
      <c r="C1033" s="8">
        <v>749.0</v>
      </c>
      <c r="D1033" s="8">
        <v>1445.0</v>
      </c>
      <c r="E1033" s="19">
        <v>0.48</v>
      </c>
      <c r="F1033" s="10">
        <v>3.9</v>
      </c>
      <c r="G1033" s="11">
        <v>63350.0</v>
      </c>
      <c r="K1033" s="17"/>
    </row>
    <row r="1034">
      <c r="A1034" s="7" t="s">
        <v>1103</v>
      </c>
      <c r="B1034" s="7" t="s">
        <v>1104</v>
      </c>
      <c r="C1034" s="8">
        <v>1699.0</v>
      </c>
      <c r="D1034" s="8">
        <v>3193.0</v>
      </c>
      <c r="E1034" s="19">
        <v>0.47</v>
      </c>
      <c r="F1034" s="10">
        <v>3.8</v>
      </c>
      <c r="G1034" s="11">
        <v>54032.0</v>
      </c>
      <c r="K1034" s="17"/>
    </row>
    <row r="1035">
      <c r="A1035" s="7" t="s">
        <v>1105</v>
      </c>
      <c r="B1035" s="7" t="s">
        <v>1086</v>
      </c>
      <c r="C1035" s="8">
        <v>1043.0</v>
      </c>
      <c r="D1035" s="8">
        <v>1345.0</v>
      </c>
      <c r="E1035" s="19">
        <v>0.22</v>
      </c>
      <c r="F1035" s="10">
        <v>3.8</v>
      </c>
      <c r="G1035" s="11">
        <v>15592.0</v>
      </c>
      <c r="K1035" s="17"/>
    </row>
    <row r="1036">
      <c r="A1036" s="7" t="s">
        <v>1106</v>
      </c>
      <c r="B1036" s="7" t="s">
        <v>1093</v>
      </c>
      <c r="C1036" s="8">
        <v>499.0</v>
      </c>
      <c r="D1036" s="8">
        <v>999.0</v>
      </c>
      <c r="E1036" s="19">
        <v>0.5</v>
      </c>
      <c r="F1036" s="10">
        <v>4.1</v>
      </c>
      <c r="G1036" s="11">
        <v>4859.0</v>
      </c>
      <c r="K1036" s="17"/>
    </row>
    <row r="1037">
      <c r="A1037" s="7" t="s">
        <v>1107</v>
      </c>
      <c r="B1037" s="7" t="s">
        <v>1091</v>
      </c>
      <c r="C1037" s="8">
        <v>1464.0</v>
      </c>
      <c r="D1037" s="8">
        <v>1650.0</v>
      </c>
      <c r="E1037" s="19">
        <v>0.11</v>
      </c>
      <c r="F1037" s="10">
        <v>4.1</v>
      </c>
      <c r="G1037" s="11">
        <v>14120.0</v>
      </c>
      <c r="K1037" s="17"/>
    </row>
    <row r="1038">
      <c r="A1038" s="7" t="s">
        <v>1108</v>
      </c>
      <c r="B1038" s="7" t="s">
        <v>1109</v>
      </c>
      <c r="C1038" s="8">
        <v>249.0</v>
      </c>
      <c r="D1038" s="8">
        <v>499.0</v>
      </c>
      <c r="E1038" s="19">
        <v>0.5</v>
      </c>
      <c r="F1038" s="10">
        <v>3.3</v>
      </c>
      <c r="G1038" s="11">
        <v>8427.0</v>
      </c>
      <c r="K1038" s="17"/>
    </row>
    <row r="1039">
      <c r="A1039" s="7" t="s">
        <v>1110</v>
      </c>
      <c r="B1039" s="7" t="s">
        <v>1111</v>
      </c>
      <c r="C1039" s="8">
        <v>625.0</v>
      </c>
      <c r="D1039" s="8">
        <v>1400.0</v>
      </c>
      <c r="E1039" s="19">
        <v>0.55</v>
      </c>
      <c r="F1039" s="10">
        <v>4.2</v>
      </c>
      <c r="G1039" s="11">
        <v>23316.0</v>
      </c>
      <c r="K1039" s="17"/>
    </row>
    <row r="1040">
      <c r="A1040" s="7" t="s">
        <v>1112</v>
      </c>
      <c r="B1040" s="7" t="s">
        <v>1113</v>
      </c>
      <c r="C1040" s="8">
        <v>1290.0</v>
      </c>
      <c r="D1040" s="8">
        <v>2500.0</v>
      </c>
      <c r="E1040" s="19">
        <v>0.48</v>
      </c>
      <c r="F1040" s="10">
        <v>4.0</v>
      </c>
      <c r="G1040" s="11">
        <v>6530.0</v>
      </c>
      <c r="K1040" s="17"/>
    </row>
    <row r="1041">
      <c r="A1041" s="7" t="s">
        <v>1114</v>
      </c>
      <c r="B1041" s="7" t="s">
        <v>1115</v>
      </c>
      <c r="C1041" s="8">
        <v>3600.0</v>
      </c>
      <c r="D1041" s="8">
        <v>6190.0</v>
      </c>
      <c r="E1041" s="19">
        <v>0.42</v>
      </c>
      <c r="F1041" s="10">
        <v>4.3</v>
      </c>
      <c r="G1041" s="11">
        <v>11924.0</v>
      </c>
      <c r="K1041" s="17"/>
    </row>
    <row r="1042">
      <c r="A1042" s="7" t="s">
        <v>1116</v>
      </c>
      <c r="B1042" s="7" t="s">
        <v>1117</v>
      </c>
      <c r="C1042" s="8">
        <v>6549.0</v>
      </c>
      <c r="D1042" s="8">
        <v>13999.0</v>
      </c>
      <c r="E1042" s="19">
        <v>0.53</v>
      </c>
      <c r="F1042" s="10">
        <v>4.0</v>
      </c>
      <c r="G1042" s="11">
        <v>2961.0</v>
      </c>
      <c r="K1042" s="17"/>
    </row>
    <row r="1043">
      <c r="A1043" s="7" t="s">
        <v>1118</v>
      </c>
      <c r="B1043" s="7" t="s">
        <v>1086</v>
      </c>
      <c r="C1043" s="8">
        <v>1625.0</v>
      </c>
      <c r="D1043" s="8">
        <v>2995.0</v>
      </c>
      <c r="E1043" s="19">
        <v>0.46</v>
      </c>
      <c r="F1043" s="10">
        <v>4.5</v>
      </c>
      <c r="G1043" s="11">
        <v>23484.0</v>
      </c>
      <c r="K1043" s="17"/>
    </row>
    <row r="1044">
      <c r="A1044" s="7" t="s">
        <v>1119</v>
      </c>
      <c r="B1044" s="7" t="s">
        <v>1115</v>
      </c>
      <c r="C1044" s="8">
        <v>2599.0</v>
      </c>
      <c r="D1044" s="8">
        <v>5890.0</v>
      </c>
      <c r="E1044" s="19">
        <v>0.56</v>
      </c>
      <c r="F1044" s="10">
        <v>4.1</v>
      </c>
      <c r="G1044" s="11">
        <v>21783.0</v>
      </c>
      <c r="K1044" s="17"/>
    </row>
    <row r="1045">
      <c r="A1045" s="7" t="s">
        <v>1120</v>
      </c>
      <c r="B1045" s="7" t="s">
        <v>1121</v>
      </c>
      <c r="C1045" s="8">
        <v>1199.0</v>
      </c>
      <c r="D1045" s="8">
        <v>2000.0</v>
      </c>
      <c r="E1045" s="19">
        <v>0.4</v>
      </c>
      <c r="F1045" s="10">
        <v>4.0</v>
      </c>
      <c r="G1045" s="11">
        <v>14030.0</v>
      </c>
      <c r="K1045" s="17"/>
    </row>
    <row r="1046">
      <c r="A1046" s="7" t="s">
        <v>1122</v>
      </c>
      <c r="B1046" s="7" t="s">
        <v>1123</v>
      </c>
      <c r="C1046" s="8">
        <v>5499.0</v>
      </c>
      <c r="D1046" s="8">
        <v>13150.0</v>
      </c>
      <c r="E1046" s="19">
        <v>0.58</v>
      </c>
      <c r="F1046" s="10">
        <v>4.2</v>
      </c>
      <c r="G1046" s="11">
        <v>6398.0</v>
      </c>
      <c r="K1046" s="17"/>
    </row>
    <row r="1047">
      <c r="A1047" s="7" t="s">
        <v>1124</v>
      </c>
      <c r="B1047" s="7" t="s">
        <v>1113</v>
      </c>
      <c r="C1047" s="8">
        <v>1299.0</v>
      </c>
      <c r="D1047" s="8">
        <v>3500.0</v>
      </c>
      <c r="E1047" s="19">
        <v>0.63</v>
      </c>
      <c r="F1047" s="10">
        <v>3.8</v>
      </c>
      <c r="G1047" s="11">
        <v>44050.0</v>
      </c>
      <c r="K1047" s="17"/>
    </row>
    <row r="1048">
      <c r="A1048" s="7" t="s">
        <v>1125</v>
      </c>
      <c r="B1048" s="7" t="s">
        <v>1111</v>
      </c>
      <c r="C1048" s="8">
        <v>599.0</v>
      </c>
      <c r="D1048" s="8">
        <v>785.0</v>
      </c>
      <c r="E1048" s="19">
        <v>0.24</v>
      </c>
      <c r="F1048" s="10">
        <v>4.2</v>
      </c>
      <c r="G1048" s="11">
        <v>24247.0</v>
      </c>
      <c r="K1048" s="17"/>
    </row>
    <row r="1049">
      <c r="A1049" s="7" t="s">
        <v>1126</v>
      </c>
      <c r="B1049" s="7" t="s">
        <v>1113</v>
      </c>
      <c r="C1049" s="8">
        <v>1999.0</v>
      </c>
      <c r="D1049" s="8">
        <v>3210.0</v>
      </c>
      <c r="E1049" s="19">
        <v>0.38</v>
      </c>
      <c r="F1049" s="10">
        <v>4.2</v>
      </c>
      <c r="G1049" s="11">
        <v>41349.0</v>
      </c>
      <c r="K1049" s="17"/>
    </row>
    <row r="1050">
      <c r="A1050" s="7" t="s">
        <v>1127</v>
      </c>
      <c r="B1050" s="7" t="s">
        <v>1121</v>
      </c>
      <c r="C1050" s="8">
        <v>549.0</v>
      </c>
      <c r="D1050" s="8">
        <v>1000.0</v>
      </c>
      <c r="E1050" s="19">
        <v>0.45</v>
      </c>
      <c r="F1050" s="10">
        <v>3.6</v>
      </c>
      <c r="G1050" s="11">
        <v>1074.0</v>
      </c>
      <c r="K1050" s="17"/>
    </row>
    <row r="1051">
      <c r="A1051" s="7" t="s">
        <v>1128</v>
      </c>
      <c r="B1051" s="7" t="s">
        <v>1089</v>
      </c>
      <c r="C1051" s="8">
        <v>999.0</v>
      </c>
      <c r="D1051" s="8">
        <v>2000.0</v>
      </c>
      <c r="E1051" s="19">
        <v>0.5</v>
      </c>
      <c r="F1051" s="10">
        <v>3.8</v>
      </c>
      <c r="G1051" s="11">
        <v>1163.0</v>
      </c>
      <c r="K1051" s="17"/>
    </row>
    <row r="1052">
      <c r="A1052" s="7" t="s">
        <v>1129</v>
      </c>
      <c r="B1052" s="7" t="s">
        <v>1093</v>
      </c>
      <c r="C1052" s="8">
        <v>398.0</v>
      </c>
      <c r="D1052" s="8">
        <v>1999.0</v>
      </c>
      <c r="E1052" s="19">
        <v>0.8</v>
      </c>
      <c r="F1052" s="10">
        <v>4.1</v>
      </c>
      <c r="G1052" s="10">
        <v>257.0</v>
      </c>
      <c r="K1052" s="17"/>
    </row>
    <row r="1053">
      <c r="A1053" s="7" t="s">
        <v>1130</v>
      </c>
      <c r="B1053" s="7" t="s">
        <v>1131</v>
      </c>
      <c r="C1053" s="8">
        <v>539.0</v>
      </c>
      <c r="D1053" s="8">
        <v>720.0</v>
      </c>
      <c r="E1053" s="19">
        <v>0.25</v>
      </c>
      <c r="F1053" s="10">
        <v>4.1</v>
      </c>
      <c r="G1053" s="11">
        <v>36017.0</v>
      </c>
      <c r="K1053" s="17"/>
    </row>
    <row r="1054">
      <c r="A1054" s="7" t="s">
        <v>1132</v>
      </c>
      <c r="B1054" s="7" t="s">
        <v>1086</v>
      </c>
      <c r="C1054" s="8">
        <v>699.0</v>
      </c>
      <c r="D1054" s="8">
        <v>1595.0</v>
      </c>
      <c r="E1054" s="19">
        <v>0.56</v>
      </c>
      <c r="F1054" s="10">
        <v>4.1</v>
      </c>
      <c r="G1054" s="11">
        <v>8090.0</v>
      </c>
      <c r="K1054" s="17"/>
    </row>
    <row r="1055">
      <c r="A1055" s="7" t="s">
        <v>1133</v>
      </c>
      <c r="B1055" s="7" t="s">
        <v>1104</v>
      </c>
      <c r="C1055" s="8">
        <v>2148.0</v>
      </c>
      <c r="D1055" s="8">
        <v>3645.0</v>
      </c>
      <c r="E1055" s="19">
        <v>0.41</v>
      </c>
      <c r="F1055" s="10">
        <v>4.1</v>
      </c>
      <c r="G1055" s="11">
        <v>31388.0</v>
      </c>
      <c r="K1055" s="17"/>
    </row>
    <row r="1056">
      <c r="A1056" s="7" t="s">
        <v>1134</v>
      </c>
      <c r="B1056" s="7" t="s">
        <v>1135</v>
      </c>
      <c r="C1056" s="8">
        <v>3599.0</v>
      </c>
      <c r="D1056" s="8">
        <v>7950.0</v>
      </c>
      <c r="E1056" s="19">
        <v>0.55</v>
      </c>
      <c r="F1056" s="10">
        <v>4.2</v>
      </c>
      <c r="G1056" s="10">
        <v>136.0</v>
      </c>
      <c r="K1056" s="17"/>
    </row>
    <row r="1057">
      <c r="A1057" s="7" t="s">
        <v>1136</v>
      </c>
      <c r="B1057" s="7" t="s">
        <v>1137</v>
      </c>
      <c r="C1057" s="8">
        <v>351.0</v>
      </c>
      <c r="D1057" s="8">
        <v>999.0</v>
      </c>
      <c r="E1057" s="19">
        <v>0.65</v>
      </c>
      <c r="F1057" s="10">
        <v>4.0</v>
      </c>
      <c r="G1057" s="11">
        <v>5380.0</v>
      </c>
      <c r="K1057" s="17"/>
    </row>
    <row r="1058">
      <c r="A1058" s="7" t="s">
        <v>1138</v>
      </c>
      <c r="B1058" s="7" t="s">
        <v>1139</v>
      </c>
      <c r="C1058" s="8">
        <v>1614.0</v>
      </c>
      <c r="D1058" s="8">
        <v>1745.0</v>
      </c>
      <c r="E1058" s="19">
        <v>0.08</v>
      </c>
      <c r="F1058" s="10">
        <v>4.3</v>
      </c>
      <c r="G1058" s="11">
        <v>37974.0</v>
      </c>
      <c r="K1058" s="17"/>
    </row>
    <row r="1059">
      <c r="A1059" s="7" t="s">
        <v>1140</v>
      </c>
      <c r="B1059" s="7" t="s">
        <v>1131</v>
      </c>
      <c r="C1059" s="8">
        <v>719.0</v>
      </c>
      <c r="D1059" s="8">
        <v>1295.0</v>
      </c>
      <c r="E1059" s="19">
        <v>0.44</v>
      </c>
      <c r="F1059" s="10">
        <v>4.2</v>
      </c>
      <c r="G1059" s="11">
        <v>17218.0</v>
      </c>
      <c r="K1059" s="17"/>
    </row>
    <row r="1060">
      <c r="A1060" s="7" t="s">
        <v>1141</v>
      </c>
      <c r="B1060" s="7" t="s">
        <v>1093</v>
      </c>
      <c r="C1060" s="8">
        <v>678.0</v>
      </c>
      <c r="D1060" s="8">
        <v>1499.0</v>
      </c>
      <c r="E1060" s="19">
        <v>0.55</v>
      </c>
      <c r="F1060" s="10">
        <v>4.2</v>
      </c>
      <c r="G1060" s="10">
        <v>900.0</v>
      </c>
      <c r="K1060" s="17"/>
    </row>
    <row r="1061">
      <c r="A1061" s="7" t="s">
        <v>1142</v>
      </c>
      <c r="B1061" s="7" t="s">
        <v>1121</v>
      </c>
      <c r="C1061" s="8">
        <v>809.0</v>
      </c>
      <c r="D1061" s="8">
        <v>1545.0</v>
      </c>
      <c r="E1061" s="19">
        <v>0.48</v>
      </c>
      <c r="F1061" s="10">
        <v>3.7</v>
      </c>
      <c r="G1061" s="10">
        <v>976.0</v>
      </c>
      <c r="K1061" s="17"/>
    </row>
    <row r="1062">
      <c r="A1062" s="7" t="s">
        <v>1143</v>
      </c>
      <c r="B1062" s="7" t="s">
        <v>1144</v>
      </c>
      <c r="C1062" s="8">
        <v>1969.0</v>
      </c>
      <c r="D1062" s="8">
        <v>5000.0</v>
      </c>
      <c r="E1062" s="19">
        <v>0.61</v>
      </c>
      <c r="F1062" s="10">
        <v>4.1</v>
      </c>
      <c r="G1062" s="11">
        <v>4927.0</v>
      </c>
      <c r="K1062" s="17"/>
    </row>
    <row r="1063">
      <c r="A1063" s="7" t="s">
        <v>1145</v>
      </c>
      <c r="B1063" s="7" t="s">
        <v>1093</v>
      </c>
      <c r="C1063" s="8">
        <v>1490.0</v>
      </c>
      <c r="D1063" s="8">
        <v>1695.0</v>
      </c>
      <c r="E1063" s="19">
        <v>0.12</v>
      </c>
      <c r="F1063" s="10">
        <v>4.4</v>
      </c>
      <c r="G1063" s="11">
        <v>3543.0</v>
      </c>
      <c r="K1063" s="17"/>
    </row>
    <row r="1064">
      <c r="A1064" s="7" t="s">
        <v>1146</v>
      </c>
      <c r="B1064" s="7" t="s">
        <v>1089</v>
      </c>
      <c r="C1064" s="8">
        <v>2499.0</v>
      </c>
      <c r="D1064" s="8">
        <v>3945.0</v>
      </c>
      <c r="E1064" s="19">
        <v>0.37</v>
      </c>
      <c r="F1064" s="10">
        <v>3.8</v>
      </c>
      <c r="G1064" s="11">
        <v>2732.0</v>
      </c>
      <c r="K1064" s="17"/>
    </row>
    <row r="1065">
      <c r="A1065" s="7" t="s">
        <v>1147</v>
      </c>
      <c r="B1065" s="7" t="s">
        <v>1148</v>
      </c>
      <c r="C1065" s="8">
        <v>1665.0</v>
      </c>
      <c r="D1065" s="8">
        <v>2099.0</v>
      </c>
      <c r="E1065" s="19">
        <v>0.21</v>
      </c>
      <c r="F1065" s="10">
        <v>4.0</v>
      </c>
      <c r="G1065" s="11">
        <v>14368.0</v>
      </c>
      <c r="K1065" s="17"/>
    </row>
    <row r="1066">
      <c r="A1066" s="7" t="s">
        <v>1149</v>
      </c>
      <c r="B1066" s="7" t="s">
        <v>1104</v>
      </c>
      <c r="C1066" s="8">
        <v>3229.0</v>
      </c>
      <c r="D1066" s="8">
        <v>5295.0</v>
      </c>
      <c r="E1066" s="19">
        <v>0.39</v>
      </c>
      <c r="F1066" s="10">
        <v>4.2</v>
      </c>
      <c r="G1066" s="11">
        <v>39724.0</v>
      </c>
      <c r="K1066" s="17"/>
    </row>
    <row r="1067">
      <c r="A1067" s="7" t="s">
        <v>1150</v>
      </c>
      <c r="B1067" s="7" t="s">
        <v>1104</v>
      </c>
      <c r="C1067" s="8">
        <v>1799.0</v>
      </c>
      <c r="D1067" s="8">
        <v>3595.0</v>
      </c>
      <c r="E1067" s="19">
        <v>0.5</v>
      </c>
      <c r="F1067" s="10">
        <v>3.8</v>
      </c>
      <c r="G1067" s="11">
        <v>9791.0</v>
      </c>
      <c r="K1067" s="17"/>
    </row>
    <row r="1068">
      <c r="A1068" s="7" t="s">
        <v>1151</v>
      </c>
      <c r="B1068" s="7" t="s">
        <v>1086</v>
      </c>
      <c r="C1068" s="8">
        <v>1260.0</v>
      </c>
      <c r="D1068" s="8">
        <v>1699.0</v>
      </c>
      <c r="E1068" s="19">
        <v>0.26</v>
      </c>
      <c r="F1068" s="10">
        <v>4.2</v>
      </c>
      <c r="G1068" s="11">
        <v>2891.0</v>
      </c>
      <c r="K1068" s="17"/>
    </row>
    <row r="1069">
      <c r="A1069" s="7" t="s">
        <v>1152</v>
      </c>
      <c r="B1069" s="7" t="s">
        <v>1089</v>
      </c>
      <c r="C1069" s="8">
        <v>749.0</v>
      </c>
      <c r="D1069" s="8">
        <v>1129.0</v>
      </c>
      <c r="E1069" s="19">
        <v>0.34</v>
      </c>
      <c r="F1069" s="10">
        <v>4.0</v>
      </c>
      <c r="G1069" s="11">
        <v>2446.0</v>
      </c>
      <c r="K1069" s="17"/>
    </row>
    <row r="1070">
      <c r="A1070" s="7" t="s">
        <v>1153</v>
      </c>
      <c r="B1070" s="7" t="s">
        <v>1113</v>
      </c>
      <c r="C1070" s="8">
        <v>3499.0</v>
      </c>
      <c r="D1070" s="8">
        <v>5795.0</v>
      </c>
      <c r="E1070" s="19">
        <v>0.4</v>
      </c>
      <c r="F1070" s="10">
        <v>3.9</v>
      </c>
      <c r="G1070" s="11">
        <v>25340.0</v>
      </c>
      <c r="K1070" s="17"/>
    </row>
    <row r="1071">
      <c r="A1071" s="7" t="s">
        <v>1154</v>
      </c>
      <c r="B1071" s="7" t="s">
        <v>1155</v>
      </c>
      <c r="C1071" s="8">
        <v>379.0</v>
      </c>
      <c r="D1071" s="8">
        <v>999.0</v>
      </c>
      <c r="E1071" s="19">
        <v>0.62</v>
      </c>
      <c r="F1071" s="10">
        <v>4.3</v>
      </c>
      <c r="G1071" s="11">
        <v>3096.0</v>
      </c>
      <c r="K1071" s="17"/>
    </row>
    <row r="1072">
      <c r="A1072" s="7" t="s">
        <v>1156</v>
      </c>
      <c r="B1072" s="7" t="s">
        <v>1089</v>
      </c>
      <c r="C1072" s="8">
        <v>1099.0</v>
      </c>
      <c r="D1072" s="8">
        <v>2400.0</v>
      </c>
      <c r="E1072" s="19">
        <v>0.54</v>
      </c>
      <c r="F1072" s="10">
        <v>3.8</v>
      </c>
      <c r="G1072" s="10">
        <v>4.0</v>
      </c>
      <c r="K1072" s="17"/>
    </row>
    <row r="1073">
      <c r="A1073" s="7" t="s">
        <v>1157</v>
      </c>
      <c r="B1073" s="7" t="s">
        <v>1121</v>
      </c>
      <c r="C1073" s="8">
        <v>749.0</v>
      </c>
      <c r="D1073" s="8">
        <v>1299.0</v>
      </c>
      <c r="E1073" s="19">
        <v>0.42</v>
      </c>
      <c r="F1073" s="10">
        <v>4.0</v>
      </c>
      <c r="G1073" s="10">
        <v>119.0</v>
      </c>
      <c r="K1073" s="17"/>
    </row>
    <row r="1074">
      <c r="A1074" s="7" t="s">
        <v>1158</v>
      </c>
      <c r="B1074" s="7" t="s">
        <v>1159</v>
      </c>
      <c r="C1074" s="8">
        <v>1299.0</v>
      </c>
      <c r="D1074" s="8">
        <v>1299.0</v>
      </c>
      <c r="E1074" s="19">
        <v>0.0</v>
      </c>
      <c r="F1074" s="10">
        <v>4.2</v>
      </c>
      <c r="G1074" s="11">
        <v>40106.0</v>
      </c>
      <c r="K1074" s="17"/>
    </row>
    <row r="1075">
      <c r="A1075" s="7" t="s">
        <v>1160</v>
      </c>
      <c r="B1075" s="7" t="s">
        <v>1111</v>
      </c>
      <c r="C1075" s="8">
        <v>549.0</v>
      </c>
      <c r="D1075" s="8">
        <v>1090.0</v>
      </c>
      <c r="E1075" s="19">
        <v>0.5</v>
      </c>
      <c r="F1075" s="10">
        <v>4.2</v>
      </c>
      <c r="G1075" s="11">
        <v>13029.0</v>
      </c>
      <c r="K1075" s="17"/>
    </row>
    <row r="1076">
      <c r="A1076" s="7" t="s">
        <v>1161</v>
      </c>
      <c r="B1076" s="7" t="s">
        <v>1091</v>
      </c>
      <c r="C1076" s="8">
        <v>899.0</v>
      </c>
      <c r="D1076" s="8">
        <v>2000.0</v>
      </c>
      <c r="E1076" s="19">
        <v>0.55</v>
      </c>
      <c r="F1076" s="10">
        <v>3.6</v>
      </c>
      <c r="G1076" s="10">
        <v>291.0</v>
      </c>
      <c r="K1076" s="17"/>
    </row>
    <row r="1077">
      <c r="A1077" s="7" t="s">
        <v>1162</v>
      </c>
      <c r="B1077" s="7" t="s">
        <v>1111</v>
      </c>
      <c r="C1077" s="8">
        <v>1321.0</v>
      </c>
      <c r="D1077" s="8">
        <v>1545.0</v>
      </c>
      <c r="E1077" s="19">
        <v>0.14</v>
      </c>
      <c r="F1077" s="10">
        <v>4.3</v>
      </c>
      <c r="G1077" s="11">
        <v>15453.0</v>
      </c>
      <c r="K1077" s="17"/>
    </row>
    <row r="1078">
      <c r="A1078" s="7" t="s">
        <v>1163</v>
      </c>
      <c r="B1078" s="7" t="s">
        <v>1093</v>
      </c>
      <c r="C1078" s="8">
        <v>1099.0</v>
      </c>
      <c r="D1078" s="8">
        <v>1999.0</v>
      </c>
      <c r="E1078" s="19">
        <v>0.45</v>
      </c>
      <c r="F1078" s="10">
        <v>4.0</v>
      </c>
      <c r="G1078" s="10">
        <v>604.0</v>
      </c>
      <c r="K1078" s="17"/>
    </row>
    <row r="1079">
      <c r="A1079" s="7" t="s">
        <v>1164</v>
      </c>
      <c r="B1079" s="7" t="s">
        <v>1111</v>
      </c>
      <c r="C1079" s="8">
        <v>775.0</v>
      </c>
      <c r="D1079" s="8">
        <v>875.0</v>
      </c>
      <c r="E1079" s="19">
        <v>0.11</v>
      </c>
      <c r="F1079" s="10">
        <v>4.2</v>
      </c>
      <c r="G1079" s="11">
        <v>46647.0</v>
      </c>
      <c r="K1079" s="17"/>
    </row>
    <row r="1080">
      <c r="A1080" s="7" t="s">
        <v>1165</v>
      </c>
      <c r="B1080" s="7" t="s">
        <v>1123</v>
      </c>
      <c r="C1080" s="8">
        <v>6299.0</v>
      </c>
      <c r="D1080" s="8">
        <v>15270.0</v>
      </c>
      <c r="E1080" s="19">
        <v>0.59</v>
      </c>
      <c r="F1080" s="10">
        <v>4.1</v>
      </c>
      <c r="G1080" s="11">
        <v>3233.0</v>
      </c>
      <c r="K1080" s="17"/>
    </row>
    <row r="1081">
      <c r="A1081" s="7" t="s">
        <v>1166</v>
      </c>
      <c r="B1081" s="7" t="s">
        <v>1139</v>
      </c>
      <c r="C1081" s="8">
        <v>3190.0</v>
      </c>
      <c r="D1081" s="8">
        <v>4195.0</v>
      </c>
      <c r="E1081" s="19">
        <v>0.24</v>
      </c>
      <c r="F1081" s="10">
        <v>4.0</v>
      </c>
      <c r="G1081" s="11">
        <v>1282.0</v>
      </c>
      <c r="K1081" s="17"/>
    </row>
    <row r="1082">
      <c r="A1082" s="7" t="s">
        <v>1167</v>
      </c>
      <c r="B1082" s="7" t="s">
        <v>1089</v>
      </c>
      <c r="C1082" s="8">
        <v>799.0</v>
      </c>
      <c r="D1082" s="8">
        <v>1989.0</v>
      </c>
      <c r="E1082" s="19">
        <v>0.6</v>
      </c>
      <c r="F1082" s="10">
        <v>4.3</v>
      </c>
      <c r="G1082" s="10">
        <v>70.0</v>
      </c>
      <c r="K1082" s="17"/>
    </row>
    <row r="1083">
      <c r="A1083" s="7" t="s">
        <v>1168</v>
      </c>
      <c r="B1083" s="7" t="s">
        <v>1144</v>
      </c>
      <c r="C1083" s="8">
        <v>2699.0</v>
      </c>
      <c r="D1083" s="8">
        <v>5000.0</v>
      </c>
      <c r="E1083" s="19">
        <v>0.46</v>
      </c>
      <c r="F1083" s="10">
        <v>4.0</v>
      </c>
      <c r="G1083" s="11">
        <v>26164.0</v>
      </c>
      <c r="K1083" s="17"/>
    </row>
    <row r="1084">
      <c r="A1084" s="7" t="s">
        <v>1169</v>
      </c>
      <c r="B1084" s="7" t="s">
        <v>1111</v>
      </c>
      <c r="C1084" s="8">
        <v>599.0</v>
      </c>
      <c r="D1084" s="8">
        <v>990.0</v>
      </c>
      <c r="E1084" s="19">
        <v>0.39</v>
      </c>
      <c r="F1084" s="10">
        <v>3.9</v>
      </c>
      <c r="G1084" s="11">
        <v>16166.0</v>
      </c>
      <c r="K1084" s="17"/>
    </row>
    <row r="1085">
      <c r="A1085" s="7" t="s">
        <v>1170</v>
      </c>
      <c r="B1085" s="7" t="s">
        <v>1121</v>
      </c>
      <c r="C1085" s="8">
        <v>749.0</v>
      </c>
      <c r="D1085" s="8">
        <v>1111.0</v>
      </c>
      <c r="E1085" s="19">
        <v>0.33</v>
      </c>
      <c r="F1085" s="10">
        <v>4.2</v>
      </c>
      <c r="G1085" s="11">
        <v>35693.0</v>
      </c>
      <c r="K1085" s="17"/>
    </row>
    <row r="1086">
      <c r="A1086" s="7" t="s">
        <v>1171</v>
      </c>
      <c r="B1086" s="7" t="s">
        <v>1123</v>
      </c>
      <c r="C1086" s="8">
        <v>6199.0</v>
      </c>
      <c r="D1086" s="8">
        <v>10400.0</v>
      </c>
      <c r="E1086" s="19">
        <v>0.4</v>
      </c>
      <c r="F1086" s="10">
        <v>4.1</v>
      </c>
      <c r="G1086" s="11">
        <v>14391.0</v>
      </c>
      <c r="K1086" s="17"/>
    </row>
    <row r="1087">
      <c r="A1087" s="7" t="s">
        <v>1172</v>
      </c>
      <c r="B1087" s="7" t="s">
        <v>1173</v>
      </c>
      <c r="C1087" s="8">
        <v>1819.0</v>
      </c>
      <c r="D1087" s="8">
        <v>2490.0</v>
      </c>
      <c r="E1087" s="19">
        <v>0.27</v>
      </c>
      <c r="F1087" s="10">
        <v>4.4</v>
      </c>
      <c r="G1087" s="11">
        <v>7946.0</v>
      </c>
      <c r="K1087" s="17"/>
    </row>
    <row r="1088">
      <c r="A1088" s="7" t="s">
        <v>1174</v>
      </c>
      <c r="B1088" s="7" t="s">
        <v>1121</v>
      </c>
      <c r="C1088" s="8">
        <v>1199.0</v>
      </c>
      <c r="D1088" s="8">
        <v>1900.0</v>
      </c>
      <c r="E1088" s="19">
        <v>0.37</v>
      </c>
      <c r="F1088" s="10">
        <v>4.0</v>
      </c>
      <c r="G1088" s="11">
        <v>1765.0</v>
      </c>
      <c r="K1088" s="17"/>
    </row>
    <row r="1089">
      <c r="A1089" s="7" t="s">
        <v>1175</v>
      </c>
      <c r="B1089" s="7" t="s">
        <v>1113</v>
      </c>
      <c r="C1089" s="8">
        <v>3249.0</v>
      </c>
      <c r="D1089" s="8">
        <v>6295.0</v>
      </c>
      <c r="E1089" s="19">
        <v>0.48</v>
      </c>
      <c r="F1089" s="10">
        <v>3.8</v>
      </c>
      <c r="G1089" s="11">
        <v>14062.0</v>
      </c>
      <c r="K1089" s="17"/>
    </row>
    <row r="1090">
      <c r="A1090" s="7" t="s">
        <v>1176</v>
      </c>
      <c r="B1090" s="7" t="s">
        <v>1155</v>
      </c>
      <c r="C1090" s="8">
        <v>349.0</v>
      </c>
      <c r="D1090" s="8">
        <v>999.0</v>
      </c>
      <c r="E1090" s="19">
        <v>0.65</v>
      </c>
      <c r="F1090" s="10">
        <v>4.0</v>
      </c>
      <c r="G1090" s="11">
        <v>15646.0</v>
      </c>
      <c r="K1090" s="17"/>
    </row>
    <row r="1091">
      <c r="A1091" s="7" t="s">
        <v>1177</v>
      </c>
      <c r="B1091" s="7" t="s">
        <v>1091</v>
      </c>
      <c r="C1091" s="8">
        <v>1049.0</v>
      </c>
      <c r="D1091" s="8">
        <v>1699.0</v>
      </c>
      <c r="E1091" s="19">
        <v>0.38</v>
      </c>
      <c r="F1091" s="10">
        <v>3.1</v>
      </c>
      <c r="G1091" s="10">
        <v>111.0</v>
      </c>
      <c r="K1091" s="17"/>
    </row>
    <row r="1092">
      <c r="A1092" s="7" t="s">
        <v>1178</v>
      </c>
      <c r="B1092" s="7" t="s">
        <v>1179</v>
      </c>
      <c r="C1092" s="8">
        <v>799.0</v>
      </c>
      <c r="D1092" s="8">
        <v>1500.0</v>
      </c>
      <c r="E1092" s="19">
        <v>0.47</v>
      </c>
      <c r="F1092" s="10">
        <v>4.3</v>
      </c>
      <c r="G1092" s="11">
        <v>9695.0</v>
      </c>
      <c r="K1092" s="17"/>
    </row>
    <row r="1093">
      <c r="A1093" s="7" t="s">
        <v>1180</v>
      </c>
      <c r="B1093" s="7" t="s">
        <v>1123</v>
      </c>
      <c r="C1093" s="8">
        <v>4999.0</v>
      </c>
      <c r="D1093" s="8">
        <v>9650.0</v>
      </c>
      <c r="E1093" s="19">
        <v>0.48</v>
      </c>
      <c r="F1093" s="10">
        <v>4.2</v>
      </c>
      <c r="G1093" s="11">
        <v>1772.0</v>
      </c>
      <c r="K1093" s="17"/>
    </row>
    <row r="1094">
      <c r="A1094" s="7" t="s">
        <v>1181</v>
      </c>
      <c r="B1094" s="7" t="s">
        <v>1113</v>
      </c>
      <c r="C1094" s="8">
        <v>6999.0</v>
      </c>
      <c r="D1094" s="8">
        <v>10590.0</v>
      </c>
      <c r="E1094" s="19">
        <v>0.34</v>
      </c>
      <c r="F1094" s="10">
        <v>4.4</v>
      </c>
      <c r="G1094" s="11">
        <v>11499.0</v>
      </c>
      <c r="K1094" s="17"/>
    </row>
    <row r="1095">
      <c r="A1095" s="7" t="s">
        <v>1182</v>
      </c>
      <c r="B1095" s="7" t="s">
        <v>1095</v>
      </c>
      <c r="C1095" s="8">
        <v>799.0</v>
      </c>
      <c r="D1095" s="8">
        <v>1999.0</v>
      </c>
      <c r="E1095" s="19">
        <v>0.6</v>
      </c>
      <c r="F1095" s="10">
        <v>4.1</v>
      </c>
      <c r="G1095" s="11">
        <v>2162.0</v>
      </c>
      <c r="K1095" s="17"/>
    </row>
    <row r="1096">
      <c r="A1096" s="7" t="s">
        <v>1183</v>
      </c>
      <c r="B1096" s="7" t="s">
        <v>1184</v>
      </c>
      <c r="C1096" s="8">
        <v>89.0</v>
      </c>
      <c r="D1096" s="8">
        <v>89.0</v>
      </c>
      <c r="E1096" s="19">
        <v>0.0</v>
      </c>
      <c r="F1096" s="10">
        <v>4.2</v>
      </c>
      <c r="G1096" s="11">
        <v>19621.0</v>
      </c>
      <c r="K1096" s="17"/>
    </row>
    <row r="1097">
      <c r="A1097" s="7" t="s">
        <v>1185</v>
      </c>
      <c r="B1097" s="7" t="s">
        <v>1186</v>
      </c>
      <c r="C1097" s="8">
        <v>1400.0</v>
      </c>
      <c r="D1097" s="8">
        <v>2485.0</v>
      </c>
      <c r="E1097" s="19">
        <v>0.44</v>
      </c>
      <c r="F1097" s="10">
        <v>4.1</v>
      </c>
      <c r="G1097" s="11">
        <v>19998.0</v>
      </c>
      <c r="K1097" s="17"/>
    </row>
    <row r="1098">
      <c r="A1098" s="7" t="s">
        <v>1187</v>
      </c>
      <c r="B1098" s="7" t="s">
        <v>1137</v>
      </c>
      <c r="C1098" s="8">
        <v>355.0</v>
      </c>
      <c r="D1098" s="8">
        <v>899.0</v>
      </c>
      <c r="E1098" s="19">
        <v>0.61</v>
      </c>
      <c r="F1098" s="10">
        <v>4.1</v>
      </c>
      <c r="G1098" s="11">
        <v>1051.0</v>
      </c>
      <c r="K1098" s="17"/>
    </row>
    <row r="1099">
      <c r="A1099" s="7" t="s">
        <v>1188</v>
      </c>
      <c r="B1099" s="7" t="s">
        <v>1089</v>
      </c>
      <c r="C1099" s="8">
        <v>2169.0</v>
      </c>
      <c r="D1099" s="8">
        <v>3279.0</v>
      </c>
      <c r="E1099" s="19">
        <v>0.34</v>
      </c>
      <c r="F1099" s="10">
        <v>4.1</v>
      </c>
      <c r="G1099" s="11">
        <v>1716.0</v>
      </c>
      <c r="K1099" s="17"/>
    </row>
    <row r="1100">
      <c r="A1100" s="7" t="s">
        <v>1189</v>
      </c>
      <c r="B1100" s="7" t="s">
        <v>1190</v>
      </c>
      <c r="C1100" s="8">
        <v>2799.0</v>
      </c>
      <c r="D1100" s="8">
        <v>3799.0</v>
      </c>
      <c r="E1100" s="19">
        <v>0.26</v>
      </c>
      <c r="F1100" s="10">
        <v>3.9</v>
      </c>
      <c r="G1100" s="11">
        <v>32931.0</v>
      </c>
      <c r="K1100" s="17"/>
    </row>
    <row r="1101">
      <c r="A1101" s="7" t="s">
        <v>1191</v>
      </c>
      <c r="B1101" s="7" t="s">
        <v>1086</v>
      </c>
      <c r="C1101" s="8">
        <v>899.0</v>
      </c>
      <c r="D1101" s="8">
        <v>1249.0</v>
      </c>
      <c r="E1101" s="19">
        <v>0.28</v>
      </c>
      <c r="F1101" s="10">
        <v>3.9</v>
      </c>
      <c r="G1101" s="11">
        <v>17424.0</v>
      </c>
      <c r="K1101" s="17"/>
    </row>
    <row r="1102">
      <c r="A1102" s="7" t="s">
        <v>1192</v>
      </c>
      <c r="B1102" s="7" t="s">
        <v>1117</v>
      </c>
      <c r="C1102" s="8">
        <v>2499.0</v>
      </c>
      <c r="D1102" s="8">
        <v>5000.0</v>
      </c>
      <c r="E1102" s="19">
        <v>0.5</v>
      </c>
      <c r="F1102" s="10">
        <v>3.8</v>
      </c>
      <c r="G1102" s="11">
        <v>1889.0</v>
      </c>
      <c r="K1102" s="17"/>
    </row>
    <row r="1103">
      <c r="A1103" s="7" t="s">
        <v>1193</v>
      </c>
      <c r="B1103" s="7" t="s">
        <v>1115</v>
      </c>
      <c r="C1103" s="8">
        <v>3599.0</v>
      </c>
      <c r="D1103" s="8">
        <v>7299.0</v>
      </c>
      <c r="E1103" s="19">
        <v>0.51</v>
      </c>
      <c r="F1103" s="10">
        <v>4.0</v>
      </c>
      <c r="G1103" s="11">
        <v>10324.0</v>
      </c>
      <c r="K1103" s="17"/>
    </row>
    <row r="1104">
      <c r="A1104" s="7" t="s">
        <v>1194</v>
      </c>
      <c r="B1104" s="7" t="s">
        <v>1111</v>
      </c>
      <c r="C1104" s="8">
        <v>499.0</v>
      </c>
      <c r="D1104" s="8">
        <v>625.0</v>
      </c>
      <c r="E1104" s="19">
        <v>0.2</v>
      </c>
      <c r="F1104" s="10">
        <v>4.2</v>
      </c>
      <c r="G1104" s="11">
        <v>5355.0</v>
      </c>
      <c r="K1104" s="17"/>
    </row>
    <row r="1105">
      <c r="A1105" s="7" t="s">
        <v>1195</v>
      </c>
      <c r="B1105" s="7" t="s">
        <v>1131</v>
      </c>
      <c r="C1105" s="8">
        <v>653.0</v>
      </c>
      <c r="D1105" s="8">
        <v>1020.0</v>
      </c>
      <c r="E1105" s="19">
        <v>0.36</v>
      </c>
      <c r="F1105" s="10">
        <v>4.1</v>
      </c>
      <c r="G1105" s="11">
        <v>3366.0</v>
      </c>
      <c r="K1105" s="17"/>
    </row>
    <row r="1106">
      <c r="A1106" s="7" t="s">
        <v>1196</v>
      </c>
      <c r="B1106" s="7" t="s">
        <v>1197</v>
      </c>
      <c r="C1106" s="8">
        <v>4789.0</v>
      </c>
      <c r="D1106" s="8">
        <v>8990.0</v>
      </c>
      <c r="E1106" s="19">
        <v>0.47</v>
      </c>
      <c r="F1106" s="10">
        <v>4.3</v>
      </c>
      <c r="G1106" s="11">
        <v>1017.0</v>
      </c>
      <c r="K1106" s="17"/>
    </row>
    <row r="1107">
      <c r="A1107" s="7" t="s">
        <v>1198</v>
      </c>
      <c r="B1107" s="7" t="s">
        <v>1199</v>
      </c>
      <c r="C1107" s="8">
        <v>1409.0</v>
      </c>
      <c r="D1107" s="8">
        <v>1639.0</v>
      </c>
      <c r="E1107" s="19">
        <v>0.14</v>
      </c>
      <c r="F1107" s="10">
        <v>3.7</v>
      </c>
      <c r="G1107" s="10">
        <v>787.0</v>
      </c>
      <c r="K1107" s="17"/>
    </row>
    <row r="1108">
      <c r="A1108" s="7" t="s">
        <v>1200</v>
      </c>
      <c r="B1108" s="7" t="s">
        <v>1109</v>
      </c>
      <c r="C1108" s="8">
        <v>753.0</v>
      </c>
      <c r="D1108" s="8">
        <v>899.0</v>
      </c>
      <c r="E1108" s="19">
        <v>0.16</v>
      </c>
      <c r="F1108" s="10">
        <v>4.2</v>
      </c>
      <c r="G1108" s="11">
        <v>18462.0</v>
      </c>
      <c r="K1108" s="17"/>
    </row>
    <row r="1109">
      <c r="A1109" s="7" t="s">
        <v>1201</v>
      </c>
      <c r="B1109" s="7" t="s">
        <v>1155</v>
      </c>
      <c r="C1109" s="8">
        <v>353.0</v>
      </c>
      <c r="D1109" s="8">
        <v>1199.0</v>
      </c>
      <c r="E1109" s="19">
        <v>0.71</v>
      </c>
      <c r="F1109" s="10">
        <v>4.3</v>
      </c>
      <c r="G1109" s="10">
        <v>629.0</v>
      </c>
      <c r="K1109" s="17"/>
    </row>
    <row r="1110">
      <c r="A1110" s="7" t="s">
        <v>1202</v>
      </c>
      <c r="B1110" s="7" t="s">
        <v>1095</v>
      </c>
      <c r="C1110" s="8">
        <v>1099.0</v>
      </c>
      <c r="D1110" s="8">
        <v>1899.0</v>
      </c>
      <c r="E1110" s="19">
        <v>0.42</v>
      </c>
      <c r="F1110" s="10">
        <v>4.3</v>
      </c>
      <c r="G1110" s="11">
        <v>15276.0</v>
      </c>
      <c r="K1110" s="17"/>
    </row>
    <row r="1111">
      <c r="A1111" s="7" t="s">
        <v>1203</v>
      </c>
      <c r="B1111" s="7" t="s">
        <v>1135</v>
      </c>
      <c r="C1111" s="8">
        <v>8799.0</v>
      </c>
      <c r="D1111" s="8">
        <v>11595.0</v>
      </c>
      <c r="E1111" s="19">
        <v>0.24</v>
      </c>
      <c r="F1111" s="10">
        <v>4.4</v>
      </c>
      <c r="G1111" s="11">
        <v>2981.0</v>
      </c>
      <c r="K1111" s="17"/>
    </row>
    <row r="1112">
      <c r="A1112" s="7" t="s">
        <v>1204</v>
      </c>
      <c r="B1112" s="7" t="s">
        <v>1086</v>
      </c>
      <c r="C1112" s="8">
        <v>1345.0</v>
      </c>
      <c r="D1112" s="8">
        <v>1750.0</v>
      </c>
      <c r="E1112" s="19">
        <v>0.23</v>
      </c>
      <c r="F1112" s="10">
        <v>3.8</v>
      </c>
      <c r="G1112" s="11">
        <v>2466.0</v>
      </c>
      <c r="K1112" s="17"/>
    </row>
    <row r="1113">
      <c r="A1113" s="7" t="s">
        <v>1205</v>
      </c>
      <c r="B1113" s="7" t="s">
        <v>1206</v>
      </c>
      <c r="C1113" s="8">
        <v>2095.0</v>
      </c>
      <c r="D1113" s="8">
        <v>2095.0</v>
      </c>
      <c r="E1113" s="19">
        <v>0.0</v>
      </c>
      <c r="F1113" s="10">
        <v>4.5</v>
      </c>
      <c r="G1113" s="11">
        <v>7949.0</v>
      </c>
      <c r="K1113" s="17"/>
    </row>
    <row r="1114">
      <c r="A1114" s="7" t="s">
        <v>1207</v>
      </c>
      <c r="B1114" s="7" t="s">
        <v>1089</v>
      </c>
      <c r="C1114" s="8">
        <v>1498.0</v>
      </c>
      <c r="D1114" s="8">
        <v>2300.0</v>
      </c>
      <c r="E1114" s="19">
        <v>0.35</v>
      </c>
      <c r="F1114" s="10">
        <v>3.8</v>
      </c>
      <c r="G1114" s="10">
        <v>95.0</v>
      </c>
      <c r="K1114" s="17"/>
    </row>
    <row r="1115">
      <c r="A1115" s="7" t="s">
        <v>1208</v>
      </c>
      <c r="B1115" s="7" t="s">
        <v>1209</v>
      </c>
      <c r="C1115" s="8">
        <v>2199.0</v>
      </c>
      <c r="D1115" s="8">
        <v>2990.0</v>
      </c>
      <c r="E1115" s="19">
        <v>0.26</v>
      </c>
      <c r="F1115" s="10">
        <v>3.8</v>
      </c>
      <c r="G1115" s="11">
        <v>1558.0</v>
      </c>
      <c r="K1115" s="17"/>
    </row>
    <row r="1116">
      <c r="A1116" s="7" t="s">
        <v>1210</v>
      </c>
      <c r="B1116" s="7" t="s">
        <v>1113</v>
      </c>
      <c r="C1116" s="8">
        <v>3699.0</v>
      </c>
      <c r="D1116" s="8">
        <v>4295.0</v>
      </c>
      <c r="E1116" s="19">
        <v>0.14</v>
      </c>
      <c r="F1116" s="10">
        <v>4.1</v>
      </c>
      <c r="G1116" s="11">
        <v>26543.0</v>
      </c>
      <c r="K1116" s="17"/>
    </row>
    <row r="1117">
      <c r="A1117" s="7" t="s">
        <v>1211</v>
      </c>
      <c r="B1117" s="7" t="s">
        <v>1137</v>
      </c>
      <c r="C1117" s="8">
        <v>177.0</v>
      </c>
      <c r="D1117" s="8">
        <v>199.0</v>
      </c>
      <c r="E1117" s="19">
        <v>0.11</v>
      </c>
      <c r="F1117" s="10">
        <v>4.1</v>
      </c>
      <c r="G1117" s="11">
        <v>3688.0</v>
      </c>
      <c r="K1117" s="17"/>
    </row>
    <row r="1118">
      <c r="A1118" s="7" t="s">
        <v>1212</v>
      </c>
      <c r="B1118" s="7" t="s">
        <v>1113</v>
      </c>
      <c r="C1118" s="8">
        <v>1149.0</v>
      </c>
      <c r="D1118" s="8">
        <v>2499.0</v>
      </c>
      <c r="E1118" s="19">
        <v>0.54</v>
      </c>
      <c r="F1118" s="10">
        <v>3.8</v>
      </c>
      <c r="G1118" s="11">
        <v>4383.0</v>
      </c>
      <c r="K1118" s="17"/>
    </row>
    <row r="1119">
      <c r="A1119" s="7" t="s">
        <v>1213</v>
      </c>
      <c r="B1119" s="7" t="s">
        <v>1214</v>
      </c>
      <c r="C1119" s="8">
        <v>244.0</v>
      </c>
      <c r="D1119" s="8">
        <v>499.0</v>
      </c>
      <c r="E1119" s="19">
        <v>0.51</v>
      </c>
      <c r="F1119" s="10">
        <v>3.3</v>
      </c>
      <c r="G1119" s="10">
        <v>478.0</v>
      </c>
      <c r="K1119" s="17"/>
    </row>
    <row r="1120">
      <c r="A1120" s="7" t="s">
        <v>1215</v>
      </c>
      <c r="B1120" s="7" t="s">
        <v>1089</v>
      </c>
      <c r="C1120" s="8">
        <v>1959.0</v>
      </c>
      <c r="D1120" s="8">
        <v>2400.0</v>
      </c>
      <c r="E1120" s="19">
        <v>0.18</v>
      </c>
      <c r="F1120" s="10">
        <v>4.0</v>
      </c>
      <c r="G1120" s="10">
        <v>237.0</v>
      </c>
      <c r="K1120" s="17"/>
    </row>
    <row r="1121">
      <c r="A1121" s="7" t="s">
        <v>1216</v>
      </c>
      <c r="B1121" s="7" t="s">
        <v>1093</v>
      </c>
      <c r="C1121" s="8">
        <v>319.0</v>
      </c>
      <c r="D1121" s="8">
        <v>749.0</v>
      </c>
      <c r="E1121" s="19">
        <v>0.57</v>
      </c>
      <c r="F1121" s="10">
        <v>4.6</v>
      </c>
      <c r="G1121" s="10">
        <v>124.0</v>
      </c>
      <c r="K1121" s="17"/>
    </row>
    <row r="1122">
      <c r="A1122" s="7" t="s">
        <v>1217</v>
      </c>
      <c r="B1122" s="7" t="s">
        <v>1086</v>
      </c>
      <c r="C1122" s="8">
        <v>1499.0</v>
      </c>
      <c r="D1122" s="8">
        <v>1775.0</v>
      </c>
      <c r="E1122" s="19">
        <v>0.16</v>
      </c>
      <c r="F1122" s="10">
        <v>3.9</v>
      </c>
      <c r="G1122" s="11">
        <v>14667.0</v>
      </c>
      <c r="K1122" s="17"/>
    </row>
    <row r="1123">
      <c r="A1123" s="7" t="s">
        <v>1218</v>
      </c>
      <c r="B1123" s="7" t="s">
        <v>1093</v>
      </c>
      <c r="C1123" s="8">
        <v>469.0</v>
      </c>
      <c r="D1123" s="8">
        <v>1599.0</v>
      </c>
      <c r="E1123" s="19">
        <v>0.71</v>
      </c>
      <c r="F1123" s="10">
        <v>3.7</v>
      </c>
      <c r="G1123" s="10">
        <v>6.0</v>
      </c>
      <c r="K1123" s="17"/>
    </row>
    <row r="1124">
      <c r="A1124" s="7" t="s">
        <v>1219</v>
      </c>
      <c r="B1124" s="7" t="s">
        <v>1206</v>
      </c>
      <c r="C1124" s="8">
        <v>1099.0</v>
      </c>
      <c r="D1124" s="8">
        <v>1795.0</v>
      </c>
      <c r="E1124" s="19">
        <v>0.39</v>
      </c>
      <c r="F1124" s="10">
        <v>4.2</v>
      </c>
      <c r="G1124" s="11">
        <v>4244.0</v>
      </c>
      <c r="K1124" s="17"/>
    </row>
    <row r="1125">
      <c r="A1125" s="7" t="s">
        <v>1220</v>
      </c>
      <c r="B1125" s="7" t="s">
        <v>1091</v>
      </c>
      <c r="C1125" s="8">
        <v>9590.0</v>
      </c>
      <c r="D1125" s="8">
        <v>15999.0</v>
      </c>
      <c r="E1125" s="19">
        <v>0.4</v>
      </c>
      <c r="F1125" s="10">
        <v>4.1</v>
      </c>
      <c r="G1125" s="11">
        <v>1017.0</v>
      </c>
      <c r="K1125" s="17"/>
    </row>
    <row r="1126">
      <c r="A1126" s="7" t="s">
        <v>1221</v>
      </c>
      <c r="B1126" s="7" t="s">
        <v>1222</v>
      </c>
      <c r="C1126" s="8">
        <v>999.0</v>
      </c>
      <c r="D1126" s="8">
        <v>1490.0</v>
      </c>
      <c r="E1126" s="19">
        <v>0.33</v>
      </c>
      <c r="F1126" s="10">
        <v>4.1</v>
      </c>
      <c r="G1126" s="11">
        <v>12999.0</v>
      </c>
      <c r="K1126" s="17"/>
    </row>
    <row r="1127">
      <c r="A1127" s="7" t="s">
        <v>1223</v>
      </c>
      <c r="B1127" s="7" t="s">
        <v>1121</v>
      </c>
      <c r="C1127" s="8">
        <v>1299.0</v>
      </c>
      <c r="D1127" s="8">
        <v>1999.0</v>
      </c>
      <c r="E1127" s="19">
        <v>0.35</v>
      </c>
      <c r="F1127" s="10">
        <v>3.8</v>
      </c>
      <c r="G1127" s="10">
        <v>311.0</v>
      </c>
      <c r="K1127" s="17"/>
    </row>
    <row r="1128">
      <c r="A1128" s="7" t="s">
        <v>1224</v>
      </c>
      <c r="B1128" s="7" t="s">
        <v>1225</v>
      </c>
      <c r="C1128" s="8">
        <v>292.0</v>
      </c>
      <c r="D1128" s="8">
        <v>499.0</v>
      </c>
      <c r="E1128" s="19">
        <v>0.41</v>
      </c>
      <c r="F1128" s="10">
        <v>4.1</v>
      </c>
      <c r="G1128" s="11">
        <v>4238.0</v>
      </c>
      <c r="K1128" s="17"/>
    </row>
    <row r="1129">
      <c r="A1129" s="7" t="s">
        <v>1226</v>
      </c>
      <c r="B1129" s="7" t="s">
        <v>1184</v>
      </c>
      <c r="C1129" s="8">
        <v>160.0</v>
      </c>
      <c r="D1129" s="8">
        <v>299.0</v>
      </c>
      <c r="E1129" s="19">
        <v>0.46</v>
      </c>
      <c r="F1129" s="10">
        <v>4.6</v>
      </c>
      <c r="G1129" s="11">
        <v>2781.0</v>
      </c>
      <c r="K1129" s="17"/>
    </row>
    <row r="1130">
      <c r="A1130" s="7" t="s">
        <v>1227</v>
      </c>
      <c r="B1130" s="7" t="s">
        <v>1228</v>
      </c>
      <c r="C1130" s="8">
        <v>600.0</v>
      </c>
      <c r="D1130" s="8">
        <v>600.0</v>
      </c>
      <c r="E1130" s="19">
        <v>0.0</v>
      </c>
      <c r="F1130" s="10">
        <v>4.1</v>
      </c>
      <c r="G1130" s="11">
        <v>10907.0</v>
      </c>
      <c r="K1130" s="17"/>
    </row>
    <row r="1131">
      <c r="A1131" s="7" t="s">
        <v>1229</v>
      </c>
      <c r="B1131" s="7" t="s">
        <v>1230</v>
      </c>
      <c r="C1131" s="8">
        <v>1130.0</v>
      </c>
      <c r="D1131" s="8">
        <v>1130.0</v>
      </c>
      <c r="E1131" s="19">
        <v>0.0</v>
      </c>
      <c r="F1131" s="10">
        <v>4.2</v>
      </c>
      <c r="G1131" s="11">
        <v>13250.0</v>
      </c>
      <c r="K1131" s="17"/>
    </row>
    <row r="1132">
      <c r="A1132" s="7" t="s">
        <v>1231</v>
      </c>
      <c r="B1132" s="7" t="s">
        <v>1113</v>
      </c>
      <c r="C1132" s="8">
        <v>3249.0</v>
      </c>
      <c r="D1132" s="8">
        <v>6295.0</v>
      </c>
      <c r="E1132" s="19">
        <v>0.48</v>
      </c>
      <c r="F1132" s="10">
        <v>3.9</v>
      </c>
      <c r="G1132" s="11">
        <v>43070.0</v>
      </c>
      <c r="K1132" s="17"/>
    </row>
    <row r="1133">
      <c r="A1133" s="7" t="s">
        <v>1232</v>
      </c>
      <c r="B1133" s="7" t="s">
        <v>1113</v>
      </c>
      <c r="C1133" s="8">
        <v>3599.0</v>
      </c>
      <c r="D1133" s="8">
        <v>9455.0</v>
      </c>
      <c r="E1133" s="19">
        <v>0.62</v>
      </c>
      <c r="F1133" s="10">
        <v>4.1</v>
      </c>
      <c r="G1133" s="11">
        <v>11828.0</v>
      </c>
      <c r="K1133" s="17"/>
    </row>
    <row r="1134">
      <c r="A1134" s="7" t="s">
        <v>1233</v>
      </c>
      <c r="B1134" s="7" t="s">
        <v>1155</v>
      </c>
      <c r="C1134" s="8">
        <v>368.0</v>
      </c>
      <c r="D1134" s="8">
        <v>699.0</v>
      </c>
      <c r="E1134" s="19">
        <v>0.47</v>
      </c>
      <c r="F1134" s="10">
        <v>4.1</v>
      </c>
      <c r="G1134" s="11">
        <v>1240.0</v>
      </c>
      <c r="K1134" s="17"/>
    </row>
    <row r="1135">
      <c r="A1135" s="7" t="s">
        <v>1234</v>
      </c>
      <c r="B1135" s="7" t="s">
        <v>1113</v>
      </c>
      <c r="C1135" s="8">
        <v>3199.0</v>
      </c>
      <c r="D1135" s="8">
        <v>4999.0</v>
      </c>
      <c r="E1135" s="19">
        <v>0.36</v>
      </c>
      <c r="F1135" s="10">
        <v>4.0</v>
      </c>
      <c r="G1135" s="11">
        <v>20869.0</v>
      </c>
      <c r="K1135" s="17"/>
    </row>
    <row r="1136">
      <c r="A1136" s="7" t="s">
        <v>1235</v>
      </c>
      <c r="B1136" s="7" t="s">
        <v>1236</v>
      </c>
      <c r="C1136" s="8">
        <v>1599.0</v>
      </c>
      <c r="D1136" s="8">
        <v>2900.0</v>
      </c>
      <c r="E1136" s="19">
        <v>0.45</v>
      </c>
      <c r="F1136" s="10">
        <v>3.7</v>
      </c>
      <c r="G1136" s="10">
        <v>441.0</v>
      </c>
      <c r="K1136" s="17"/>
    </row>
    <row r="1137">
      <c r="A1137" s="7" t="s">
        <v>1237</v>
      </c>
      <c r="B1137" s="7" t="s">
        <v>1109</v>
      </c>
      <c r="C1137" s="8">
        <v>1999.0</v>
      </c>
      <c r="D1137" s="8">
        <v>2499.0</v>
      </c>
      <c r="E1137" s="19">
        <v>0.2</v>
      </c>
      <c r="F1137" s="10">
        <v>4.1</v>
      </c>
      <c r="G1137" s="11">
        <v>1034.0</v>
      </c>
      <c r="K1137" s="17"/>
    </row>
    <row r="1138">
      <c r="A1138" s="7" t="s">
        <v>1238</v>
      </c>
      <c r="B1138" s="7" t="s">
        <v>1111</v>
      </c>
      <c r="C1138" s="8">
        <v>616.0</v>
      </c>
      <c r="D1138" s="8">
        <v>1190.0</v>
      </c>
      <c r="E1138" s="19">
        <v>0.48</v>
      </c>
      <c r="F1138" s="10">
        <v>4.1</v>
      </c>
      <c r="G1138" s="11">
        <v>37126.0</v>
      </c>
      <c r="K1138" s="17"/>
    </row>
    <row r="1139">
      <c r="A1139" s="7" t="s">
        <v>1239</v>
      </c>
      <c r="B1139" s="7" t="s">
        <v>1109</v>
      </c>
      <c r="C1139" s="8">
        <v>1499.0</v>
      </c>
      <c r="D1139" s="8">
        <v>2100.0</v>
      </c>
      <c r="E1139" s="19">
        <v>0.29</v>
      </c>
      <c r="F1139" s="10">
        <v>4.1</v>
      </c>
      <c r="G1139" s="11">
        <v>6355.0</v>
      </c>
      <c r="K1139" s="17"/>
    </row>
    <row r="1140">
      <c r="A1140" s="7" t="s">
        <v>1240</v>
      </c>
      <c r="B1140" s="7" t="s">
        <v>1184</v>
      </c>
      <c r="C1140" s="8">
        <v>199.0</v>
      </c>
      <c r="D1140" s="8">
        <v>499.0</v>
      </c>
      <c r="E1140" s="19">
        <v>0.6</v>
      </c>
      <c r="F1140" s="10">
        <v>3.3</v>
      </c>
      <c r="G1140" s="10">
        <v>12.0</v>
      </c>
      <c r="K1140" s="17"/>
    </row>
    <row r="1141">
      <c r="A1141" s="7" t="s">
        <v>1241</v>
      </c>
      <c r="B1141" s="7" t="s">
        <v>1131</v>
      </c>
      <c r="C1141" s="8">
        <v>610.0</v>
      </c>
      <c r="D1141" s="8">
        <v>825.0</v>
      </c>
      <c r="E1141" s="19">
        <v>0.26</v>
      </c>
      <c r="F1141" s="10">
        <v>4.1</v>
      </c>
      <c r="G1141" s="11">
        <v>13165.0</v>
      </c>
      <c r="K1141" s="17"/>
    </row>
    <row r="1142">
      <c r="A1142" s="7" t="s">
        <v>1242</v>
      </c>
      <c r="B1142" s="7" t="s">
        <v>1173</v>
      </c>
      <c r="C1142" s="8">
        <v>999.0</v>
      </c>
      <c r="D1142" s="8">
        <v>1499.0</v>
      </c>
      <c r="E1142" s="19">
        <v>0.33</v>
      </c>
      <c r="F1142" s="10">
        <v>4.1</v>
      </c>
      <c r="G1142" s="11">
        <v>1646.0</v>
      </c>
      <c r="K1142" s="17"/>
    </row>
    <row r="1143">
      <c r="A1143" s="7" t="s">
        <v>1243</v>
      </c>
      <c r="B1143" s="7" t="s">
        <v>1190</v>
      </c>
      <c r="C1143" s="8">
        <v>8999.0</v>
      </c>
      <c r="D1143" s="8">
        <v>9995.0</v>
      </c>
      <c r="E1143" s="19">
        <v>0.1</v>
      </c>
      <c r="F1143" s="10">
        <v>4.4</v>
      </c>
      <c r="G1143" s="11">
        <v>17994.0</v>
      </c>
      <c r="K1143" s="17"/>
    </row>
    <row r="1144">
      <c r="A1144" s="7" t="s">
        <v>1244</v>
      </c>
      <c r="B1144" s="7" t="s">
        <v>1093</v>
      </c>
      <c r="C1144" s="8">
        <v>453.0</v>
      </c>
      <c r="D1144" s="8">
        <v>999.0</v>
      </c>
      <c r="E1144" s="19">
        <v>0.55</v>
      </c>
      <c r="F1144" s="10">
        <v>4.3</v>
      </c>
      <c r="G1144" s="10">
        <v>610.0</v>
      </c>
      <c r="K1144" s="17"/>
    </row>
    <row r="1145">
      <c r="A1145" s="7" t="s">
        <v>1245</v>
      </c>
      <c r="B1145" s="7" t="s">
        <v>1113</v>
      </c>
      <c r="C1145" s="8">
        <v>2464.0</v>
      </c>
      <c r="D1145" s="8">
        <v>6000.0</v>
      </c>
      <c r="E1145" s="19">
        <v>0.59</v>
      </c>
      <c r="F1145" s="10">
        <v>4.1</v>
      </c>
      <c r="G1145" s="11">
        <v>8866.0</v>
      </c>
      <c r="K1145" s="17"/>
    </row>
    <row r="1146">
      <c r="A1146" s="7" t="s">
        <v>1246</v>
      </c>
      <c r="B1146" s="7" t="s">
        <v>1236</v>
      </c>
      <c r="C1146" s="8">
        <v>2719.0</v>
      </c>
      <c r="D1146" s="8">
        <v>3945.0</v>
      </c>
      <c r="E1146" s="19">
        <v>0.31</v>
      </c>
      <c r="F1146" s="10">
        <v>3.7</v>
      </c>
      <c r="G1146" s="11">
        <v>13406.0</v>
      </c>
      <c r="K1146" s="17"/>
    </row>
    <row r="1147">
      <c r="A1147" s="7" t="s">
        <v>1247</v>
      </c>
      <c r="B1147" s="7" t="s">
        <v>1115</v>
      </c>
      <c r="C1147" s="8">
        <v>1439.0</v>
      </c>
      <c r="D1147" s="8">
        <v>1999.0</v>
      </c>
      <c r="E1147" s="19">
        <v>0.28</v>
      </c>
      <c r="F1147" s="10">
        <v>4.8</v>
      </c>
      <c r="G1147" s="11">
        <v>53803.0</v>
      </c>
      <c r="K1147" s="17"/>
    </row>
    <row r="1148">
      <c r="A1148" s="7" t="s">
        <v>1248</v>
      </c>
      <c r="B1148" s="7" t="s">
        <v>1109</v>
      </c>
      <c r="C1148" s="8">
        <v>2799.0</v>
      </c>
      <c r="D1148" s="8">
        <v>3499.0</v>
      </c>
      <c r="E1148" s="19">
        <v>0.2</v>
      </c>
      <c r="F1148" s="10">
        <v>4.5</v>
      </c>
      <c r="G1148" s="10">
        <v>546.0</v>
      </c>
      <c r="K1148" s="17"/>
    </row>
    <row r="1149">
      <c r="A1149" s="7" t="s">
        <v>1249</v>
      </c>
      <c r="B1149" s="7" t="s">
        <v>1115</v>
      </c>
      <c r="C1149" s="8">
        <v>2088.0</v>
      </c>
      <c r="D1149" s="8">
        <v>5550.0</v>
      </c>
      <c r="E1149" s="19">
        <v>0.62</v>
      </c>
      <c r="F1149" s="10">
        <v>4.0</v>
      </c>
      <c r="G1149" s="11">
        <v>5292.0</v>
      </c>
      <c r="K1149" s="17"/>
    </row>
    <row r="1150">
      <c r="A1150" s="7" t="s">
        <v>1250</v>
      </c>
      <c r="B1150" s="7" t="s">
        <v>1115</v>
      </c>
      <c r="C1150" s="8">
        <v>2399.0</v>
      </c>
      <c r="D1150" s="8">
        <v>4590.0</v>
      </c>
      <c r="E1150" s="19">
        <v>0.48</v>
      </c>
      <c r="F1150" s="10">
        <v>4.1</v>
      </c>
      <c r="G1150" s="10">
        <v>444.0</v>
      </c>
      <c r="K1150" s="17"/>
    </row>
    <row r="1151">
      <c r="A1151" s="7" t="s">
        <v>1251</v>
      </c>
      <c r="B1151" s="7" t="s">
        <v>1095</v>
      </c>
      <c r="C1151" s="8">
        <v>308.0</v>
      </c>
      <c r="D1151" s="8">
        <v>499.0</v>
      </c>
      <c r="E1151" s="19">
        <v>0.38</v>
      </c>
      <c r="F1151" s="10">
        <v>3.9</v>
      </c>
      <c r="G1151" s="11">
        <v>4584.0</v>
      </c>
      <c r="K1151" s="17"/>
    </row>
    <row r="1152">
      <c r="A1152" s="7" t="s">
        <v>1252</v>
      </c>
      <c r="B1152" s="7" t="s">
        <v>1115</v>
      </c>
      <c r="C1152" s="8">
        <v>2599.0</v>
      </c>
      <c r="D1152" s="8">
        <v>4400.0</v>
      </c>
      <c r="E1152" s="19">
        <v>0.41</v>
      </c>
      <c r="F1152" s="10">
        <v>4.1</v>
      </c>
      <c r="G1152" s="11">
        <v>14947.0</v>
      </c>
      <c r="K1152" s="17"/>
    </row>
    <row r="1153">
      <c r="A1153" s="7" t="s">
        <v>1253</v>
      </c>
      <c r="B1153" s="7" t="s">
        <v>1111</v>
      </c>
      <c r="C1153" s="8">
        <v>479.0</v>
      </c>
      <c r="D1153" s="8">
        <v>1000.0</v>
      </c>
      <c r="E1153" s="19">
        <v>0.52</v>
      </c>
      <c r="F1153" s="10">
        <v>4.2</v>
      </c>
      <c r="G1153" s="11">
        <v>1559.0</v>
      </c>
      <c r="K1153" s="17"/>
    </row>
    <row r="1154">
      <c r="A1154" s="7" t="s">
        <v>1254</v>
      </c>
      <c r="B1154" s="7" t="s">
        <v>1093</v>
      </c>
      <c r="C1154" s="8">
        <v>245.0</v>
      </c>
      <c r="D1154" s="8">
        <v>299.0</v>
      </c>
      <c r="E1154" s="19">
        <v>0.18</v>
      </c>
      <c r="F1154" s="10">
        <v>4.1</v>
      </c>
      <c r="G1154" s="11">
        <v>1660.0</v>
      </c>
      <c r="K1154" s="17"/>
    </row>
    <row r="1155">
      <c r="A1155" s="7" t="s">
        <v>1255</v>
      </c>
      <c r="B1155" s="7" t="s">
        <v>1093</v>
      </c>
      <c r="C1155" s="8">
        <v>179.0</v>
      </c>
      <c r="D1155" s="8">
        <v>799.0</v>
      </c>
      <c r="E1155" s="19">
        <v>0.78</v>
      </c>
      <c r="F1155" s="10">
        <v>3.5</v>
      </c>
      <c r="G1155" s="10">
        <v>132.0</v>
      </c>
      <c r="K1155" s="17"/>
    </row>
    <row r="1156">
      <c r="A1156" s="7" t="s">
        <v>1256</v>
      </c>
      <c r="B1156" s="7" t="s">
        <v>1186</v>
      </c>
      <c r="C1156" s="8">
        <v>3569.0</v>
      </c>
      <c r="D1156" s="8">
        <v>5190.0</v>
      </c>
      <c r="E1156" s="19">
        <v>0.31</v>
      </c>
      <c r="F1156" s="10">
        <v>4.3</v>
      </c>
      <c r="G1156" s="11">
        <v>28629.0</v>
      </c>
      <c r="K1156" s="17"/>
    </row>
    <row r="1157">
      <c r="A1157" s="7" t="s">
        <v>1257</v>
      </c>
      <c r="B1157" s="7" t="s">
        <v>1086</v>
      </c>
      <c r="C1157" s="8">
        <v>699.0</v>
      </c>
      <c r="D1157" s="8">
        <v>1345.0</v>
      </c>
      <c r="E1157" s="19">
        <v>0.48</v>
      </c>
      <c r="F1157" s="10">
        <v>3.9</v>
      </c>
      <c r="G1157" s="11">
        <v>8446.0</v>
      </c>
      <c r="K1157" s="17"/>
    </row>
    <row r="1158">
      <c r="A1158" s="7" t="s">
        <v>1258</v>
      </c>
      <c r="B1158" s="7" t="s">
        <v>1104</v>
      </c>
      <c r="C1158" s="8">
        <v>2089.0</v>
      </c>
      <c r="D1158" s="8">
        <v>4000.0</v>
      </c>
      <c r="E1158" s="19">
        <v>0.48</v>
      </c>
      <c r="F1158" s="10">
        <v>4.2</v>
      </c>
      <c r="G1158" s="11">
        <v>11199.0</v>
      </c>
      <c r="K1158" s="17"/>
    </row>
    <row r="1159">
      <c r="A1159" s="7" t="s">
        <v>1259</v>
      </c>
      <c r="B1159" s="7" t="s">
        <v>1260</v>
      </c>
      <c r="C1159" s="8">
        <v>2339.0</v>
      </c>
      <c r="D1159" s="8">
        <v>4000.0</v>
      </c>
      <c r="E1159" s="19">
        <v>0.42</v>
      </c>
      <c r="F1159" s="10">
        <v>3.8</v>
      </c>
      <c r="G1159" s="11">
        <v>1118.0</v>
      </c>
      <c r="K1159" s="17"/>
    </row>
    <row r="1160">
      <c r="A1160" s="7" t="s">
        <v>1261</v>
      </c>
      <c r="B1160" s="7" t="s">
        <v>1091</v>
      </c>
      <c r="C1160" s="8">
        <v>784.0</v>
      </c>
      <c r="D1160" s="8">
        <v>1599.0</v>
      </c>
      <c r="E1160" s="19">
        <v>0.51</v>
      </c>
      <c r="F1160" s="10">
        <v>4.5</v>
      </c>
      <c r="G1160" s="10">
        <v>11.0</v>
      </c>
      <c r="K1160" s="17"/>
    </row>
    <row r="1161">
      <c r="A1161" s="7" t="s">
        <v>1262</v>
      </c>
      <c r="B1161" s="7" t="s">
        <v>1263</v>
      </c>
      <c r="C1161" s="8">
        <v>5499.0</v>
      </c>
      <c r="D1161" s="8">
        <v>9999.0</v>
      </c>
      <c r="E1161" s="19">
        <v>0.45</v>
      </c>
      <c r="F1161" s="10">
        <v>3.8</v>
      </c>
      <c r="G1161" s="11">
        <v>4353.0</v>
      </c>
      <c r="K1161" s="17"/>
    </row>
    <row r="1162">
      <c r="A1162" s="7" t="s">
        <v>1264</v>
      </c>
      <c r="B1162" s="7" t="s">
        <v>1091</v>
      </c>
      <c r="C1162" s="8">
        <v>899.0</v>
      </c>
      <c r="D1162" s="8">
        <v>1990.0</v>
      </c>
      <c r="E1162" s="19">
        <v>0.55</v>
      </c>
      <c r="F1162" s="10">
        <v>4.1</v>
      </c>
      <c r="G1162" s="10">
        <v>185.0</v>
      </c>
      <c r="K1162" s="17"/>
    </row>
    <row r="1163">
      <c r="A1163" s="7" t="s">
        <v>1265</v>
      </c>
      <c r="B1163" s="7" t="s">
        <v>1109</v>
      </c>
      <c r="C1163" s="8">
        <v>1695.0</v>
      </c>
      <c r="D1163" s="8">
        <v>1695.0</v>
      </c>
      <c r="E1163" s="19">
        <v>0.0</v>
      </c>
      <c r="F1163" s="10">
        <v>4.2</v>
      </c>
      <c r="G1163" s="11">
        <v>14290.0</v>
      </c>
      <c r="K1163" s="17"/>
    </row>
    <row r="1164">
      <c r="A1164" s="7" t="s">
        <v>1266</v>
      </c>
      <c r="B1164" s="7" t="s">
        <v>1111</v>
      </c>
      <c r="C1164" s="8">
        <v>499.0</v>
      </c>
      <c r="D1164" s="8">
        <v>940.0</v>
      </c>
      <c r="E1164" s="19">
        <v>0.47</v>
      </c>
      <c r="F1164" s="10">
        <v>4.1</v>
      </c>
      <c r="G1164" s="11">
        <v>3036.0</v>
      </c>
      <c r="K1164" s="17"/>
    </row>
    <row r="1165">
      <c r="A1165" s="7" t="s">
        <v>1267</v>
      </c>
      <c r="B1165" s="7" t="s">
        <v>1115</v>
      </c>
      <c r="C1165" s="8">
        <v>2699.0</v>
      </c>
      <c r="D1165" s="8">
        <v>4700.0</v>
      </c>
      <c r="E1165" s="19">
        <v>0.43</v>
      </c>
      <c r="F1165" s="10">
        <v>4.2</v>
      </c>
      <c r="G1165" s="11">
        <v>1296.0</v>
      </c>
      <c r="K1165" s="17"/>
    </row>
    <row r="1166">
      <c r="A1166" s="7" t="s">
        <v>1268</v>
      </c>
      <c r="B1166" s="7" t="s">
        <v>1115</v>
      </c>
      <c r="C1166" s="8">
        <v>1448.0</v>
      </c>
      <c r="D1166" s="8">
        <v>2999.0</v>
      </c>
      <c r="E1166" s="19">
        <v>0.52</v>
      </c>
      <c r="F1166" s="10">
        <v>4.5</v>
      </c>
      <c r="G1166" s="10">
        <v>19.0</v>
      </c>
      <c r="K1166" s="17"/>
    </row>
    <row r="1167">
      <c r="A1167" s="7" t="s">
        <v>1269</v>
      </c>
      <c r="B1167" s="7" t="s">
        <v>1184</v>
      </c>
      <c r="C1167" s="8">
        <v>79.0</v>
      </c>
      <c r="D1167" s="8">
        <v>79.0</v>
      </c>
      <c r="E1167" s="19">
        <v>0.0</v>
      </c>
      <c r="F1167" s="10">
        <v>4.0</v>
      </c>
      <c r="G1167" s="10">
        <v>97.0</v>
      </c>
      <c r="K1167" s="17"/>
    </row>
    <row r="1168">
      <c r="A1168" s="7" t="s">
        <v>1270</v>
      </c>
      <c r="B1168" s="7" t="s">
        <v>1123</v>
      </c>
      <c r="C1168" s="8">
        <v>6990.0</v>
      </c>
      <c r="D1168" s="8">
        <v>14290.0</v>
      </c>
      <c r="E1168" s="19">
        <v>0.51</v>
      </c>
      <c r="F1168" s="10">
        <v>4.4</v>
      </c>
      <c r="G1168" s="11">
        <v>1771.0</v>
      </c>
      <c r="K1168" s="17"/>
    </row>
    <row r="1169">
      <c r="A1169" s="7" t="s">
        <v>1271</v>
      </c>
      <c r="B1169" s="7" t="s">
        <v>1104</v>
      </c>
      <c r="C1169" s="8">
        <v>2698.0</v>
      </c>
      <c r="D1169" s="8">
        <v>3945.0</v>
      </c>
      <c r="E1169" s="19">
        <v>0.32</v>
      </c>
      <c r="F1169" s="10">
        <v>4.0</v>
      </c>
      <c r="G1169" s="11">
        <v>15034.0</v>
      </c>
      <c r="K1169" s="17"/>
    </row>
    <row r="1170">
      <c r="A1170" s="7" t="s">
        <v>1272</v>
      </c>
      <c r="B1170" s="7" t="s">
        <v>1263</v>
      </c>
      <c r="C1170" s="8">
        <v>3199.0</v>
      </c>
      <c r="D1170" s="8">
        <v>5999.0</v>
      </c>
      <c r="E1170" s="19">
        <v>0.47</v>
      </c>
      <c r="F1170" s="10">
        <v>4.0</v>
      </c>
      <c r="G1170" s="11">
        <v>3242.0</v>
      </c>
      <c r="K1170" s="17"/>
    </row>
    <row r="1171">
      <c r="A1171" s="7" t="s">
        <v>1273</v>
      </c>
      <c r="B1171" s="7" t="s">
        <v>1121</v>
      </c>
      <c r="C1171" s="8">
        <v>1199.0</v>
      </c>
      <c r="D1171" s="8">
        <v>1950.0</v>
      </c>
      <c r="E1171" s="19">
        <v>0.39</v>
      </c>
      <c r="F1171" s="10">
        <v>3.9</v>
      </c>
      <c r="G1171" s="11">
        <v>2832.0</v>
      </c>
      <c r="K1171" s="17"/>
    </row>
    <row r="1172">
      <c r="A1172" s="7" t="s">
        <v>1274</v>
      </c>
      <c r="B1172" s="7" t="s">
        <v>1173</v>
      </c>
      <c r="C1172" s="8">
        <v>1414.0</v>
      </c>
      <c r="D1172" s="8">
        <v>2799.0</v>
      </c>
      <c r="E1172" s="19">
        <v>0.49</v>
      </c>
      <c r="F1172" s="10">
        <v>4.0</v>
      </c>
      <c r="G1172" s="11">
        <v>1498.0</v>
      </c>
      <c r="K1172" s="17"/>
    </row>
    <row r="1173">
      <c r="A1173" s="7" t="s">
        <v>1275</v>
      </c>
      <c r="B1173" s="7" t="s">
        <v>1086</v>
      </c>
      <c r="C1173" s="8">
        <v>999.0</v>
      </c>
      <c r="D1173" s="8">
        <v>1950.0</v>
      </c>
      <c r="E1173" s="19">
        <v>0.49</v>
      </c>
      <c r="F1173" s="10">
        <v>3.8</v>
      </c>
      <c r="G1173" s="10">
        <v>305.0</v>
      </c>
      <c r="K1173" s="17"/>
    </row>
    <row r="1174">
      <c r="A1174" s="7" t="s">
        <v>1276</v>
      </c>
      <c r="B1174" s="7" t="s">
        <v>1190</v>
      </c>
      <c r="C1174" s="8">
        <v>5999.0</v>
      </c>
      <c r="D1174" s="8">
        <v>9999.0</v>
      </c>
      <c r="E1174" s="19">
        <v>0.4</v>
      </c>
      <c r="F1174" s="10">
        <v>4.2</v>
      </c>
      <c r="G1174" s="11">
        <v>1191.0</v>
      </c>
      <c r="K1174" s="17"/>
    </row>
    <row r="1175">
      <c r="A1175" s="7" t="s">
        <v>1277</v>
      </c>
      <c r="B1175" s="7" t="s">
        <v>1278</v>
      </c>
      <c r="C1175" s="8">
        <v>9970.0</v>
      </c>
      <c r="D1175" s="8">
        <v>12999.0</v>
      </c>
      <c r="E1175" s="19">
        <v>0.23</v>
      </c>
      <c r="F1175" s="10">
        <v>4.3</v>
      </c>
      <c r="G1175" s="11">
        <v>4049.0</v>
      </c>
      <c r="K1175" s="17"/>
    </row>
    <row r="1176">
      <c r="A1176" s="7" t="s">
        <v>1279</v>
      </c>
      <c r="B1176" s="7" t="s">
        <v>1280</v>
      </c>
      <c r="C1176" s="8">
        <v>698.0</v>
      </c>
      <c r="D1176" s="8">
        <v>699.0</v>
      </c>
      <c r="E1176" s="19">
        <v>0.0</v>
      </c>
      <c r="F1176" s="10">
        <v>4.2</v>
      </c>
      <c r="G1176" s="11">
        <v>3160.0</v>
      </c>
      <c r="K1176" s="17"/>
    </row>
    <row r="1177">
      <c r="A1177" s="7" t="s">
        <v>1281</v>
      </c>
      <c r="B1177" s="7" t="s">
        <v>1186</v>
      </c>
      <c r="C1177" s="8">
        <v>2199.0</v>
      </c>
      <c r="D1177" s="8">
        <v>3190.0</v>
      </c>
      <c r="E1177" s="19">
        <v>0.31</v>
      </c>
      <c r="F1177" s="10">
        <v>4.3</v>
      </c>
      <c r="G1177" s="11">
        <v>9650.0</v>
      </c>
      <c r="K1177" s="17"/>
    </row>
    <row r="1178">
      <c r="A1178" s="7" t="s">
        <v>1282</v>
      </c>
      <c r="B1178" s="7" t="s">
        <v>1283</v>
      </c>
      <c r="C1178" s="8">
        <v>320.0</v>
      </c>
      <c r="D1178" s="8">
        <v>799.0</v>
      </c>
      <c r="E1178" s="19">
        <v>0.6</v>
      </c>
      <c r="F1178" s="10">
        <v>4.2</v>
      </c>
      <c r="G1178" s="11">
        <v>3846.0</v>
      </c>
      <c r="K1178" s="17"/>
    </row>
    <row r="1179">
      <c r="A1179" s="7" t="s">
        <v>1284</v>
      </c>
      <c r="B1179" s="7" t="s">
        <v>1093</v>
      </c>
      <c r="C1179" s="8">
        <v>298.0</v>
      </c>
      <c r="D1179" s="8">
        <v>499.0</v>
      </c>
      <c r="E1179" s="19">
        <v>0.4</v>
      </c>
      <c r="F1179" s="10">
        <v>4.4</v>
      </c>
      <c r="G1179" s="10">
        <v>290.0</v>
      </c>
      <c r="K1179" s="17"/>
    </row>
    <row r="1180">
      <c r="A1180" s="7" t="s">
        <v>1285</v>
      </c>
      <c r="B1180" s="7" t="s">
        <v>1144</v>
      </c>
      <c r="C1180" s="8">
        <v>1199.0</v>
      </c>
      <c r="D1180" s="8">
        <v>1499.0</v>
      </c>
      <c r="E1180" s="19">
        <v>0.2</v>
      </c>
      <c r="F1180" s="10">
        <v>3.8</v>
      </c>
      <c r="G1180" s="11">
        <v>2206.0</v>
      </c>
      <c r="K1180" s="17"/>
    </row>
    <row r="1181">
      <c r="A1181" s="7" t="s">
        <v>1286</v>
      </c>
      <c r="B1181" s="7" t="s">
        <v>1186</v>
      </c>
      <c r="C1181" s="8">
        <v>1399.0</v>
      </c>
      <c r="D1181" s="8">
        <v>2660.0</v>
      </c>
      <c r="E1181" s="19">
        <v>0.47</v>
      </c>
      <c r="F1181" s="10">
        <v>4.1</v>
      </c>
      <c r="G1181" s="11">
        <v>9349.0</v>
      </c>
      <c r="K1181" s="17"/>
    </row>
    <row r="1182">
      <c r="A1182" s="7" t="s">
        <v>1287</v>
      </c>
      <c r="B1182" s="7" t="s">
        <v>1095</v>
      </c>
      <c r="C1182" s="8">
        <v>599.0</v>
      </c>
      <c r="D1182" s="8">
        <v>2799.0</v>
      </c>
      <c r="E1182" s="19">
        <v>0.79</v>
      </c>
      <c r="F1182" s="10">
        <v>3.9</v>
      </c>
      <c r="G1182" s="10">
        <v>578.0</v>
      </c>
      <c r="K1182" s="17"/>
    </row>
    <row r="1183">
      <c r="A1183" s="7" t="s">
        <v>1288</v>
      </c>
      <c r="B1183" s="7" t="s">
        <v>1206</v>
      </c>
      <c r="C1183" s="8">
        <v>1499.0</v>
      </c>
      <c r="D1183" s="8">
        <v>1499.0</v>
      </c>
      <c r="E1183" s="19">
        <v>0.0</v>
      </c>
      <c r="F1183" s="10">
        <v>4.3</v>
      </c>
      <c r="G1183" s="11">
        <v>9331.0</v>
      </c>
      <c r="K1183" s="17"/>
    </row>
    <row r="1184">
      <c r="A1184" s="7" t="s">
        <v>1289</v>
      </c>
      <c r="B1184" s="7" t="s">
        <v>1278</v>
      </c>
      <c r="C1184" s="8">
        <v>14400.0</v>
      </c>
      <c r="D1184" s="8">
        <v>59900.0</v>
      </c>
      <c r="E1184" s="19">
        <v>0.76</v>
      </c>
      <c r="F1184" s="10">
        <v>4.4</v>
      </c>
      <c r="G1184" s="11">
        <v>3837.0</v>
      </c>
      <c r="K1184" s="17"/>
    </row>
    <row r="1185">
      <c r="A1185" s="7" t="s">
        <v>1290</v>
      </c>
      <c r="B1185" s="7" t="s">
        <v>1280</v>
      </c>
      <c r="C1185" s="8">
        <v>1699.0</v>
      </c>
      <c r="D1185" s="8">
        <v>1900.0</v>
      </c>
      <c r="E1185" s="19">
        <v>0.11</v>
      </c>
      <c r="F1185" s="10">
        <v>3.6</v>
      </c>
      <c r="G1185" s="11">
        <v>11456.0</v>
      </c>
      <c r="K1185" s="17"/>
    </row>
    <row r="1186">
      <c r="A1186" s="7" t="s">
        <v>1291</v>
      </c>
      <c r="B1186" s="7" t="s">
        <v>1089</v>
      </c>
      <c r="C1186" s="8">
        <v>649.0</v>
      </c>
      <c r="D1186" s="8">
        <v>999.0</v>
      </c>
      <c r="E1186" s="19">
        <v>0.35</v>
      </c>
      <c r="F1186" s="10">
        <v>3.8</v>
      </c>
      <c r="G1186" s="10">
        <v>49.0</v>
      </c>
      <c r="K1186" s="17"/>
    </row>
    <row r="1187">
      <c r="A1187" s="7" t="s">
        <v>1292</v>
      </c>
      <c r="B1187" s="7" t="s">
        <v>1113</v>
      </c>
      <c r="C1187" s="8">
        <v>3249.0</v>
      </c>
      <c r="D1187" s="8">
        <v>6375.0</v>
      </c>
      <c r="E1187" s="19">
        <v>0.49</v>
      </c>
      <c r="F1187" s="10">
        <v>4.0</v>
      </c>
      <c r="G1187" s="11">
        <v>4978.0</v>
      </c>
      <c r="K1187" s="17"/>
    </row>
    <row r="1188">
      <c r="A1188" s="7" t="s">
        <v>1293</v>
      </c>
      <c r="B1188" s="7" t="s">
        <v>1137</v>
      </c>
      <c r="C1188" s="8">
        <v>199.0</v>
      </c>
      <c r="D1188" s="8">
        <v>499.0</v>
      </c>
      <c r="E1188" s="19">
        <v>0.6</v>
      </c>
      <c r="F1188" s="10">
        <v>4.1</v>
      </c>
      <c r="G1188" s="11">
        <v>1996.0</v>
      </c>
      <c r="K1188" s="17"/>
    </row>
    <row r="1189">
      <c r="A1189" s="7" t="s">
        <v>1294</v>
      </c>
      <c r="B1189" s="7" t="s">
        <v>1155</v>
      </c>
      <c r="C1189" s="8">
        <v>1099.0</v>
      </c>
      <c r="D1189" s="8">
        <v>1899.0</v>
      </c>
      <c r="E1189" s="19">
        <v>0.42</v>
      </c>
      <c r="F1189" s="10">
        <v>4.3</v>
      </c>
      <c r="G1189" s="11">
        <v>1811.0</v>
      </c>
      <c r="K1189" s="17"/>
    </row>
    <row r="1190">
      <c r="A1190" s="7" t="s">
        <v>1295</v>
      </c>
      <c r="B1190" s="7" t="s">
        <v>1086</v>
      </c>
      <c r="C1190" s="8">
        <v>664.0</v>
      </c>
      <c r="D1190" s="8">
        <v>1490.0</v>
      </c>
      <c r="E1190" s="19">
        <v>0.55</v>
      </c>
      <c r="F1190" s="10">
        <v>4.0</v>
      </c>
      <c r="G1190" s="11">
        <v>2198.0</v>
      </c>
      <c r="K1190" s="17"/>
    </row>
    <row r="1191">
      <c r="A1191" s="7" t="s">
        <v>1296</v>
      </c>
      <c r="B1191" s="7" t="s">
        <v>1159</v>
      </c>
      <c r="C1191" s="8">
        <v>260.0</v>
      </c>
      <c r="D1191" s="8">
        <v>350.0</v>
      </c>
      <c r="E1191" s="19">
        <v>0.26</v>
      </c>
      <c r="F1191" s="10">
        <v>3.9</v>
      </c>
      <c r="G1191" s="11">
        <v>13127.0</v>
      </c>
      <c r="K1191" s="17"/>
    </row>
    <row r="1192">
      <c r="A1192" s="7" t="s">
        <v>1297</v>
      </c>
      <c r="B1192" s="7" t="s">
        <v>1123</v>
      </c>
      <c r="C1192" s="8">
        <v>6499.0</v>
      </c>
      <c r="D1192" s="8">
        <v>8500.0</v>
      </c>
      <c r="E1192" s="19">
        <v>0.24</v>
      </c>
      <c r="F1192" s="10">
        <v>4.4</v>
      </c>
      <c r="G1192" s="11">
        <v>5865.0</v>
      </c>
      <c r="K1192" s="17"/>
    </row>
    <row r="1193">
      <c r="A1193" s="7" t="s">
        <v>1298</v>
      </c>
      <c r="B1193" s="7" t="s">
        <v>1299</v>
      </c>
      <c r="C1193" s="8">
        <v>1484.0</v>
      </c>
      <c r="D1193" s="8">
        <v>2499.0</v>
      </c>
      <c r="E1193" s="19">
        <v>0.41</v>
      </c>
      <c r="F1193" s="10">
        <v>3.7</v>
      </c>
      <c r="G1193" s="11">
        <v>1067.0</v>
      </c>
      <c r="K1193" s="17"/>
    </row>
    <row r="1194">
      <c r="A1194" s="7" t="s">
        <v>1300</v>
      </c>
      <c r="B1194" s="7" t="s">
        <v>1139</v>
      </c>
      <c r="C1194" s="8">
        <v>999.0</v>
      </c>
      <c r="D1194" s="8">
        <v>1560.0</v>
      </c>
      <c r="E1194" s="19">
        <v>0.36</v>
      </c>
      <c r="F1194" s="10">
        <v>3.6</v>
      </c>
      <c r="G1194" s="11">
        <v>4881.0</v>
      </c>
      <c r="K1194" s="17"/>
    </row>
    <row r="1195">
      <c r="A1195" s="7" t="s">
        <v>1301</v>
      </c>
      <c r="B1195" s="7" t="s">
        <v>1144</v>
      </c>
      <c r="C1195" s="8">
        <v>3299.0</v>
      </c>
      <c r="D1195" s="8">
        <v>6500.0</v>
      </c>
      <c r="E1195" s="19">
        <v>0.49</v>
      </c>
      <c r="F1195" s="10">
        <v>3.7</v>
      </c>
      <c r="G1195" s="11">
        <v>11217.0</v>
      </c>
      <c r="K1195" s="17"/>
    </row>
    <row r="1196">
      <c r="A1196" s="7" t="s">
        <v>1302</v>
      </c>
      <c r="B1196" s="7" t="s">
        <v>1109</v>
      </c>
      <c r="C1196" s="8">
        <v>259.0</v>
      </c>
      <c r="D1196" s="8">
        <v>999.0</v>
      </c>
      <c r="E1196" s="19">
        <v>0.74</v>
      </c>
      <c r="F1196" s="10">
        <v>4.0</v>
      </c>
      <c r="G1196" s="10">
        <v>43.0</v>
      </c>
      <c r="K1196" s="17"/>
    </row>
    <row r="1197">
      <c r="A1197" s="7" t="s">
        <v>1303</v>
      </c>
      <c r="B1197" s="7" t="s">
        <v>1113</v>
      </c>
      <c r="C1197" s="8">
        <v>3249.0</v>
      </c>
      <c r="D1197" s="8">
        <v>7795.0</v>
      </c>
      <c r="E1197" s="19">
        <v>0.58</v>
      </c>
      <c r="F1197" s="10">
        <v>4.2</v>
      </c>
      <c r="G1197" s="11">
        <v>4664.0</v>
      </c>
      <c r="K1197" s="17"/>
    </row>
    <row r="1198">
      <c r="A1198" s="7" t="s">
        <v>1304</v>
      </c>
      <c r="B1198" s="7" t="s">
        <v>1139</v>
      </c>
      <c r="C1198" s="8">
        <v>4280.0</v>
      </c>
      <c r="D1198" s="8">
        <v>5995.0</v>
      </c>
      <c r="E1198" s="19">
        <v>0.29</v>
      </c>
      <c r="F1198" s="10">
        <v>3.8</v>
      </c>
      <c r="G1198" s="11">
        <v>2112.0</v>
      </c>
      <c r="K1198" s="17"/>
    </row>
    <row r="1199">
      <c r="A1199" s="7" t="s">
        <v>1305</v>
      </c>
      <c r="B1199" s="7" t="s">
        <v>1306</v>
      </c>
      <c r="C1199" s="8">
        <v>189.0</v>
      </c>
      <c r="D1199" s="8">
        <v>299.0</v>
      </c>
      <c r="E1199" s="19">
        <v>0.37</v>
      </c>
      <c r="F1199" s="10">
        <v>4.2</v>
      </c>
      <c r="G1199" s="11">
        <v>2737.0</v>
      </c>
      <c r="K1199" s="17"/>
    </row>
    <row r="1200">
      <c r="A1200" s="7" t="s">
        <v>1307</v>
      </c>
      <c r="B1200" s="7" t="s">
        <v>1186</v>
      </c>
      <c r="C1200" s="8">
        <v>1449.0</v>
      </c>
      <c r="D1200" s="8">
        <v>2349.0</v>
      </c>
      <c r="E1200" s="19">
        <v>0.38</v>
      </c>
      <c r="F1200" s="10">
        <v>3.9</v>
      </c>
      <c r="G1200" s="11">
        <v>9019.0</v>
      </c>
      <c r="K1200" s="17"/>
    </row>
    <row r="1201">
      <c r="A1201" s="7" t="s">
        <v>1308</v>
      </c>
      <c r="B1201" s="7" t="s">
        <v>1137</v>
      </c>
      <c r="C1201" s="8">
        <v>199.0</v>
      </c>
      <c r="D1201" s="8">
        <v>499.0</v>
      </c>
      <c r="E1201" s="19">
        <v>0.6</v>
      </c>
      <c r="F1201" s="10">
        <v>4.0</v>
      </c>
      <c r="G1201" s="11">
        <v>10234.0</v>
      </c>
      <c r="K1201" s="17"/>
    </row>
    <row r="1202">
      <c r="A1202" s="7" t="s">
        <v>1309</v>
      </c>
      <c r="B1202" s="7" t="s">
        <v>1310</v>
      </c>
      <c r="C1202" s="8">
        <v>474.0</v>
      </c>
      <c r="D1202" s="8">
        <v>1299.0</v>
      </c>
      <c r="E1202" s="19">
        <v>0.64</v>
      </c>
      <c r="F1202" s="10">
        <v>4.1</v>
      </c>
      <c r="G1202" s="10">
        <v>550.0</v>
      </c>
      <c r="K1202" s="17"/>
    </row>
    <row r="1203">
      <c r="A1203" s="7" t="s">
        <v>1311</v>
      </c>
      <c r="B1203" s="7" t="s">
        <v>1109</v>
      </c>
      <c r="C1203" s="8">
        <v>279.0</v>
      </c>
      <c r="D1203" s="8">
        <v>499.0</v>
      </c>
      <c r="E1203" s="19">
        <v>0.44</v>
      </c>
      <c r="F1203" s="10">
        <v>4.8</v>
      </c>
      <c r="G1203" s="10">
        <v>28.0</v>
      </c>
      <c r="K1203" s="17"/>
    </row>
    <row r="1204">
      <c r="A1204" s="7" t="s">
        <v>1312</v>
      </c>
      <c r="B1204" s="7" t="s">
        <v>1186</v>
      </c>
      <c r="C1204" s="8">
        <v>1999.0</v>
      </c>
      <c r="D1204" s="8">
        <v>4775.0</v>
      </c>
      <c r="E1204" s="19">
        <v>0.58</v>
      </c>
      <c r="F1204" s="10">
        <v>4.2</v>
      </c>
      <c r="G1204" s="11">
        <v>1353.0</v>
      </c>
      <c r="K1204" s="17"/>
    </row>
    <row r="1205">
      <c r="A1205" s="7" t="s">
        <v>1313</v>
      </c>
      <c r="B1205" s="7" t="s">
        <v>1093</v>
      </c>
      <c r="C1205" s="8">
        <v>799.0</v>
      </c>
      <c r="D1205" s="8">
        <v>1230.0</v>
      </c>
      <c r="E1205" s="19">
        <v>0.35</v>
      </c>
      <c r="F1205" s="10">
        <v>4.1</v>
      </c>
      <c r="G1205" s="11">
        <v>2138.0</v>
      </c>
      <c r="K1205" s="17"/>
    </row>
    <row r="1206">
      <c r="A1206" s="7" t="s">
        <v>1314</v>
      </c>
      <c r="B1206" s="7" t="s">
        <v>1173</v>
      </c>
      <c r="C1206" s="8">
        <v>949.0</v>
      </c>
      <c r="D1206" s="8">
        <v>1999.0</v>
      </c>
      <c r="E1206" s="19">
        <v>0.53</v>
      </c>
      <c r="F1206" s="10">
        <v>4.0</v>
      </c>
      <c r="G1206" s="11">
        <v>1679.0</v>
      </c>
      <c r="K1206" s="17"/>
    </row>
    <row r="1207">
      <c r="A1207" s="7" t="s">
        <v>1315</v>
      </c>
      <c r="B1207" s="7" t="s">
        <v>1316</v>
      </c>
      <c r="C1207" s="8">
        <v>3657.66</v>
      </c>
      <c r="D1207" s="8">
        <v>5156.0</v>
      </c>
      <c r="E1207" s="19">
        <v>0.29</v>
      </c>
      <c r="F1207" s="10">
        <v>3.9</v>
      </c>
      <c r="G1207" s="11">
        <v>12837.0</v>
      </c>
      <c r="K1207" s="17"/>
    </row>
    <row r="1208">
      <c r="A1208" s="7" t="s">
        <v>1317</v>
      </c>
      <c r="B1208" s="7" t="s">
        <v>1318</v>
      </c>
      <c r="C1208" s="8">
        <v>1699.0</v>
      </c>
      <c r="D1208" s="8">
        <v>1999.0</v>
      </c>
      <c r="E1208" s="19">
        <v>0.15</v>
      </c>
      <c r="F1208" s="10">
        <v>4.1</v>
      </c>
      <c r="G1208" s="11">
        <v>8873.0</v>
      </c>
      <c r="K1208" s="17"/>
    </row>
    <row r="1209">
      <c r="A1209" s="7" t="s">
        <v>1319</v>
      </c>
      <c r="B1209" s="7" t="s">
        <v>1139</v>
      </c>
      <c r="C1209" s="8">
        <v>1849.0</v>
      </c>
      <c r="D1209" s="8">
        <v>2095.0</v>
      </c>
      <c r="E1209" s="19">
        <v>0.12</v>
      </c>
      <c r="F1209" s="10">
        <v>4.3</v>
      </c>
      <c r="G1209" s="11">
        <v>7681.0</v>
      </c>
      <c r="K1209" s="17"/>
    </row>
    <row r="1210">
      <c r="A1210" s="7" t="s">
        <v>1320</v>
      </c>
      <c r="B1210" s="7" t="s">
        <v>1091</v>
      </c>
      <c r="C1210" s="8">
        <v>12499.0</v>
      </c>
      <c r="D1210" s="8">
        <v>19825.0</v>
      </c>
      <c r="E1210" s="19">
        <v>0.37</v>
      </c>
      <c r="F1210" s="10">
        <v>4.1</v>
      </c>
      <c r="G1210" s="10">
        <v>322.0</v>
      </c>
      <c r="K1210" s="17"/>
    </row>
    <row r="1211">
      <c r="A1211" s="7" t="s">
        <v>1321</v>
      </c>
      <c r="B1211" s="7" t="s">
        <v>1111</v>
      </c>
      <c r="C1211" s="8">
        <v>1099.0</v>
      </c>
      <c r="D1211" s="8">
        <v>1920.0</v>
      </c>
      <c r="E1211" s="19">
        <v>0.43</v>
      </c>
      <c r="F1211" s="10">
        <v>4.2</v>
      </c>
      <c r="G1211" s="11">
        <v>9772.0</v>
      </c>
      <c r="K1211" s="17"/>
    </row>
    <row r="1212">
      <c r="A1212" s="7" t="s">
        <v>1322</v>
      </c>
      <c r="B1212" s="7" t="s">
        <v>1280</v>
      </c>
      <c r="C1212" s="8">
        <v>8199.0</v>
      </c>
      <c r="D1212" s="8">
        <v>16000.0</v>
      </c>
      <c r="E1212" s="19">
        <v>0.49</v>
      </c>
      <c r="F1212" s="10">
        <v>3.9</v>
      </c>
      <c r="G1212" s="11">
        <v>18497.0</v>
      </c>
      <c r="K1212" s="17"/>
    </row>
    <row r="1213">
      <c r="A1213" s="7" t="s">
        <v>1323</v>
      </c>
      <c r="B1213" s="7" t="s">
        <v>1144</v>
      </c>
      <c r="C1213" s="8">
        <v>499.0</v>
      </c>
      <c r="D1213" s="8">
        <v>2199.0</v>
      </c>
      <c r="E1213" s="19">
        <v>0.77</v>
      </c>
      <c r="F1213" s="10">
        <v>3.7</v>
      </c>
      <c r="G1213" s="10">
        <v>53.0</v>
      </c>
      <c r="K1213" s="17"/>
    </row>
    <row r="1214">
      <c r="A1214" s="7" t="s">
        <v>1324</v>
      </c>
      <c r="B1214" s="7" t="s">
        <v>1148</v>
      </c>
      <c r="C1214" s="8">
        <v>6999.0</v>
      </c>
      <c r="D1214" s="8">
        <v>14999.0</v>
      </c>
      <c r="E1214" s="19">
        <v>0.53</v>
      </c>
      <c r="F1214" s="10">
        <v>4.1</v>
      </c>
      <c r="G1214" s="11">
        <v>1728.0</v>
      </c>
      <c r="K1214" s="17"/>
    </row>
    <row r="1215">
      <c r="A1215" s="7" t="s">
        <v>1325</v>
      </c>
      <c r="B1215" s="7" t="s">
        <v>1184</v>
      </c>
      <c r="C1215" s="8">
        <v>1595.0</v>
      </c>
      <c r="D1215" s="8">
        <v>1799.0</v>
      </c>
      <c r="E1215" s="19">
        <v>0.11</v>
      </c>
      <c r="F1215" s="10">
        <v>4.0</v>
      </c>
      <c r="G1215" s="11">
        <v>2877.0</v>
      </c>
      <c r="K1215" s="17"/>
    </row>
    <row r="1216">
      <c r="A1216" s="7" t="s">
        <v>1326</v>
      </c>
      <c r="B1216" s="7" t="s">
        <v>1111</v>
      </c>
      <c r="C1216" s="8">
        <v>1049.0</v>
      </c>
      <c r="D1216" s="8">
        <v>1950.0</v>
      </c>
      <c r="E1216" s="19">
        <v>0.46</v>
      </c>
      <c r="F1216" s="10">
        <v>3.8</v>
      </c>
      <c r="G1216" s="10">
        <v>250.0</v>
      </c>
      <c r="K1216" s="17"/>
    </row>
    <row r="1217">
      <c r="A1217" s="7" t="s">
        <v>1327</v>
      </c>
      <c r="B1217" s="7" t="s">
        <v>1121</v>
      </c>
      <c r="C1217" s="8">
        <v>1182.0</v>
      </c>
      <c r="D1217" s="8">
        <v>2995.0</v>
      </c>
      <c r="E1217" s="19">
        <v>0.61</v>
      </c>
      <c r="F1217" s="10">
        <v>4.2</v>
      </c>
      <c r="G1217" s="11">
        <v>5178.0</v>
      </c>
      <c r="K1217" s="17"/>
    </row>
    <row r="1218">
      <c r="A1218" s="7" t="s">
        <v>1328</v>
      </c>
      <c r="B1218" s="7" t="s">
        <v>1093</v>
      </c>
      <c r="C1218" s="8">
        <v>499.0</v>
      </c>
      <c r="D1218" s="8">
        <v>999.0</v>
      </c>
      <c r="E1218" s="19">
        <v>0.5</v>
      </c>
      <c r="F1218" s="10">
        <v>4.6</v>
      </c>
      <c r="G1218" s="10">
        <v>79.0</v>
      </c>
      <c r="K1218" s="17"/>
    </row>
    <row r="1219">
      <c r="A1219" s="7" t="s">
        <v>1329</v>
      </c>
      <c r="B1219" s="7" t="s">
        <v>1278</v>
      </c>
      <c r="C1219" s="8">
        <v>8799.0</v>
      </c>
      <c r="D1219" s="8">
        <v>11995.0</v>
      </c>
      <c r="E1219" s="19">
        <v>0.27</v>
      </c>
      <c r="F1219" s="10">
        <v>4.1</v>
      </c>
      <c r="G1219" s="11">
        <v>4157.0</v>
      </c>
      <c r="K1219" s="17"/>
    </row>
    <row r="1220">
      <c r="A1220" s="7" t="s">
        <v>1330</v>
      </c>
      <c r="B1220" s="7" t="s">
        <v>1089</v>
      </c>
      <c r="C1220" s="8">
        <v>1529.0</v>
      </c>
      <c r="D1220" s="8">
        <v>2999.0</v>
      </c>
      <c r="E1220" s="19">
        <v>0.49</v>
      </c>
      <c r="F1220" s="10">
        <v>3.3</v>
      </c>
      <c r="G1220" s="10">
        <v>29.0</v>
      </c>
      <c r="K1220" s="17"/>
    </row>
    <row r="1221">
      <c r="A1221" s="7" t="s">
        <v>1331</v>
      </c>
      <c r="B1221" s="7" t="s">
        <v>1111</v>
      </c>
      <c r="C1221" s="8">
        <v>1199.0</v>
      </c>
      <c r="D1221" s="8">
        <v>1690.0</v>
      </c>
      <c r="E1221" s="19">
        <v>0.29</v>
      </c>
      <c r="F1221" s="10">
        <v>4.2</v>
      </c>
      <c r="G1221" s="11">
        <v>4580.0</v>
      </c>
      <c r="K1221" s="17"/>
    </row>
    <row r="1222">
      <c r="A1222" s="7" t="s">
        <v>1332</v>
      </c>
      <c r="B1222" s="7" t="s">
        <v>1155</v>
      </c>
      <c r="C1222" s="8">
        <v>1052.0</v>
      </c>
      <c r="D1222" s="8">
        <v>1790.0</v>
      </c>
      <c r="E1222" s="19">
        <v>0.41</v>
      </c>
      <c r="F1222" s="10">
        <v>4.3</v>
      </c>
      <c r="G1222" s="11">
        <v>1404.0</v>
      </c>
      <c r="K1222" s="17"/>
    </row>
    <row r="1223">
      <c r="A1223" s="7" t="s">
        <v>1333</v>
      </c>
      <c r="B1223" s="7" t="s">
        <v>1334</v>
      </c>
      <c r="C1223" s="8">
        <v>6499.0</v>
      </c>
      <c r="D1223" s="8">
        <v>8995.0</v>
      </c>
      <c r="E1223" s="19">
        <v>0.28</v>
      </c>
      <c r="F1223" s="10">
        <v>4.3</v>
      </c>
      <c r="G1223" s="11">
        <v>2810.0</v>
      </c>
      <c r="K1223" s="17"/>
    </row>
    <row r="1224">
      <c r="A1224" s="7" t="s">
        <v>1335</v>
      </c>
      <c r="B1224" s="7" t="s">
        <v>1179</v>
      </c>
      <c r="C1224" s="8">
        <v>239.0</v>
      </c>
      <c r="D1224" s="8">
        <v>239.0</v>
      </c>
      <c r="E1224" s="19">
        <v>0.0</v>
      </c>
      <c r="F1224" s="10">
        <v>4.3</v>
      </c>
      <c r="G1224" s="10">
        <v>7.0</v>
      </c>
      <c r="K1224" s="17"/>
    </row>
    <row r="1225">
      <c r="A1225" s="7" t="s">
        <v>1336</v>
      </c>
      <c r="B1225" s="7" t="s">
        <v>1109</v>
      </c>
      <c r="C1225" s="8">
        <v>699.0</v>
      </c>
      <c r="D1225" s="8">
        <v>1599.0</v>
      </c>
      <c r="E1225" s="19">
        <v>0.56</v>
      </c>
      <c r="F1225" s="10">
        <v>4.7</v>
      </c>
      <c r="G1225" s="11">
        <v>1729.0</v>
      </c>
      <c r="K1225" s="17"/>
    </row>
    <row r="1226">
      <c r="A1226" s="7" t="s">
        <v>1337</v>
      </c>
      <c r="B1226" s="7" t="s">
        <v>1338</v>
      </c>
      <c r="C1226" s="8">
        <v>2599.0</v>
      </c>
      <c r="D1226" s="8">
        <v>4290.0</v>
      </c>
      <c r="E1226" s="19">
        <v>0.39</v>
      </c>
      <c r="F1226" s="10">
        <v>4.4</v>
      </c>
      <c r="G1226" s="11">
        <v>2116.0</v>
      </c>
      <c r="K1226" s="17"/>
    </row>
    <row r="1227">
      <c r="A1227" s="7" t="s">
        <v>1339</v>
      </c>
      <c r="B1227" s="7" t="s">
        <v>1148</v>
      </c>
      <c r="C1227" s="8">
        <v>1547.0</v>
      </c>
      <c r="D1227" s="8">
        <v>2890.0</v>
      </c>
      <c r="E1227" s="19">
        <v>0.46</v>
      </c>
      <c r="F1227" s="10">
        <v>3.9</v>
      </c>
      <c r="G1227" s="10">
        <v>463.0</v>
      </c>
      <c r="K1227" s="17"/>
    </row>
    <row r="1228">
      <c r="A1228" s="7" t="s">
        <v>1340</v>
      </c>
      <c r="B1228" s="7" t="s">
        <v>1109</v>
      </c>
      <c r="C1228" s="8">
        <v>499.0</v>
      </c>
      <c r="D1228" s="8">
        <v>1299.0</v>
      </c>
      <c r="E1228" s="19">
        <v>0.62</v>
      </c>
      <c r="F1228" s="10">
        <v>4.7</v>
      </c>
      <c r="G1228" s="10">
        <v>54.0</v>
      </c>
      <c r="K1228" s="17"/>
    </row>
    <row r="1229">
      <c r="A1229" s="7" t="s">
        <v>1341</v>
      </c>
      <c r="B1229" s="7" t="s">
        <v>1131</v>
      </c>
      <c r="C1229" s="8">
        <v>510.0</v>
      </c>
      <c r="D1229" s="8">
        <v>640.0</v>
      </c>
      <c r="E1229" s="19">
        <v>0.2</v>
      </c>
      <c r="F1229" s="10">
        <v>4.1</v>
      </c>
      <c r="G1229" s="11">
        <v>7229.0</v>
      </c>
      <c r="K1229" s="17"/>
    </row>
    <row r="1230">
      <c r="A1230" s="7" t="s">
        <v>1342</v>
      </c>
      <c r="B1230" s="7" t="s">
        <v>1115</v>
      </c>
      <c r="C1230" s="8">
        <v>1899.0</v>
      </c>
      <c r="D1230" s="8">
        <v>3790.0</v>
      </c>
      <c r="E1230" s="19">
        <v>0.5</v>
      </c>
      <c r="F1230" s="10">
        <v>3.8</v>
      </c>
      <c r="G1230" s="11">
        <v>3842.0</v>
      </c>
      <c r="K1230" s="17"/>
    </row>
    <row r="1231">
      <c r="A1231" s="7" t="s">
        <v>1343</v>
      </c>
      <c r="B1231" s="7" t="s">
        <v>1115</v>
      </c>
      <c r="C1231" s="8">
        <v>2599.0</v>
      </c>
      <c r="D1231" s="8">
        <v>4560.0</v>
      </c>
      <c r="E1231" s="19">
        <v>0.43</v>
      </c>
      <c r="F1231" s="10">
        <v>4.4</v>
      </c>
      <c r="G1231" s="10">
        <v>646.0</v>
      </c>
      <c r="K1231" s="17"/>
    </row>
    <row r="1232">
      <c r="A1232" s="7" t="s">
        <v>1344</v>
      </c>
      <c r="B1232" s="7" t="s">
        <v>1155</v>
      </c>
      <c r="C1232" s="8">
        <v>1199.0</v>
      </c>
      <c r="D1232" s="8">
        <v>3500.0</v>
      </c>
      <c r="E1232" s="19">
        <v>0.66</v>
      </c>
      <c r="F1232" s="10">
        <v>4.3</v>
      </c>
      <c r="G1232" s="11">
        <v>1802.0</v>
      </c>
      <c r="K1232" s="17"/>
    </row>
    <row r="1233">
      <c r="A1233" s="7" t="s">
        <v>1345</v>
      </c>
      <c r="B1233" s="7" t="s">
        <v>1115</v>
      </c>
      <c r="C1233" s="8">
        <v>999.0</v>
      </c>
      <c r="D1233" s="8">
        <v>2600.0</v>
      </c>
      <c r="E1233" s="19">
        <v>0.62</v>
      </c>
      <c r="F1233" s="10">
        <v>3.4</v>
      </c>
      <c r="G1233" s="10">
        <v>252.0</v>
      </c>
      <c r="K1233" s="17"/>
    </row>
    <row r="1234">
      <c r="A1234" s="7" t="s">
        <v>1346</v>
      </c>
      <c r="B1234" s="7" t="s">
        <v>1104</v>
      </c>
      <c r="C1234" s="8">
        <v>1999.0</v>
      </c>
      <c r="D1234" s="8">
        <v>3300.0</v>
      </c>
      <c r="E1234" s="19">
        <v>0.39</v>
      </c>
      <c r="F1234" s="10">
        <v>4.2</v>
      </c>
      <c r="G1234" s="10">
        <v>780.0</v>
      </c>
      <c r="K1234" s="17"/>
    </row>
    <row r="1235">
      <c r="A1235" s="7" t="s">
        <v>1347</v>
      </c>
      <c r="B1235" s="7" t="s">
        <v>1109</v>
      </c>
      <c r="C1235" s="8">
        <v>210.0</v>
      </c>
      <c r="D1235" s="8">
        <v>699.0</v>
      </c>
      <c r="E1235" s="19">
        <v>0.7</v>
      </c>
      <c r="F1235" s="10">
        <v>3.7</v>
      </c>
      <c r="G1235" s="10">
        <v>74.0</v>
      </c>
      <c r="K1235" s="17"/>
    </row>
    <row r="1236">
      <c r="A1236" s="7" t="s">
        <v>1348</v>
      </c>
      <c r="B1236" s="7" t="s">
        <v>1278</v>
      </c>
      <c r="C1236" s="8">
        <v>14499.0</v>
      </c>
      <c r="D1236" s="8">
        <v>23559.0</v>
      </c>
      <c r="E1236" s="19">
        <v>0.38</v>
      </c>
      <c r="F1236" s="10">
        <v>4.3</v>
      </c>
      <c r="G1236" s="11">
        <v>2026.0</v>
      </c>
      <c r="K1236" s="17"/>
    </row>
    <row r="1237">
      <c r="A1237" s="7" t="s">
        <v>1349</v>
      </c>
      <c r="B1237" s="7" t="s">
        <v>1137</v>
      </c>
      <c r="C1237" s="8">
        <v>950.0</v>
      </c>
      <c r="D1237" s="8">
        <v>1599.0</v>
      </c>
      <c r="E1237" s="19">
        <v>0.41</v>
      </c>
      <c r="F1237" s="10">
        <v>4.3</v>
      </c>
      <c r="G1237" s="11">
        <v>5911.0</v>
      </c>
      <c r="K1237" s="17"/>
    </row>
    <row r="1238">
      <c r="A1238" s="7" t="s">
        <v>1350</v>
      </c>
      <c r="B1238" s="7" t="s">
        <v>1135</v>
      </c>
      <c r="C1238" s="8">
        <v>7199.0</v>
      </c>
      <c r="D1238" s="8">
        <v>9995.0</v>
      </c>
      <c r="E1238" s="19">
        <v>0.28</v>
      </c>
      <c r="F1238" s="10">
        <v>4.4</v>
      </c>
      <c r="G1238" s="11">
        <v>1964.0</v>
      </c>
      <c r="K1238" s="17"/>
    </row>
    <row r="1239">
      <c r="A1239" s="7" t="s">
        <v>1351</v>
      </c>
      <c r="B1239" s="7" t="s">
        <v>1089</v>
      </c>
      <c r="C1239" s="8">
        <v>2439.0</v>
      </c>
      <c r="D1239" s="8">
        <v>2545.0</v>
      </c>
      <c r="E1239" s="19">
        <v>0.04</v>
      </c>
      <c r="F1239" s="10">
        <v>4.1</v>
      </c>
      <c r="G1239" s="10">
        <v>25.0</v>
      </c>
      <c r="K1239" s="17"/>
    </row>
    <row r="1240">
      <c r="A1240" s="7" t="s">
        <v>1352</v>
      </c>
      <c r="B1240" s="7" t="s">
        <v>1139</v>
      </c>
      <c r="C1240" s="8">
        <v>7799.0</v>
      </c>
      <c r="D1240" s="8">
        <v>8995.0</v>
      </c>
      <c r="E1240" s="19">
        <v>0.13</v>
      </c>
      <c r="F1240" s="10">
        <v>4.0</v>
      </c>
      <c r="G1240" s="11">
        <v>3160.0</v>
      </c>
      <c r="K1240" s="17"/>
    </row>
    <row r="1241">
      <c r="A1241" s="7" t="s">
        <v>1353</v>
      </c>
      <c r="B1241" s="7" t="s">
        <v>1173</v>
      </c>
      <c r="C1241" s="8">
        <v>1599.0</v>
      </c>
      <c r="D1241" s="8">
        <v>1999.0</v>
      </c>
      <c r="E1241" s="19">
        <v>0.2</v>
      </c>
      <c r="F1241" s="10">
        <v>4.4</v>
      </c>
      <c r="G1241" s="11">
        <v>1558.0</v>
      </c>
      <c r="K1241" s="17"/>
    </row>
    <row r="1242">
      <c r="A1242" s="7" t="s">
        <v>1354</v>
      </c>
      <c r="B1242" s="7" t="s">
        <v>1113</v>
      </c>
      <c r="C1242" s="8">
        <v>2899.0</v>
      </c>
      <c r="D1242" s="8">
        <v>5500.0</v>
      </c>
      <c r="E1242" s="19">
        <v>0.47</v>
      </c>
      <c r="F1242" s="10">
        <v>3.8</v>
      </c>
      <c r="G1242" s="11">
        <v>8958.0</v>
      </c>
      <c r="K1242" s="17"/>
    </row>
    <row r="1243">
      <c r="A1243" s="7" t="s">
        <v>1355</v>
      </c>
      <c r="B1243" s="7" t="s">
        <v>1299</v>
      </c>
      <c r="C1243" s="8">
        <v>9799.0</v>
      </c>
      <c r="D1243" s="8">
        <v>12150.0</v>
      </c>
      <c r="E1243" s="19">
        <v>0.19</v>
      </c>
      <c r="F1243" s="10">
        <v>4.3</v>
      </c>
      <c r="G1243" s="11">
        <v>13251.0</v>
      </c>
      <c r="K1243" s="17"/>
    </row>
    <row r="1244">
      <c r="A1244" s="7" t="s">
        <v>1356</v>
      </c>
      <c r="B1244" s="7" t="s">
        <v>1139</v>
      </c>
      <c r="C1244" s="8">
        <v>3299.0</v>
      </c>
      <c r="D1244" s="8">
        <v>4995.0</v>
      </c>
      <c r="E1244" s="19">
        <v>0.34</v>
      </c>
      <c r="F1244" s="10">
        <v>3.8</v>
      </c>
      <c r="G1244" s="11">
        <v>1393.0</v>
      </c>
      <c r="K1244" s="17"/>
    </row>
    <row r="1245">
      <c r="A1245" s="7" t="s">
        <v>1357</v>
      </c>
      <c r="B1245" s="7" t="s">
        <v>1109</v>
      </c>
      <c r="C1245" s="8">
        <v>669.0</v>
      </c>
      <c r="D1245" s="8">
        <v>1499.0</v>
      </c>
      <c r="E1245" s="19">
        <v>0.55</v>
      </c>
      <c r="F1245" s="10">
        <v>2.3</v>
      </c>
      <c r="G1245" s="10">
        <v>13.0</v>
      </c>
      <c r="K1245" s="17"/>
    </row>
    <row r="1246">
      <c r="A1246" s="7" t="s">
        <v>1358</v>
      </c>
      <c r="B1246" s="7" t="s">
        <v>1144</v>
      </c>
      <c r="C1246" s="8">
        <v>5890.0</v>
      </c>
      <c r="D1246" s="8">
        <v>7506.0</v>
      </c>
      <c r="E1246" s="19">
        <v>0.22</v>
      </c>
      <c r="F1246" s="10">
        <v>4.5</v>
      </c>
      <c r="G1246" s="11">
        <v>7241.0</v>
      </c>
      <c r="K1246" s="17"/>
    </row>
    <row r="1247">
      <c r="A1247" s="7" t="s">
        <v>1359</v>
      </c>
      <c r="B1247" s="7" t="s">
        <v>1280</v>
      </c>
      <c r="C1247" s="8">
        <v>9199.0</v>
      </c>
      <c r="D1247" s="8">
        <v>18000.0</v>
      </c>
      <c r="E1247" s="19">
        <v>0.49</v>
      </c>
      <c r="F1247" s="10">
        <v>4.0</v>
      </c>
      <c r="G1247" s="11">
        <v>16020.0</v>
      </c>
      <c r="K1247" s="17"/>
    </row>
    <row r="1248">
      <c r="A1248" s="7" t="s">
        <v>1360</v>
      </c>
      <c r="B1248" s="7" t="s">
        <v>1137</v>
      </c>
      <c r="C1248" s="8">
        <v>351.0</v>
      </c>
      <c r="D1248" s="8">
        <v>1099.0</v>
      </c>
      <c r="E1248" s="19">
        <v>0.68</v>
      </c>
      <c r="F1248" s="10">
        <v>3.7</v>
      </c>
      <c r="G1248" s="11">
        <v>1470.0</v>
      </c>
      <c r="K1248" s="17"/>
    </row>
    <row r="1249">
      <c r="A1249" s="7" t="s">
        <v>1361</v>
      </c>
      <c r="B1249" s="7" t="s">
        <v>1362</v>
      </c>
      <c r="C1249" s="8">
        <v>899.0</v>
      </c>
      <c r="D1249" s="8">
        <v>1900.0</v>
      </c>
      <c r="E1249" s="19">
        <v>0.53</v>
      </c>
      <c r="F1249" s="10">
        <v>4.0</v>
      </c>
      <c r="G1249" s="11">
        <v>3663.0</v>
      </c>
      <c r="K1249" s="17"/>
    </row>
    <row r="1250">
      <c r="A1250" s="7" t="s">
        <v>1363</v>
      </c>
      <c r="B1250" s="7" t="s">
        <v>1121</v>
      </c>
      <c r="C1250" s="8">
        <v>1349.0</v>
      </c>
      <c r="D1250" s="8">
        <v>1850.0</v>
      </c>
      <c r="E1250" s="19">
        <v>0.27</v>
      </c>
      <c r="F1250" s="10">
        <v>4.4</v>
      </c>
      <c r="G1250" s="10">
        <v>638.0</v>
      </c>
      <c r="K1250" s="17"/>
    </row>
    <row r="1251">
      <c r="A1251" s="7" t="s">
        <v>1364</v>
      </c>
      <c r="B1251" s="7" t="s">
        <v>1263</v>
      </c>
      <c r="C1251" s="8">
        <v>6236.0</v>
      </c>
      <c r="D1251" s="8">
        <v>9999.0</v>
      </c>
      <c r="E1251" s="19">
        <v>0.38</v>
      </c>
      <c r="F1251" s="10">
        <v>4.1</v>
      </c>
      <c r="G1251" s="11">
        <v>3552.0</v>
      </c>
      <c r="K1251" s="17"/>
    </row>
    <row r="1252">
      <c r="A1252" s="7" t="s">
        <v>1365</v>
      </c>
      <c r="B1252" s="7" t="s">
        <v>1109</v>
      </c>
      <c r="C1252" s="8">
        <v>2742.0</v>
      </c>
      <c r="D1252" s="8">
        <v>3995.0</v>
      </c>
      <c r="E1252" s="19">
        <v>0.31</v>
      </c>
      <c r="F1252" s="10">
        <v>4.4</v>
      </c>
      <c r="G1252" s="11">
        <v>11148.0</v>
      </c>
      <c r="K1252" s="17"/>
    </row>
    <row r="1253">
      <c r="A1253" s="7" t="s">
        <v>1366</v>
      </c>
      <c r="B1253" s="7" t="s">
        <v>1299</v>
      </c>
      <c r="C1253" s="8">
        <v>721.0</v>
      </c>
      <c r="D1253" s="8">
        <v>1499.0</v>
      </c>
      <c r="E1253" s="19">
        <v>0.52</v>
      </c>
      <c r="F1253" s="10">
        <v>3.1</v>
      </c>
      <c r="G1253" s="11">
        <v>2449.0</v>
      </c>
      <c r="K1253" s="17"/>
    </row>
    <row r="1254">
      <c r="A1254" s="7" t="s">
        <v>1367</v>
      </c>
      <c r="B1254" s="7" t="s">
        <v>1139</v>
      </c>
      <c r="C1254" s="8">
        <v>2903.0</v>
      </c>
      <c r="D1254" s="8">
        <v>3295.0</v>
      </c>
      <c r="E1254" s="19">
        <v>0.12</v>
      </c>
      <c r="F1254" s="10">
        <v>4.3</v>
      </c>
      <c r="G1254" s="11">
        <v>2299.0</v>
      </c>
      <c r="K1254" s="17"/>
    </row>
    <row r="1255">
      <c r="A1255" s="7" t="s">
        <v>1368</v>
      </c>
      <c r="B1255" s="7" t="s">
        <v>1173</v>
      </c>
      <c r="C1255" s="8">
        <v>1656.0</v>
      </c>
      <c r="D1255" s="8">
        <v>2695.0</v>
      </c>
      <c r="E1255" s="19">
        <v>0.39</v>
      </c>
      <c r="F1255" s="10">
        <v>4.4</v>
      </c>
      <c r="G1255" s="11">
        <v>6027.0</v>
      </c>
      <c r="K1255" s="17"/>
    </row>
    <row r="1256">
      <c r="A1256" s="7" t="s">
        <v>1369</v>
      </c>
      <c r="B1256" s="7" t="s">
        <v>1155</v>
      </c>
      <c r="C1256" s="8">
        <v>1399.0</v>
      </c>
      <c r="D1256" s="8">
        <v>2290.0</v>
      </c>
      <c r="E1256" s="19">
        <v>0.39</v>
      </c>
      <c r="F1256" s="10">
        <v>4.4</v>
      </c>
      <c r="G1256" s="10">
        <v>461.0</v>
      </c>
      <c r="K1256" s="17"/>
    </row>
    <row r="1257">
      <c r="A1257" s="7" t="s">
        <v>1370</v>
      </c>
      <c r="B1257" s="7" t="s">
        <v>1159</v>
      </c>
      <c r="C1257" s="8">
        <v>2079.0</v>
      </c>
      <c r="D1257" s="8">
        <v>3099.0</v>
      </c>
      <c r="E1257" s="19">
        <v>0.33</v>
      </c>
      <c r="F1257" s="10">
        <v>4.1</v>
      </c>
      <c r="G1257" s="10">
        <v>282.0</v>
      </c>
      <c r="K1257" s="17"/>
    </row>
    <row r="1258">
      <c r="A1258" s="7" t="s">
        <v>1371</v>
      </c>
      <c r="B1258" s="7" t="s">
        <v>1131</v>
      </c>
      <c r="C1258" s="8">
        <v>999.0</v>
      </c>
      <c r="D1258" s="8">
        <v>1075.0</v>
      </c>
      <c r="E1258" s="19">
        <v>0.07</v>
      </c>
      <c r="F1258" s="10">
        <v>4.1</v>
      </c>
      <c r="G1258" s="11">
        <v>9275.0</v>
      </c>
      <c r="K1258" s="17"/>
    </row>
    <row r="1259">
      <c r="A1259" s="7" t="s">
        <v>1372</v>
      </c>
      <c r="B1259" s="7" t="s">
        <v>1148</v>
      </c>
      <c r="C1259" s="8">
        <v>3179.0</v>
      </c>
      <c r="D1259" s="8">
        <v>6999.0</v>
      </c>
      <c r="E1259" s="19">
        <v>0.55</v>
      </c>
      <c r="F1259" s="10">
        <v>4.0</v>
      </c>
      <c r="G1259" s="10">
        <v>743.0</v>
      </c>
      <c r="K1259" s="17"/>
    </row>
    <row r="1260">
      <c r="A1260" s="7" t="s">
        <v>1373</v>
      </c>
      <c r="B1260" s="7" t="s">
        <v>1115</v>
      </c>
      <c r="C1260" s="8">
        <v>1049.0</v>
      </c>
      <c r="D1260" s="8">
        <v>2499.0</v>
      </c>
      <c r="E1260" s="19">
        <v>0.58</v>
      </c>
      <c r="F1260" s="10">
        <v>3.6</v>
      </c>
      <c r="G1260" s="10">
        <v>328.0</v>
      </c>
      <c r="K1260" s="17"/>
    </row>
    <row r="1261">
      <c r="A1261" s="7" t="s">
        <v>1374</v>
      </c>
      <c r="B1261" s="7" t="s">
        <v>1115</v>
      </c>
      <c r="C1261" s="8">
        <v>3599.0</v>
      </c>
      <c r="D1261" s="8">
        <v>7290.0</v>
      </c>
      <c r="E1261" s="19">
        <v>0.51</v>
      </c>
      <c r="F1261" s="10">
        <v>3.9</v>
      </c>
      <c r="G1261" s="10">
        <v>942.0</v>
      </c>
      <c r="K1261" s="17"/>
    </row>
    <row r="1262">
      <c r="A1262" s="7" t="s">
        <v>1375</v>
      </c>
      <c r="B1262" s="7" t="s">
        <v>1376</v>
      </c>
      <c r="C1262" s="8">
        <v>4799.0</v>
      </c>
      <c r="D1262" s="8">
        <v>5795.0</v>
      </c>
      <c r="E1262" s="19">
        <v>0.17</v>
      </c>
      <c r="F1262" s="10">
        <v>3.9</v>
      </c>
      <c r="G1262" s="11">
        <v>3815.0</v>
      </c>
      <c r="K1262" s="17"/>
    </row>
    <row r="1263">
      <c r="A1263" s="7" t="s">
        <v>1377</v>
      </c>
      <c r="B1263" s="7" t="s">
        <v>1113</v>
      </c>
      <c r="C1263" s="8">
        <v>1699.0</v>
      </c>
      <c r="D1263" s="8">
        <v>3398.0</v>
      </c>
      <c r="E1263" s="19">
        <v>0.5</v>
      </c>
      <c r="F1263" s="10">
        <v>3.8</v>
      </c>
      <c r="G1263" s="11">
        <v>7988.0</v>
      </c>
      <c r="K1263" s="17"/>
    </row>
    <row r="1264">
      <c r="A1264" s="7" t="s">
        <v>1378</v>
      </c>
      <c r="B1264" s="7" t="s">
        <v>1121</v>
      </c>
      <c r="C1264" s="8">
        <v>664.0</v>
      </c>
      <c r="D1264" s="8">
        <v>1490.0</v>
      </c>
      <c r="E1264" s="19">
        <v>0.55</v>
      </c>
      <c r="F1264" s="10">
        <v>4.1</v>
      </c>
      <c r="G1264" s="10">
        <v>925.0</v>
      </c>
      <c r="K1264" s="17"/>
    </row>
    <row r="1265">
      <c r="A1265" s="7" t="s">
        <v>1379</v>
      </c>
      <c r="B1265" s="7" t="s">
        <v>1380</v>
      </c>
      <c r="C1265" s="8">
        <v>948.0</v>
      </c>
      <c r="D1265" s="8">
        <v>1620.0</v>
      </c>
      <c r="E1265" s="19">
        <v>0.41</v>
      </c>
      <c r="F1265" s="10">
        <v>4.1</v>
      </c>
      <c r="G1265" s="11">
        <v>4370.0</v>
      </c>
      <c r="K1265" s="17"/>
    </row>
    <row r="1266">
      <c r="A1266" s="7" t="s">
        <v>1381</v>
      </c>
      <c r="B1266" s="7" t="s">
        <v>1111</v>
      </c>
      <c r="C1266" s="8">
        <v>850.0</v>
      </c>
      <c r="D1266" s="8">
        <v>1000.0</v>
      </c>
      <c r="E1266" s="19">
        <v>0.15</v>
      </c>
      <c r="F1266" s="10">
        <v>4.1</v>
      </c>
      <c r="G1266" s="11">
        <v>7619.0</v>
      </c>
      <c r="K1266" s="17"/>
    </row>
    <row r="1267">
      <c r="A1267" s="7" t="s">
        <v>1382</v>
      </c>
      <c r="B1267" s="7" t="s">
        <v>1230</v>
      </c>
      <c r="C1267" s="8">
        <v>600.0</v>
      </c>
      <c r="D1267" s="8">
        <v>640.0</v>
      </c>
      <c r="E1267" s="19">
        <v>0.06</v>
      </c>
      <c r="F1267" s="10">
        <v>3.8</v>
      </c>
      <c r="G1267" s="11">
        <v>2593.0</v>
      </c>
      <c r="K1267" s="17"/>
    </row>
    <row r="1268">
      <c r="A1268" s="7" t="s">
        <v>1383</v>
      </c>
      <c r="B1268" s="7" t="s">
        <v>1089</v>
      </c>
      <c r="C1268" s="8">
        <v>3711.0</v>
      </c>
      <c r="D1268" s="8">
        <v>4495.0</v>
      </c>
      <c r="E1268" s="19">
        <v>0.17</v>
      </c>
      <c r="F1268" s="10">
        <v>4.3</v>
      </c>
      <c r="G1268" s="10">
        <v>356.0</v>
      </c>
      <c r="K1268" s="17"/>
    </row>
    <row r="1269">
      <c r="A1269" s="7" t="s">
        <v>1384</v>
      </c>
      <c r="B1269" s="7" t="s">
        <v>1095</v>
      </c>
      <c r="C1269" s="8">
        <v>799.0</v>
      </c>
      <c r="D1269" s="8">
        <v>2999.0</v>
      </c>
      <c r="E1269" s="19">
        <v>0.73</v>
      </c>
      <c r="F1269" s="10">
        <v>4.5</v>
      </c>
      <c r="G1269" s="10">
        <v>63.0</v>
      </c>
      <c r="K1269" s="17"/>
    </row>
    <row r="1270">
      <c r="A1270" s="7" t="s">
        <v>1385</v>
      </c>
      <c r="B1270" s="7" t="s">
        <v>1228</v>
      </c>
      <c r="C1270" s="8">
        <v>980.0</v>
      </c>
      <c r="D1270" s="8">
        <v>980.0</v>
      </c>
      <c r="E1270" s="19">
        <v>0.0</v>
      </c>
      <c r="F1270" s="10">
        <v>4.2</v>
      </c>
      <c r="G1270" s="11">
        <v>4740.0</v>
      </c>
      <c r="K1270" s="17"/>
    </row>
    <row r="1271">
      <c r="A1271" s="7" t="s">
        <v>1386</v>
      </c>
      <c r="B1271" s="7" t="s">
        <v>1137</v>
      </c>
      <c r="C1271" s="8">
        <v>351.0</v>
      </c>
      <c r="D1271" s="8">
        <v>899.0</v>
      </c>
      <c r="E1271" s="19">
        <v>0.61</v>
      </c>
      <c r="F1271" s="10">
        <v>3.9</v>
      </c>
      <c r="G1271" s="10">
        <v>296.0</v>
      </c>
      <c r="K1271" s="17"/>
    </row>
    <row r="1272">
      <c r="A1272" s="7" t="s">
        <v>1387</v>
      </c>
      <c r="B1272" s="7" t="s">
        <v>1388</v>
      </c>
      <c r="C1272" s="8">
        <v>229.0</v>
      </c>
      <c r="D1272" s="8">
        <v>499.0</v>
      </c>
      <c r="E1272" s="19">
        <v>0.54</v>
      </c>
      <c r="F1272" s="10">
        <v>3.5</v>
      </c>
      <c r="G1272" s="10">
        <v>185.0</v>
      </c>
      <c r="K1272" s="17"/>
    </row>
    <row r="1273">
      <c r="A1273" s="7" t="s">
        <v>1389</v>
      </c>
      <c r="B1273" s="7" t="s">
        <v>1139</v>
      </c>
      <c r="C1273" s="8">
        <v>3349.0</v>
      </c>
      <c r="D1273" s="8">
        <v>3995.0</v>
      </c>
      <c r="E1273" s="19">
        <v>0.16</v>
      </c>
      <c r="F1273" s="10">
        <v>4.3</v>
      </c>
      <c r="G1273" s="11">
        <v>1954.0</v>
      </c>
      <c r="K1273" s="17"/>
    </row>
    <row r="1274">
      <c r="A1274" s="7" t="s">
        <v>1390</v>
      </c>
      <c r="B1274" s="7" t="s">
        <v>1123</v>
      </c>
      <c r="C1274" s="8">
        <v>5499.0</v>
      </c>
      <c r="D1274" s="8">
        <v>11500.0</v>
      </c>
      <c r="E1274" s="19">
        <v>0.52</v>
      </c>
      <c r="F1274" s="10">
        <v>3.9</v>
      </c>
      <c r="G1274" s="10">
        <v>959.0</v>
      </c>
      <c r="K1274" s="17"/>
    </row>
    <row r="1275">
      <c r="A1275" s="7" t="s">
        <v>1391</v>
      </c>
      <c r="B1275" s="7" t="s">
        <v>1093</v>
      </c>
      <c r="C1275" s="8">
        <v>299.0</v>
      </c>
      <c r="D1275" s="8">
        <v>499.0</v>
      </c>
      <c r="E1275" s="19">
        <v>0.4</v>
      </c>
      <c r="F1275" s="10">
        <v>3.9</v>
      </c>
      <c r="G1275" s="11">
        <v>1015.0</v>
      </c>
      <c r="K1275" s="17"/>
    </row>
    <row r="1276">
      <c r="A1276" s="7" t="s">
        <v>1392</v>
      </c>
      <c r="B1276" s="7" t="s">
        <v>1393</v>
      </c>
      <c r="C1276" s="8">
        <v>2249.0</v>
      </c>
      <c r="D1276" s="8">
        <v>3550.0</v>
      </c>
      <c r="E1276" s="19">
        <v>0.37</v>
      </c>
      <c r="F1276" s="10">
        <v>4.0</v>
      </c>
      <c r="G1276" s="11">
        <v>3973.0</v>
      </c>
      <c r="K1276" s="17"/>
    </row>
    <row r="1277">
      <c r="A1277" s="7" t="s">
        <v>1394</v>
      </c>
      <c r="B1277" s="7" t="s">
        <v>1155</v>
      </c>
      <c r="C1277" s="8">
        <v>699.0</v>
      </c>
      <c r="D1277" s="8">
        <v>1599.0</v>
      </c>
      <c r="E1277" s="19">
        <v>0.56</v>
      </c>
      <c r="F1277" s="10">
        <v>4.7</v>
      </c>
      <c r="G1277" s="11">
        <v>2300.0</v>
      </c>
      <c r="K1277" s="17"/>
    </row>
    <row r="1278">
      <c r="A1278" s="7" t="s">
        <v>1395</v>
      </c>
      <c r="B1278" s="7" t="s">
        <v>1089</v>
      </c>
      <c r="C1278" s="8">
        <v>1235.0</v>
      </c>
      <c r="D1278" s="8">
        <v>1499.0</v>
      </c>
      <c r="E1278" s="19">
        <v>0.18</v>
      </c>
      <c r="F1278" s="10">
        <v>4.1</v>
      </c>
      <c r="G1278" s="10">
        <v>203.0</v>
      </c>
      <c r="K1278" s="17"/>
    </row>
    <row r="1279">
      <c r="A1279" s="7" t="s">
        <v>1396</v>
      </c>
      <c r="B1279" s="7" t="s">
        <v>1173</v>
      </c>
      <c r="C1279" s="8">
        <v>1349.0</v>
      </c>
      <c r="D1279" s="8">
        <v>2999.0</v>
      </c>
      <c r="E1279" s="19">
        <v>0.55</v>
      </c>
      <c r="F1279" s="10">
        <v>3.8</v>
      </c>
      <c r="G1279" s="10">
        <v>441.0</v>
      </c>
      <c r="K1279" s="17"/>
    </row>
    <row r="1280">
      <c r="A1280" s="7" t="s">
        <v>1397</v>
      </c>
      <c r="B1280" s="7" t="s">
        <v>1123</v>
      </c>
      <c r="C1280" s="8">
        <v>6800.0</v>
      </c>
      <c r="D1280" s="8">
        <v>11500.0</v>
      </c>
      <c r="E1280" s="19">
        <v>0.41</v>
      </c>
      <c r="F1280" s="10">
        <v>4.1</v>
      </c>
      <c r="G1280" s="11">
        <v>10308.0</v>
      </c>
      <c r="K1280" s="17"/>
    </row>
    <row r="1281">
      <c r="A1281" s="7" t="s">
        <v>1398</v>
      </c>
      <c r="B1281" s="7" t="s">
        <v>1148</v>
      </c>
      <c r="C1281" s="8">
        <v>2099.0</v>
      </c>
      <c r="D1281" s="8">
        <v>2499.0</v>
      </c>
      <c r="E1281" s="19">
        <v>0.16</v>
      </c>
      <c r="F1281" s="7" t="s">
        <v>1399</v>
      </c>
      <c r="G1281" s="10">
        <v>992.0</v>
      </c>
      <c r="K1281" s="17"/>
    </row>
    <row r="1282">
      <c r="A1282" s="7" t="s">
        <v>1400</v>
      </c>
      <c r="B1282" s="7" t="s">
        <v>1159</v>
      </c>
      <c r="C1282" s="8">
        <v>1699.0</v>
      </c>
      <c r="D1282" s="8">
        <v>1975.0</v>
      </c>
      <c r="E1282" s="19">
        <v>0.14</v>
      </c>
      <c r="F1282" s="10">
        <v>4.1</v>
      </c>
      <c r="G1282" s="11">
        <v>4716.0</v>
      </c>
      <c r="K1282" s="17"/>
    </row>
    <row r="1283">
      <c r="A1283" s="7" t="s">
        <v>1401</v>
      </c>
      <c r="B1283" s="7" t="s">
        <v>1091</v>
      </c>
      <c r="C1283" s="8">
        <v>1069.0</v>
      </c>
      <c r="D1283" s="8">
        <v>1699.0</v>
      </c>
      <c r="E1283" s="19">
        <v>0.37</v>
      </c>
      <c r="F1283" s="10">
        <v>3.9</v>
      </c>
      <c r="G1283" s="10">
        <v>313.0</v>
      </c>
      <c r="K1283" s="17"/>
    </row>
    <row r="1284">
      <c r="A1284" s="7" t="s">
        <v>1402</v>
      </c>
      <c r="B1284" s="7" t="s">
        <v>1091</v>
      </c>
      <c r="C1284" s="8">
        <v>1349.0</v>
      </c>
      <c r="D1284" s="8">
        <v>2495.0</v>
      </c>
      <c r="E1284" s="19">
        <v>0.46</v>
      </c>
      <c r="F1284" s="10">
        <v>3.8</v>
      </c>
      <c r="G1284" s="10">
        <v>166.0</v>
      </c>
      <c r="K1284" s="17"/>
    </row>
    <row r="1285">
      <c r="A1285" s="7" t="s">
        <v>1403</v>
      </c>
      <c r="B1285" s="7" t="s">
        <v>1131</v>
      </c>
      <c r="C1285" s="8">
        <v>1499.0</v>
      </c>
      <c r="D1285" s="8">
        <v>3500.0</v>
      </c>
      <c r="E1285" s="19">
        <v>0.57</v>
      </c>
      <c r="F1285" s="10">
        <v>4.1</v>
      </c>
      <c r="G1285" s="10">
        <v>303.0</v>
      </c>
      <c r="K1285" s="17"/>
    </row>
    <row r="1286">
      <c r="A1286" s="7" t="s">
        <v>1404</v>
      </c>
      <c r="B1286" s="7" t="s">
        <v>1159</v>
      </c>
      <c r="C1286" s="8">
        <v>2092.0</v>
      </c>
      <c r="D1286" s="8">
        <v>4600.0</v>
      </c>
      <c r="E1286" s="19">
        <v>0.55</v>
      </c>
      <c r="F1286" s="10">
        <v>4.3</v>
      </c>
      <c r="G1286" s="10">
        <v>562.0</v>
      </c>
      <c r="K1286" s="17"/>
    </row>
    <row r="1287">
      <c r="A1287" s="7" t="s">
        <v>1405</v>
      </c>
      <c r="B1287" s="7" t="s">
        <v>1263</v>
      </c>
      <c r="C1287" s="8">
        <v>3859.0</v>
      </c>
      <c r="D1287" s="8">
        <v>10295.0</v>
      </c>
      <c r="E1287" s="19">
        <v>0.63</v>
      </c>
      <c r="F1287" s="10">
        <v>3.9</v>
      </c>
      <c r="G1287" s="11">
        <v>8095.0</v>
      </c>
      <c r="K1287" s="17"/>
    </row>
    <row r="1288">
      <c r="A1288" s="7" t="s">
        <v>1406</v>
      </c>
      <c r="B1288" s="7" t="s">
        <v>1144</v>
      </c>
      <c r="C1288" s="8">
        <v>499.0</v>
      </c>
      <c r="D1288" s="8">
        <v>2199.0</v>
      </c>
      <c r="E1288" s="19">
        <v>0.77</v>
      </c>
      <c r="F1288" s="10">
        <v>2.8</v>
      </c>
      <c r="G1288" s="10">
        <v>109.0</v>
      </c>
      <c r="K1288" s="17"/>
    </row>
    <row r="1289">
      <c r="A1289" s="7" t="s">
        <v>1407</v>
      </c>
      <c r="B1289" s="7" t="s">
        <v>1186</v>
      </c>
      <c r="C1289" s="8">
        <v>1804.0</v>
      </c>
      <c r="D1289" s="8">
        <v>2380.0</v>
      </c>
      <c r="E1289" s="19">
        <v>0.24</v>
      </c>
      <c r="F1289" s="10">
        <v>4.0</v>
      </c>
      <c r="G1289" s="11">
        <v>15382.0</v>
      </c>
      <c r="K1289" s="17"/>
    </row>
    <row r="1290">
      <c r="A1290" s="7" t="s">
        <v>1408</v>
      </c>
      <c r="B1290" s="7" t="s">
        <v>1144</v>
      </c>
      <c r="C1290" s="8">
        <v>6525.0</v>
      </c>
      <c r="D1290" s="8">
        <v>8820.0</v>
      </c>
      <c r="E1290" s="19">
        <v>0.26</v>
      </c>
      <c r="F1290" s="10">
        <v>4.5</v>
      </c>
      <c r="G1290" s="11">
        <v>5137.0</v>
      </c>
      <c r="K1290" s="17"/>
    </row>
    <row r="1291">
      <c r="A1291" s="7" t="s">
        <v>1409</v>
      </c>
      <c r="B1291" s="7" t="s">
        <v>1280</v>
      </c>
      <c r="C1291" s="8">
        <v>4999.0</v>
      </c>
      <c r="D1291" s="8">
        <v>24999.0</v>
      </c>
      <c r="E1291" s="19">
        <v>0.8</v>
      </c>
      <c r="F1291" s="10">
        <v>4.6</v>
      </c>
      <c r="G1291" s="10">
        <v>124.0</v>
      </c>
      <c r="K1291" s="17"/>
    </row>
    <row r="1292">
      <c r="A1292" s="7" t="s">
        <v>1410</v>
      </c>
      <c r="B1292" s="7" t="s">
        <v>1225</v>
      </c>
      <c r="C1292" s="8">
        <v>1189.0</v>
      </c>
      <c r="D1292" s="8">
        <v>2400.0</v>
      </c>
      <c r="E1292" s="19">
        <v>0.5</v>
      </c>
      <c r="F1292" s="10">
        <v>4.1</v>
      </c>
      <c r="G1292" s="10">
        <v>618.0</v>
      </c>
      <c r="K1292" s="17"/>
    </row>
    <row r="1293">
      <c r="A1293" s="7" t="s">
        <v>1411</v>
      </c>
      <c r="B1293" s="7" t="s">
        <v>1091</v>
      </c>
      <c r="C1293" s="8">
        <v>2590.0</v>
      </c>
      <c r="D1293" s="8">
        <v>4200.0</v>
      </c>
      <c r="E1293" s="19">
        <v>0.38</v>
      </c>
      <c r="F1293" s="10">
        <v>4.1</v>
      </c>
      <c r="G1293" s="10">
        <v>63.0</v>
      </c>
      <c r="K1293" s="17"/>
    </row>
    <row r="1294">
      <c r="A1294" s="7" t="s">
        <v>1412</v>
      </c>
      <c r="B1294" s="7" t="s">
        <v>1091</v>
      </c>
      <c r="C1294" s="8">
        <v>899.0</v>
      </c>
      <c r="D1294" s="8">
        <v>1599.0</v>
      </c>
      <c r="E1294" s="19">
        <v>0.44</v>
      </c>
      <c r="F1294" s="10">
        <v>3.4</v>
      </c>
      <c r="G1294" s="10">
        <v>15.0</v>
      </c>
      <c r="K1294" s="17"/>
    </row>
    <row r="1295">
      <c r="A1295" s="7" t="s">
        <v>1413</v>
      </c>
      <c r="B1295" s="7" t="s">
        <v>1091</v>
      </c>
      <c r="C1295" s="8">
        <v>998.0</v>
      </c>
      <c r="D1295" s="8">
        <v>2999.0</v>
      </c>
      <c r="E1295" s="19">
        <v>0.67</v>
      </c>
      <c r="F1295" s="10">
        <v>4.6</v>
      </c>
      <c r="G1295" s="10">
        <v>9.0</v>
      </c>
      <c r="K1295" s="17"/>
    </row>
    <row r="1296">
      <c r="A1296" s="7" t="s">
        <v>1414</v>
      </c>
      <c r="B1296" s="7" t="s">
        <v>1137</v>
      </c>
      <c r="C1296" s="8">
        <v>998.06</v>
      </c>
      <c r="D1296" s="8">
        <v>1282.0</v>
      </c>
      <c r="E1296" s="19">
        <v>0.22</v>
      </c>
      <c r="F1296" s="10">
        <v>4.2</v>
      </c>
      <c r="G1296" s="11">
        <v>7274.0</v>
      </c>
      <c r="K1296" s="17"/>
    </row>
    <row r="1297">
      <c r="A1297" s="7" t="s">
        <v>1415</v>
      </c>
      <c r="B1297" s="7" t="s">
        <v>1186</v>
      </c>
      <c r="C1297" s="8">
        <v>1099.0</v>
      </c>
      <c r="D1297" s="8">
        <v>1990.0</v>
      </c>
      <c r="E1297" s="19">
        <v>0.45</v>
      </c>
      <c r="F1297" s="10">
        <v>3.9</v>
      </c>
      <c r="G1297" s="11">
        <v>5911.0</v>
      </c>
      <c r="K1297" s="17"/>
    </row>
    <row r="1298">
      <c r="A1298" s="7" t="s">
        <v>1416</v>
      </c>
      <c r="B1298" s="7" t="s">
        <v>1197</v>
      </c>
      <c r="C1298" s="8">
        <v>5999.0</v>
      </c>
      <c r="D1298" s="8">
        <v>9999.0</v>
      </c>
      <c r="E1298" s="19">
        <v>0.4</v>
      </c>
      <c r="F1298" s="10">
        <v>4.2</v>
      </c>
      <c r="G1298" s="10">
        <v>170.0</v>
      </c>
      <c r="K1298" s="17"/>
    </row>
    <row r="1299">
      <c r="A1299" s="7" t="s">
        <v>1417</v>
      </c>
      <c r="B1299" s="7" t="s">
        <v>1263</v>
      </c>
      <c r="C1299" s="8">
        <v>8886.0</v>
      </c>
      <c r="D1299" s="8">
        <v>11850.0</v>
      </c>
      <c r="E1299" s="19">
        <v>0.25</v>
      </c>
      <c r="F1299" s="10">
        <v>4.2</v>
      </c>
      <c r="G1299" s="11">
        <v>3065.0</v>
      </c>
      <c r="K1299" s="17"/>
    </row>
    <row r="1300">
      <c r="A1300" s="7" t="s">
        <v>1418</v>
      </c>
      <c r="B1300" s="7" t="s">
        <v>1093</v>
      </c>
      <c r="C1300" s="8">
        <v>475.0</v>
      </c>
      <c r="D1300" s="8">
        <v>999.0</v>
      </c>
      <c r="E1300" s="19">
        <v>0.52</v>
      </c>
      <c r="F1300" s="10">
        <v>4.1</v>
      </c>
      <c r="G1300" s="11">
        <v>1021.0</v>
      </c>
      <c r="K1300" s="17"/>
    </row>
    <row r="1301">
      <c r="A1301" s="7" t="s">
        <v>1419</v>
      </c>
      <c r="B1301" s="7" t="s">
        <v>1135</v>
      </c>
      <c r="C1301" s="8">
        <v>4995.0</v>
      </c>
      <c r="D1301" s="8">
        <v>20049.0</v>
      </c>
      <c r="E1301" s="19">
        <v>0.75</v>
      </c>
      <c r="F1301" s="10">
        <v>4.8</v>
      </c>
      <c r="G1301" s="11">
        <v>3964.0</v>
      </c>
      <c r="K1301" s="17"/>
    </row>
    <row r="1302">
      <c r="A1302" s="7" t="s">
        <v>1420</v>
      </c>
      <c r="B1302" s="7" t="s">
        <v>1280</v>
      </c>
      <c r="C1302" s="8">
        <v>13999.0</v>
      </c>
      <c r="D1302" s="8">
        <v>24850.0</v>
      </c>
      <c r="E1302" s="19">
        <v>0.44</v>
      </c>
      <c r="F1302" s="10">
        <v>4.4</v>
      </c>
      <c r="G1302" s="11">
        <v>8948.0</v>
      </c>
      <c r="K1302" s="17"/>
    </row>
    <row r="1303">
      <c r="A1303" s="7" t="s">
        <v>1421</v>
      </c>
      <c r="B1303" s="7" t="s">
        <v>1280</v>
      </c>
      <c r="C1303" s="8">
        <v>8499.0</v>
      </c>
      <c r="D1303" s="8">
        <v>16490.0</v>
      </c>
      <c r="E1303" s="19">
        <v>0.48</v>
      </c>
      <c r="F1303" s="10">
        <v>4.3</v>
      </c>
      <c r="G1303" s="10">
        <v>97.0</v>
      </c>
      <c r="K1303" s="17"/>
    </row>
    <row r="1304">
      <c r="A1304" s="7" t="s">
        <v>1422</v>
      </c>
      <c r="B1304" s="7" t="s">
        <v>1111</v>
      </c>
      <c r="C1304" s="8">
        <v>949.0</v>
      </c>
      <c r="D1304" s="8">
        <v>975.0</v>
      </c>
      <c r="E1304" s="19">
        <v>0.03</v>
      </c>
      <c r="F1304" s="10">
        <v>4.3</v>
      </c>
      <c r="G1304" s="11">
        <v>7223.0</v>
      </c>
      <c r="K1304" s="17"/>
    </row>
    <row r="1305">
      <c r="A1305" s="7" t="s">
        <v>1423</v>
      </c>
      <c r="B1305" s="7" t="s">
        <v>1137</v>
      </c>
      <c r="C1305" s="8">
        <v>395.0</v>
      </c>
      <c r="D1305" s="8">
        <v>499.0</v>
      </c>
      <c r="E1305" s="19">
        <v>0.21</v>
      </c>
      <c r="F1305" s="10">
        <v>4.0</v>
      </c>
      <c r="G1305" s="10">
        <v>330.0</v>
      </c>
      <c r="K1305" s="17"/>
    </row>
    <row r="1306">
      <c r="A1306" s="7" t="s">
        <v>1424</v>
      </c>
      <c r="B1306" s="7" t="s">
        <v>1425</v>
      </c>
      <c r="C1306" s="8">
        <v>635.0</v>
      </c>
      <c r="D1306" s="8">
        <v>635.0</v>
      </c>
      <c r="E1306" s="19">
        <v>0.0</v>
      </c>
      <c r="F1306" s="10">
        <v>4.3</v>
      </c>
      <c r="G1306" s="11">
        <v>4570.0</v>
      </c>
      <c r="K1306" s="17"/>
    </row>
    <row r="1307">
      <c r="A1307" s="7" t="s">
        <v>1426</v>
      </c>
      <c r="B1307" s="7" t="s">
        <v>1111</v>
      </c>
      <c r="C1307" s="8">
        <v>717.0</v>
      </c>
      <c r="D1307" s="8">
        <v>1390.0</v>
      </c>
      <c r="E1307" s="19">
        <v>0.48</v>
      </c>
      <c r="F1307" s="10">
        <v>4.0</v>
      </c>
      <c r="G1307" s="11">
        <v>4867.0</v>
      </c>
      <c r="K1307" s="17"/>
    </row>
    <row r="1308">
      <c r="A1308" s="7" t="s">
        <v>1427</v>
      </c>
      <c r="B1308" s="7" t="s">
        <v>1428</v>
      </c>
      <c r="C1308" s="8">
        <v>27900.0</v>
      </c>
      <c r="D1308" s="8">
        <v>59900.0</v>
      </c>
      <c r="E1308" s="19">
        <v>0.53</v>
      </c>
      <c r="F1308" s="10">
        <v>4.4</v>
      </c>
      <c r="G1308" s="11">
        <v>5298.0</v>
      </c>
      <c r="K1308" s="17"/>
    </row>
    <row r="1309">
      <c r="A1309" s="7" t="s">
        <v>1429</v>
      </c>
      <c r="B1309" s="7" t="s">
        <v>1230</v>
      </c>
      <c r="C1309" s="8">
        <v>649.0</v>
      </c>
      <c r="D1309" s="8">
        <v>670.0</v>
      </c>
      <c r="E1309" s="19">
        <v>0.03</v>
      </c>
      <c r="F1309" s="10">
        <v>4.1</v>
      </c>
      <c r="G1309" s="11">
        <v>7786.0</v>
      </c>
      <c r="K1309" s="17"/>
    </row>
    <row r="1310">
      <c r="A1310" s="7" t="s">
        <v>1430</v>
      </c>
      <c r="B1310" s="7" t="s">
        <v>1228</v>
      </c>
      <c r="C1310" s="8">
        <v>193.0</v>
      </c>
      <c r="D1310" s="8">
        <v>399.0</v>
      </c>
      <c r="E1310" s="19">
        <v>0.52</v>
      </c>
      <c r="F1310" s="10">
        <v>3.6</v>
      </c>
      <c r="G1310" s="10">
        <v>37.0</v>
      </c>
      <c r="K1310" s="17"/>
    </row>
    <row r="1311">
      <c r="A1311" s="7" t="s">
        <v>1431</v>
      </c>
      <c r="B1311" s="7" t="s">
        <v>1091</v>
      </c>
      <c r="C1311" s="8">
        <v>1299.0</v>
      </c>
      <c r="D1311" s="8">
        <v>2495.0</v>
      </c>
      <c r="E1311" s="19">
        <v>0.48</v>
      </c>
      <c r="F1311" s="10">
        <v>2.0</v>
      </c>
      <c r="G1311" s="10">
        <v>2.0</v>
      </c>
      <c r="K1311" s="17"/>
    </row>
    <row r="1312">
      <c r="A1312" s="7" t="s">
        <v>1432</v>
      </c>
      <c r="B1312" s="7" t="s">
        <v>1113</v>
      </c>
      <c r="C1312" s="8">
        <v>2449.0</v>
      </c>
      <c r="D1312" s="8">
        <v>3390.0</v>
      </c>
      <c r="E1312" s="19">
        <v>0.28</v>
      </c>
      <c r="F1312" s="10">
        <v>4.0</v>
      </c>
      <c r="G1312" s="11">
        <v>5206.0</v>
      </c>
      <c r="K1312" s="17"/>
    </row>
    <row r="1313">
      <c r="A1313" s="7" t="s">
        <v>1433</v>
      </c>
      <c r="B1313" s="7" t="s">
        <v>1115</v>
      </c>
      <c r="C1313" s="8">
        <v>1049.0</v>
      </c>
      <c r="D1313" s="8">
        <v>2499.0</v>
      </c>
      <c r="E1313" s="19">
        <v>0.58</v>
      </c>
      <c r="F1313" s="10">
        <v>3.7</v>
      </c>
      <c r="G1313" s="10">
        <v>638.0</v>
      </c>
      <c r="K1313" s="17"/>
    </row>
    <row r="1314">
      <c r="A1314" s="7" t="s">
        <v>1434</v>
      </c>
      <c r="B1314" s="7" t="s">
        <v>1380</v>
      </c>
      <c r="C1314" s="8">
        <v>2399.0</v>
      </c>
      <c r="D1314" s="8">
        <v>4200.0</v>
      </c>
      <c r="E1314" s="19">
        <v>0.43</v>
      </c>
      <c r="F1314" s="10">
        <v>3.8</v>
      </c>
      <c r="G1314" s="10">
        <v>397.0</v>
      </c>
      <c r="K1314" s="17"/>
    </row>
    <row r="1315">
      <c r="A1315" s="7" t="s">
        <v>1435</v>
      </c>
      <c r="B1315" s="7" t="s">
        <v>1148</v>
      </c>
      <c r="C1315" s="8">
        <v>2286.0</v>
      </c>
      <c r="D1315" s="8">
        <v>4495.0</v>
      </c>
      <c r="E1315" s="19">
        <v>0.49</v>
      </c>
      <c r="F1315" s="10">
        <v>3.9</v>
      </c>
      <c r="G1315" s="10">
        <v>326.0</v>
      </c>
      <c r="K1315" s="17"/>
    </row>
    <row r="1316">
      <c r="A1316" s="7" t="s">
        <v>1436</v>
      </c>
      <c r="B1316" s="7" t="s">
        <v>1334</v>
      </c>
      <c r="C1316" s="8">
        <v>499.0</v>
      </c>
      <c r="D1316" s="8">
        <v>2199.0</v>
      </c>
      <c r="E1316" s="19">
        <v>0.77</v>
      </c>
      <c r="F1316" s="10">
        <v>3.1</v>
      </c>
      <c r="G1316" s="11">
        <v>3527.0</v>
      </c>
      <c r="K1316" s="17"/>
    </row>
    <row r="1317">
      <c r="A1317" s="7" t="s">
        <v>1437</v>
      </c>
      <c r="B1317" s="7" t="s">
        <v>1184</v>
      </c>
      <c r="C1317" s="8">
        <v>429.0</v>
      </c>
      <c r="D1317" s="8">
        <v>999.0</v>
      </c>
      <c r="E1317" s="19">
        <v>0.57</v>
      </c>
      <c r="F1317" s="10">
        <v>3.0</v>
      </c>
      <c r="G1317" s="10">
        <v>617.0</v>
      </c>
      <c r="K1317" s="17"/>
    </row>
    <row r="1318">
      <c r="A1318" s="7" t="s">
        <v>1438</v>
      </c>
      <c r="B1318" s="7" t="s">
        <v>1159</v>
      </c>
      <c r="C1318" s="8">
        <v>299.0</v>
      </c>
      <c r="D1318" s="8">
        <v>595.0</v>
      </c>
      <c r="E1318" s="19">
        <v>0.5</v>
      </c>
      <c r="F1318" s="10">
        <v>4.0</v>
      </c>
      <c r="G1318" s="10">
        <v>314.0</v>
      </c>
      <c r="K1318" s="17"/>
    </row>
    <row r="1319">
      <c r="A1319" s="7" t="s">
        <v>1439</v>
      </c>
      <c r="B1319" s="7" t="s">
        <v>1280</v>
      </c>
      <c r="C1319" s="8">
        <v>5395.0</v>
      </c>
      <c r="D1319" s="8">
        <v>19990.0</v>
      </c>
      <c r="E1319" s="19">
        <v>0.73</v>
      </c>
      <c r="F1319" s="10">
        <v>4.4</v>
      </c>
      <c r="G1319" s="10">
        <v>535.0</v>
      </c>
      <c r="K1319" s="17"/>
    </row>
    <row r="1320">
      <c r="A1320" s="7" t="s">
        <v>1440</v>
      </c>
      <c r="B1320" s="7" t="s">
        <v>1111</v>
      </c>
      <c r="C1320" s="8">
        <v>559.0</v>
      </c>
      <c r="D1320" s="8">
        <v>1010.0</v>
      </c>
      <c r="E1320" s="19">
        <v>0.45</v>
      </c>
      <c r="F1320" s="10">
        <v>4.1</v>
      </c>
      <c r="G1320" s="11">
        <v>17325.0</v>
      </c>
      <c r="K1320" s="17"/>
    </row>
    <row r="1321">
      <c r="A1321" s="7" t="s">
        <v>1441</v>
      </c>
      <c r="B1321" s="7" t="s">
        <v>1111</v>
      </c>
      <c r="C1321" s="8">
        <v>660.0</v>
      </c>
      <c r="D1321" s="8">
        <v>1100.0</v>
      </c>
      <c r="E1321" s="19">
        <v>0.4</v>
      </c>
      <c r="F1321" s="10">
        <v>3.6</v>
      </c>
      <c r="G1321" s="10">
        <v>91.0</v>
      </c>
      <c r="K1321" s="17"/>
    </row>
    <row r="1322">
      <c r="A1322" s="7" t="s">
        <v>1442</v>
      </c>
      <c r="B1322" s="7" t="s">
        <v>1155</v>
      </c>
      <c r="C1322" s="8">
        <v>419.0</v>
      </c>
      <c r="D1322" s="8">
        <v>999.0</v>
      </c>
      <c r="E1322" s="19">
        <v>0.58</v>
      </c>
      <c r="F1322" s="10">
        <v>4.4</v>
      </c>
      <c r="G1322" s="10">
        <v>227.0</v>
      </c>
      <c r="K1322" s="17"/>
    </row>
    <row r="1323">
      <c r="A1323" s="7" t="s">
        <v>1443</v>
      </c>
      <c r="B1323" s="7" t="s">
        <v>1123</v>
      </c>
      <c r="C1323" s="8">
        <v>7349.0</v>
      </c>
      <c r="D1323" s="8">
        <v>10900.0</v>
      </c>
      <c r="E1323" s="19">
        <v>0.33</v>
      </c>
      <c r="F1323" s="10">
        <v>4.2</v>
      </c>
      <c r="G1323" s="11">
        <v>11957.0</v>
      </c>
      <c r="K1323" s="17"/>
    </row>
    <row r="1324">
      <c r="A1324" s="7" t="s">
        <v>1444</v>
      </c>
      <c r="B1324" s="7" t="s">
        <v>1186</v>
      </c>
      <c r="C1324" s="8">
        <v>2899.0</v>
      </c>
      <c r="D1324" s="8">
        <v>4005.0</v>
      </c>
      <c r="E1324" s="19">
        <v>0.28</v>
      </c>
      <c r="F1324" s="10">
        <v>4.3</v>
      </c>
      <c r="G1324" s="11">
        <v>7140.0</v>
      </c>
      <c r="K1324" s="17"/>
    </row>
    <row r="1325">
      <c r="A1325" s="7" t="s">
        <v>1445</v>
      </c>
      <c r="B1325" s="7" t="s">
        <v>1148</v>
      </c>
      <c r="C1325" s="8">
        <v>1799.0</v>
      </c>
      <c r="D1325" s="8">
        <v>3295.0</v>
      </c>
      <c r="E1325" s="19">
        <v>0.45</v>
      </c>
      <c r="F1325" s="10">
        <v>3.8</v>
      </c>
      <c r="G1325" s="10">
        <v>687.0</v>
      </c>
      <c r="K1325" s="17"/>
    </row>
    <row r="1326">
      <c r="A1326" s="7" t="s">
        <v>1446</v>
      </c>
      <c r="B1326" s="7" t="s">
        <v>1159</v>
      </c>
      <c r="C1326" s="8">
        <v>1474.0</v>
      </c>
      <c r="D1326" s="8">
        <v>4650.0</v>
      </c>
      <c r="E1326" s="19">
        <v>0.68</v>
      </c>
      <c r="F1326" s="10">
        <v>4.1</v>
      </c>
      <c r="G1326" s="11">
        <v>1045.0</v>
      </c>
      <c r="K1326" s="17"/>
    </row>
    <row r="1327">
      <c r="A1327" s="7" t="s">
        <v>1447</v>
      </c>
      <c r="B1327" s="7" t="s">
        <v>1280</v>
      </c>
      <c r="C1327" s="8">
        <v>15999.0</v>
      </c>
      <c r="D1327" s="8">
        <v>24500.0</v>
      </c>
      <c r="E1327" s="19">
        <v>0.35</v>
      </c>
      <c r="F1327" s="10">
        <v>4.0</v>
      </c>
      <c r="G1327" s="11">
        <v>11206.0</v>
      </c>
      <c r="K1327" s="17"/>
    </row>
    <row r="1328">
      <c r="A1328" s="7" t="s">
        <v>1448</v>
      </c>
      <c r="B1328" s="7" t="s">
        <v>1115</v>
      </c>
      <c r="C1328" s="8">
        <v>3645.0</v>
      </c>
      <c r="D1328" s="8">
        <v>6070.0</v>
      </c>
      <c r="E1328" s="19">
        <v>0.4</v>
      </c>
      <c r="F1328" s="10">
        <v>4.2</v>
      </c>
      <c r="G1328" s="10">
        <v>561.0</v>
      </c>
      <c r="K1328" s="17"/>
    </row>
    <row r="1329">
      <c r="A1329" s="7" t="s">
        <v>1449</v>
      </c>
      <c r="B1329" s="7" t="s">
        <v>1109</v>
      </c>
      <c r="C1329" s="8">
        <v>375.0</v>
      </c>
      <c r="D1329" s="8">
        <v>999.0</v>
      </c>
      <c r="E1329" s="19">
        <v>0.62</v>
      </c>
      <c r="F1329" s="10">
        <v>3.6</v>
      </c>
      <c r="G1329" s="11">
        <v>1988.0</v>
      </c>
      <c r="K1329" s="17"/>
    </row>
    <row r="1330">
      <c r="A1330" s="7" t="s">
        <v>1450</v>
      </c>
      <c r="B1330" s="7" t="s">
        <v>1236</v>
      </c>
      <c r="C1330" s="8">
        <v>2976.0</v>
      </c>
      <c r="D1330" s="8">
        <v>3945.0</v>
      </c>
      <c r="E1330" s="19">
        <v>0.25</v>
      </c>
      <c r="F1330" s="10">
        <v>4.2</v>
      </c>
      <c r="G1330" s="11">
        <v>3740.0</v>
      </c>
      <c r="K1330" s="17"/>
    </row>
    <row r="1331">
      <c r="A1331" s="7" t="s">
        <v>1451</v>
      </c>
      <c r="B1331" s="7" t="s">
        <v>1388</v>
      </c>
      <c r="C1331" s="8">
        <v>1099.0</v>
      </c>
      <c r="D1331" s="8">
        <v>1499.0</v>
      </c>
      <c r="E1331" s="19">
        <v>0.27</v>
      </c>
      <c r="F1331" s="10">
        <v>4.1</v>
      </c>
      <c r="G1331" s="11">
        <v>4401.0</v>
      </c>
      <c r="K1331" s="17"/>
    </row>
    <row r="1332">
      <c r="A1332" s="7" t="s">
        <v>1452</v>
      </c>
      <c r="B1332" s="7" t="s">
        <v>1139</v>
      </c>
      <c r="C1332" s="8">
        <v>2575.0</v>
      </c>
      <c r="D1332" s="8">
        <v>6700.0</v>
      </c>
      <c r="E1332" s="19">
        <v>0.62</v>
      </c>
      <c r="F1332" s="10">
        <v>4.2</v>
      </c>
      <c r="G1332" s="10">
        <v>611.0</v>
      </c>
      <c r="K1332" s="17"/>
    </row>
    <row r="1333">
      <c r="A1333" s="7" t="s">
        <v>1453</v>
      </c>
      <c r="B1333" s="7" t="s">
        <v>1113</v>
      </c>
      <c r="C1333" s="8">
        <v>1649.0</v>
      </c>
      <c r="D1333" s="8">
        <v>2800.0</v>
      </c>
      <c r="E1333" s="19">
        <v>0.41</v>
      </c>
      <c r="F1333" s="10">
        <v>3.9</v>
      </c>
      <c r="G1333" s="11">
        <v>2162.0</v>
      </c>
      <c r="K1333" s="17"/>
    </row>
    <row r="1334">
      <c r="A1334" s="7" t="s">
        <v>1454</v>
      </c>
      <c r="B1334" s="7" t="s">
        <v>1109</v>
      </c>
      <c r="C1334" s="8">
        <v>799.0</v>
      </c>
      <c r="D1334" s="8">
        <v>1699.0</v>
      </c>
      <c r="E1334" s="19">
        <v>0.53</v>
      </c>
      <c r="F1334" s="10">
        <v>4.0</v>
      </c>
      <c r="G1334" s="10">
        <v>97.0</v>
      </c>
      <c r="K1334" s="17"/>
    </row>
    <row r="1335">
      <c r="A1335" s="7" t="s">
        <v>1455</v>
      </c>
      <c r="B1335" s="7" t="s">
        <v>1109</v>
      </c>
      <c r="C1335" s="8">
        <v>765.0</v>
      </c>
      <c r="D1335" s="8">
        <v>970.0</v>
      </c>
      <c r="E1335" s="19">
        <v>0.21</v>
      </c>
      <c r="F1335" s="10">
        <v>4.2</v>
      </c>
      <c r="G1335" s="11">
        <v>6055.0</v>
      </c>
      <c r="K1335" s="17"/>
    </row>
    <row r="1336">
      <c r="A1336" s="7" t="s">
        <v>1456</v>
      </c>
      <c r="B1336" s="7" t="s">
        <v>1093</v>
      </c>
      <c r="C1336" s="8">
        <v>999.0</v>
      </c>
      <c r="D1336" s="8">
        <v>1500.0</v>
      </c>
      <c r="E1336" s="19">
        <v>0.33</v>
      </c>
      <c r="F1336" s="10">
        <v>4.2</v>
      </c>
      <c r="G1336" s="10">
        <v>386.0</v>
      </c>
      <c r="K1336" s="17"/>
    </row>
    <row r="1337">
      <c r="A1337" s="7" t="s">
        <v>1457</v>
      </c>
      <c r="B1337" s="7" t="s">
        <v>1458</v>
      </c>
      <c r="C1337" s="8">
        <v>587.0</v>
      </c>
      <c r="D1337" s="8">
        <v>1295.0</v>
      </c>
      <c r="E1337" s="19">
        <v>0.55</v>
      </c>
      <c r="F1337" s="10">
        <v>4.1</v>
      </c>
      <c r="G1337" s="10">
        <v>557.0</v>
      </c>
      <c r="K1337" s="17"/>
    </row>
    <row r="1338">
      <c r="A1338" s="7" t="s">
        <v>1459</v>
      </c>
      <c r="B1338" s="7" t="s">
        <v>1460</v>
      </c>
      <c r="C1338" s="8">
        <v>12609.0</v>
      </c>
      <c r="D1338" s="8">
        <v>23999.0</v>
      </c>
      <c r="E1338" s="19">
        <v>0.47</v>
      </c>
      <c r="F1338" s="10">
        <v>4.4</v>
      </c>
      <c r="G1338" s="11">
        <v>2288.0</v>
      </c>
      <c r="K1338" s="17"/>
    </row>
    <row r="1339">
      <c r="A1339" s="7" t="s">
        <v>1461</v>
      </c>
      <c r="B1339" s="7" t="s">
        <v>1111</v>
      </c>
      <c r="C1339" s="8">
        <v>699.0</v>
      </c>
      <c r="D1339" s="8">
        <v>850.0</v>
      </c>
      <c r="E1339" s="19">
        <v>0.18</v>
      </c>
      <c r="F1339" s="10">
        <v>4.1</v>
      </c>
      <c r="G1339" s="11">
        <v>1106.0</v>
      </c>
      <c r="K1339" s="17"/>
    </row>
    <row r="1340">
      <c r="A1340" s="7" t="s">
        <v>1462</v>
      </c>
      <c r="B1340" s="7" t="s">
        <v>1190</v>
      </c>
      <c r="C1340" s="8">
        <v>3799.0</v>
      </c>
      <c r="D1340" s="8">
        <v>6000.0</v>
      </c>
      <c r="E1340" s="19">
        <v>0.37</v>
      </c>
      <c r="F1340" s="10">
        <v>4.2</v>
      </c>
      <c r="G1340" s="11">
        <v>11935.0</v>
      </c>
      <c r="K1340" s="17"/>
    </row>
    <row r="1341">
      <c r="A1341" s="7" t="s">
        <v>1463</v>
      </c>
      <c r="B1341" s="7" t="s">
        <v>1131</v>
      </c>
      <c r="C1341" s="8">
        <v>640.0</v>
      </c>
      <c r="D1341" s="8">
        <v>1020.0</v>
      </c>
      <c r="E1341" s="19">
        <v>0.37</v>
      </c>
      <c r="F1341" s="10">
        <v>4.1</v>
      </c>
      <c r="G1341" s="11">
        <v>5059.0</v>
      </c>
      <c r="K1341" s="17"/>
    </row>
    <row r="1342">
      <c r="A1342" s="7" t="s">
        <v>1464</v>
      </c>
      <c r="B1342" s="7" t="s">
        <v>1091</v>
      </c>
      <c r="C1342" s="8">
        <v>979.0</v>
      </c>
      <c r="D1342" s="8">
        <v>1999.0</v>
      </c>
      <c r="E1342" s="19">
        <v>0.51</v>
      </c>
      <c r="F1342" s="10">
        <v>3.9</v>
      </c>
      <c r="G1342" s="10">
        <v>157.0</v>
      </c>
      <c r="K1342" s="17"/>
    </row>
    <row r="1343">
      <c r="A1343" s="7" t="s">
        <v>1465</v>
      </c>
      <c r="B1343" s="7" t="s">
        <v>1115</v>
      </c>
      <c r="C1343" s="8">
        <v>5365.0</v>
      </c>
      <c r="D1343" s="8">
        <v>7445.0</v>
      </c>
      <c r="E1343" s="19">
        <v>0.28</v>
      </c>
      <c r="F1343" s="10">
        <v>3.9</v>
      </c>
      <c r="G1343" s="11">
        <v>3584.0</v>
      </c>
      <c r="K1343" s="17"/>
    </row>
    <row r="1344">
      <c r="A1344" s="7" t="s">
        <v>1466</v>
      </c>
      <c r="B1344" s="7" t="s">
        <v>1139</v>
      </c>
      <c r="C1344" s="8">
        <v>3199.0</v>
      </c>
      <c r="D1344" s="8">
        <v>3500.0</v>
      </c>
      <c r="E1344" s="19">
        <v>0.09</v>
      </c>
      <c r="F1344" s="10">
        <v>4.2</v>
      </c>
      <c r="G1344" s="11">
        <v>1899.0</v>
      </c>
      <c r="K1344" s="17"/>
    </row>
    <row r="1345">
      <c r="A1345" s="7" t="s">
        <v>1467</v>
      </c>
      <c r="B1345" s="7" t="s">
        <v>1310</v>
      </c>
      <c r="C1345" s="8">
        <v>979.0</v>
      </c>
      <c r="D1345" s="8">
        <v>1395.0</v>
      </c>
      <c r="E1345" s="19">
        <v>0.3</v>
      </c>
      <c r="F1345" s="10">
        <v>4.2</v>
      </c>
      <c r="G1345" s="11">
        <v>15252.0</v>
      </c>
      <c r="K1345" s="17"/>
    </row>
    <row r="1346">
      <c r="A1346" s="7" t="s">
        <v>1468</v>
      </c>
      <c r="B1346" s="7" t="s">
        <v>1089</v>
      </c>
      <c r="C1346" s="8">
        <v>929.0</v>
      </c>
      <c r="D1346" s="8">
        <v>2199.0</v>
      </c>
      <c r="E1346" s="19">
        <v>0.58</v>
      </c>
      <c r="F1346" s="10">
        <v>3.7</v>
      </c>
      <c r="G1346" s="10">
        <v>4.0</v>
      </c>
      <c r="K1346" s="17"/>
    </row>
    <row r="1347">
      <c r="A1347" s="7" t="s">
        <v>1469</v>
      </c>
      <c r="B1347" s="7" t="s">
        <v>1316</v>
      </c>
      <c r="C1347" s="8">
        <v>3710.0</v>
      </c>
      <c r="D1347" s="8">
        <v>4330.0</v>
      </c>
      <c r="E1347" s="19">
        <v>0.14</v>
      </c>
      <c r="F1347" s="10">
        <v>3.7</v>
      </c>
      <c r="G1347" s="11">
        <v>1662.0</v>
      </c>
      <c r="K1347" s="17"/>
    </row>
    <row r="1348">
      <c r="A1348" s="7" t="s">
        <v>1470</v>
      </c>
      <c r="B1348" s="7" t="s">
        <v>1113</v>
      </c>
      <c r="C1348" s="8">
        <v>2033.0</v>
      </c>
      <c r="D1348" s="8">
        <v>4295.0</v>
      </c>
      <c r="E1348" s="19">
        <v>0.53</v>
      </c>
      <c r="F1348" s="10">
        <v>3.4</v>
      </c>
      <c r="G1348" s="10">
        <v>422.0</v>
      </c>
      <c r="K1348" s="17"/>
    </row>
    <row r="1349">
      <c r="A1349" s="7" t="s">
        <v>1471</v>
      </c>
      <c r="B1349" s="7" t="s">
        <v>1089</v>
      </c>
      <c r="C1349" s="8">
        <v>9495.0</v>
      </c>
      <c r="D1349" s="8">
        <v>18990.0</v>
      </c>
      <c r="E1349" s="19">
        <v>0.5</v>
      </c>
      <c r="F1349" s="10">
        <v>4.2</v>
      </c>
      <c r="G1349" s="10">
        <v>79.0</v>
      </c>
      <c r="K1349" s="17"/>
    </row>
    <row r="1350">
      <c r="A1350" s="7" t="s">
        <v>1472</v>
      </c>
      <c r="B1350" s="7" t="s">
        <v>1123</v>
      </c>
      <c r="C1350" s="8">
        <v>7799.0</v>
      </c>
      <c r="D1350" s="8">
        <v>12500.0</v>
      </c>
      <c r="E1350" s="19">
        <v>0.38</v>
      </c>
      <c r="F1350" s="10">
        <v>4.0</v>
      </c>
      <c r="G1350" s="11">
        <v>5160.0</v>
      </c>
      <c r="K1350" s="17"/>
    </row>
    <row r="1351">
      <c r="A1351" s="7" t="s">
        <v>1473</v>
      </c>
      <c r="B1351" s="7" t="s">
        <v>1086</v>
      </c>
      <c r="C1351" s="8">
        <v>949.0</v>
      </c>
      <c r="D1351" s="8">
        <v>2385.0</v>
      </c>
      <c r="E1351" s="19">
        <v>0.6</v>
      </c>
      <c r="F1351" s="10">
        <v>4.1</v>
      </c>
      <c r="G1351" s="11">
        <v>2311.0</v>
      </c>
      <c r="K1351" s="17"/>
    </row>
    <row r="1352">
      <c r="A1352" s="7" t="s">
        <v>1474</v>
      </c>
      <c r="B1352" s="7" t="s">
        <v>1115</v>
      </c>
      <c r="C1352" s="8">
        <v>2790.0</v>
      </c>
      <c r="D1352" s="8">
        <v>4890.0</v>
      </c>
      <c r="E1352" s="19">
        <v>0.43</v>
      </c>
      <c r="F1352" s="10">
        <v>3.9</v>
      </c>
      <c r="G1352" s="10">
        <v>588.0</v>
      </c>
      <c r="K1352" s="17"/>
    </row>
    <row r="1353">
      <c r="A1353" s="7" t="s">
        <v>1475</v>
      </c>
      <c r="B1353" s="7" t="s">
        <v>1111</v>
      </c>
      <c r="C1353" s="8">
        <v>645.0</v>
      </c>
      <c r="D1353" s="8">
        <v>1100.0</v>
      </c>
      <c r="E1353" s="19">
        <v>0.41</v>
      </c>
      <c r="F1353" s="10">
        <v>4.0</v>
      </c>
      <c r="G1353" s="11">
        <v>3271.0</v>
      </c>
      <c r="K1353" s="17"/>
    </row>
    <row r="1354">
      <c r="A1354" s="7" t="s">
        <v>1476</v>
      </c>
      <c r="B1354" s="7" t="s">
        <v>1113</v>
      </c>
      <c r="C1354" s="8">
        <v>2237.81</v>
      </c>
      <c r="D1354" s="8">
        <v>3899.0</v>
      </c>
      <c r="E1354" s="19">
        <v>0.43</v>
      </c>
      <c r="F1354" s="10">
        <v>3.9</v>
      </c>
      <c r="G1354" s="11">
        <v>11004.0</v>
      </c>
      <c r="K1354" s="17"/>
    </row>
    <row r="1355">
      <c r="A1355" s="7" t="s">
        <v>1477</v>
      </c>
      <c r="B1355" s="7" t="s">
        <v>1123</v>
      </c>
      <c r="C1355" s="8">
        <v>8699.0</v>
      </c>
      <c r="D1355" s="8">
        <v>16899.0</v>
      </c>
      <c r="E1355" s="19">
        <v>0.49</v>
      </c>
      <c r="F1355" s="10">
        <v>4.2</v>
      </c>
      <c r="G1355" s="11">
        <v>3195.0</v>
      </c>
      <c r="K1355" s="17"/>
    </row>
    <row r="1356">
      <c r="A1356" s="7" t="s">
        <v>1478</v>
      </c>
      <c r="B1356" s="7" t="s">
        <v>1479</v>
      </c>
      <c r="C1356" s="8">
        <v>42990.0</v>
      </c>
      <c r="D1356" s="8">
        <v>75990.0</v>
      </c>
      <c r="E1356" s="19">
        <v>0.43</v>
      </c>
      <c r="F1356" s="10">
        <v>4.3</v>
      </c>
      <c r="G1356" s="11">
        <v>3231.0</v>
      </c>
      <c r="K1356" s="17"/>
    </row>
    <row r="1357">
      <c r="A1357" s="7" t="s">
        <v>1480</v>
      </c>
      <c r="B1357" s="7" t="s">
        <v>1228</v>
      </c>
      <c r="C1357" s="8">
        <v>825.0</v>
      </c>
      <c r="D1357" s="8">
        <v>825.0</v>
      </c>
      <c r="E1357" s="19">
        <v>0.0</v>
      </c>
      <c r="F1357" s="10">
        <v>4.0</v>
      </c>
      <c r="G1357" s="11">
        <v>3246.0</v>
      </c>
      <c r="K1357" s="17"/>
    </row>
    <row r="1358">
      <c r="A1358" s="7" t="s">
        <v>1481</v>
      </c>
      <c r="B1358" s="7" t="s">
        <v>1184</v>
      </c>
      <c r="C1358" s="8">
        <v>161.0</v>
      </c>
      <c r="D1358" s="8">
        <v>300.0</v>
      </c>
      <c r="E1358" s="19">
        <v>0.46</v>
      </c>
      <c r="F1358" s="10">
        <v>2.6</v>
      </c>
      <c r="G1358" s="10">
        <v>24.0</v>
      </c>
      <c r="K1358" s="17"/>
    </row>
    <row r="1359">
      <c r="A1359" s="7" t="s">
        <v>1482</v>
      </c>
      <c r="B1359" s="7" t="s">
        <v>1104</v>
      </c>
      <c r="C1359" s="8">
        <v>697.0</v>
      </c>
      <c r="D1359" s="8">
        <v>1499.0</v>
      </c>
      <c r="E1359" s="19">
        <v>0.54</v>
      </c>
      <c r="F1359" s="10">
        <v>3.8</v>
      </c>
      <c r="G1359" s="10">
        <v>144.0</v>
      </c>
      <c r="K1359" s="17"/>
    </row>
    <row r="1360">
      <c r="A1360" s="7" t="s">
        <v>1483</v>
      </c>
      <c r="B1360" s="7" t="s">
        <v>1484</v>
      </c>
      <c r="C1360" s="8">
        <v>688.0</v>
      </c>
      <c r="D1360" s="8">
        <v>747.0</v>
      </c>
      <c r="E1360" s="19">
        <v>0.08</v>
      </c>
      <c r="F1360" s="10">
        <v>4.5</v>
      </c>
      <c r="G1360" s="11">
        <v>2280.0</v>
      </c>
      <c r="K1360" s="17"/>
    </row>
    <row r="1361">
      <c r="A1361" s="7" t="s">
        <v>1485</v>
      </c>
      <c r="B1361" s="7" t="s">
        <v>1199</v>
      </c>
      <c r="C1361" s="8">
        <v>2199.0</v>
      </c>
      <c r="D1361" s="8">
        <v>3999.0</v>
      </c>
      <c r="E1361" s="19">
        <v>0.45</v>
      </c>
      <c r="F1361" s="10">
        <v>3.5</v>
      </c>
      <c r="G1361" s="10">
        <v>340.0</v>
      </c>
      <c r="K1361" s="17"/>
    </row>
    <row r="1362">
      <c r="A1362" s="7" t="s">
        <v>1486</v>
      </c>
      <c r="B1362" s="7" t="s">
        <v>1091</v>
      </c>
      <c r="C1362" s="8">
        <v>6850.0</v>
      </c>
      <c r="D1362" s="8">
        <v>11990.0</v>
      </c>
      <c r="E1362" s="19">
        <v>0.43</v>
      </c>
      <c r="F1362" s="10">
        <v>3.9</v>
      </c>
      <c r="G1362" s="10">
        <v>144.0</v>
      </c>
      <c r="K1362" s="17"/>
    </row>
    <row r="1363">
      <c r="A1363" s="7" t="s">
        <v>1487</v>
      </c>
      <c r="B1363" s="7" t="s">
        <v>1115</v>
      </c>
      <c r="C1363" s="8">
        <v>2699.0</v>
      </c>
      <c r="D1363" s="8">
        <v>3799.0</v>
      </c>
      <c r="E1363" s="19">
        <v>0.29</v>
      </c>
      <c r="F1363" s="10">
        <v>4.0</v>
      </c>
      <c r="G1363" s="10">
        <v>727.0</v>
      </c>
      <c r="K1363" s="17"/>
    </row>
    <row r="1364">
      <c r="A1364" s="7" t="s">
        <v>1488</v>
      </c>
      <c r="B1364" s="7" t="s">
        <v>1489</v>
      </c>
      <c r="C1364" s="8">
        <v>899.0</v>
      </c>
      <c r="D1364" s="8">
        <v>1999.0</v>
      </c>
      <c r="E1364" s="19">
        <v>0.55</v>
      </c>
      <c r="F1364" s="10">
        <v>4.0</v>
      </c>
      <c r="G1364" s="10">
        <v>832.0</v>
      </c>
      <c r="K1364" s="17"/>
    </row>
    <row r="1365">
      <c r="A1365" s="7" t="s">
        <v>1490</v>
      </c>
      <c r="B1365" s="7" t="s">
        <v>1091</v>
      </c>
      <c r="C1365" s="8">
        <v>1090.0</v>
      </c>
      <c r="D1365" s="8">
        <v>2999.0</v>
      </c>
      <c r="E1365" s="19">
        <v>0.64</v>
      </c>
      <c r="F1365" s="10">
        <v>3.5</v>
      </c>
      <c r="G1365" s="10">
        <v>57.0</v>
      </c>
      <c r="K1365" s="17"/>
    </row>
    <row r="1366">
      <c r="A1366" s="7" t="s">
        <v>1491</v>
      </c>
      <c r="B1366" s="7" t="s">
        <v>1095</v>
      </c>
      <c r="C1366" s="8">
        <v>295.0</v>
      </c>
      <c r="D1366" s="8">
        <v>599.0</v>
      </c>
      <c r="E1366" s="19">
        <v>0.51</v>
      </c>
      <c r="F1366" s="10">
        <v>4.0</v>
      </c>
      <c r="G1366" s="11">
        <v>1644.0</v>
      </c>
      <c r="K1366" s="17"/>
    </row>
    <row r="1367">
      <c r="A1367" s="7" t="s">
        <v>1492</v>
      </c>
      <c r="B1367" s="7" t="s">
        <v>1121</v>
      </c>
      <c r="C1367" s="8">
        <v>479.0</v>
      </c>
      <c r="D1367" s="8">
        <v>1999.0</v>
      </c>
      <c r="E1367" s="19">
        <v>0.76</v>
      </c>
      <c r="F1367" s="10">
        <v>3.4</v>
      </c>
      <c r="G1367" s="11">
        <v>1066.0</v>
      </c>
      <c r="K1367" s="17"/>
    </row>
    <row r="1368">
      <c r="A1368" s="7" t="s">
        <v>1493</v>
      </c>
      <c r="B1368" s="7" t="s">
        <v>1115</v>
      </c>
      <c r="C1368" s="8">
        <v>2949.0</v>
      </c>
      <c r="D1368" s="8">
        <v>4849.0</v>
      </c>
      <c r="E1368" s="19">
        <v>0.39</v>
      </c>
      <c r="F1368" s="10">
        <v>4.2</v>
      </c>
      <c r="G1368" s="11">
        <v>7968.0</v>
      </c>
      <c r="K1368" s="17"/>
    </row>
    <row r="1369">
      <c r="A1369" s="7" t="s">
        <v>1494</v>
      </c>
      <c r="B1369" s="7" t="s">
        <v>1131</v>
      </c>
      <c r="C1369" s="8">
        <v>335.0</v>
      </c>
      <c r="D1369" s="8">
        <v>510.0</v>
      </c>
      <c r="E1369" s="19">
        <v>0.34</v>
      </c>
      <c r="F1369" s="10">
        <v>3.8</v>
      </c>
      <c r="G1369" s="11">
        <v>3195.0</v>
      </c>
      <c r="K1369" s="17"/>
    </row>
    <row r="1370">
      <c r="A1370" s="7" t="s">
        <v>1495</v>
      </c>
      <c r="B1370" s="7" t="s">
        <v>1225</v>
      </c>
      <c r="C1370" s="8">
        <v>293.0</v>
      </c>
      <c r="D1370" s="8">
        <v>499.0</v>
      </c>
      <c r="E1370" s="19">
        <v>0.41</v>
      </c>
      <c r="F1370" s="10">
        <v>4.1</v>
      </c>
      <c r="G1370" s="11">
        <v>1456.0</v>
      </c>
      <c r="K1370" s="17"/>
    </row>
    <row r="1371">
      <c r="A1371" s="7" t="s">
        <v>1496</v>
      </c>
      <c r="B1371" s="7" t="s">
        <v>1497</v>
      </c>
      <c r="C1371" s="8">
        <v>599.0</v>
      </c>
      <c r="D1371" s="8">
        <v>1299.0</v>
      </c>
      <c r="E1371" s="19">
        <v>0.54</v>
      </c>
      <c r="F1371" s="10">
        <v>4.2</v>
      </c>
      <c r="G1371" s="10">
        <v>590.0</v>
      </c>
      <c r="K1371" s="17"/>
    </row>
    <row r="1372">
      <c r="A1372" s="7" t="s">
        <v>1498</v>
      </c>
      <c r="B1372" s="7" t="s">
        <v>1228</v>
      </c>
      <c r="C1372" s="8">
        <v>499.0</v>
      </c>
      <c r="D1372" s="8">
        <v>999.0</v>
      </c>
      <c r="E1372" s="19">
        <v>0.5</v>
      </c>
      <c r="F1372" s="10">
        <v>4.3</v>
      </c>
      <c r="G1372" s="11">
        <v>1436.0</v>
      </c>
      <c r="K1372" s="17"/>
    </row>
    <row r="1373">
      <c r="A1373" s="7" t="s">
        <v>1499</v>
      </c>
      <c r="B1373" s="7" t="s">
        <v>1111</v>
      </c>
      <c r="C1373" s="8">
        <v>849.0</v>
      </c>
      <c r="D1373" s="8">
        <v>1190.0</v>
      </c>
      <c r="E1373" s="19">
        <v>0.29</v>
      </c>
      <c r="F1373" s="10">
        <v>4.2</v>
      </c>
      <c r="G1373" s="11">
        <v>4184.0</v>
      </c>
      <c r="K1373" s="17"/>
    </row>
    <row r="1374">
      <c r="A1374" s="7" t="s">
        <v>1500</v>
      </c>
      <c r="B1374" s="7" t="s">
        <v>1225</v>
      </c>
      <c r="C1374" s="8">
        <v>249.0</v>
      </c>
      <c r="D1374" s="8">
        <v>400.0</v>
      </c>
      <c r="E1374" s="19">
        <v>0.38</v>
      </c>
      <c r="F1374" s="10">
        <v>4.1</v>
      </c>
      <c r="G1374" s="10">
        <v>693.0</v>
      </c>
      <c r="K1374" s="17"/>
    </row>
    <row r="1375">
      <c r="A1375" s="7" t="s">
        <v>1501</v>
      </c>
      <c r="B1375" s="7" t="s">
        <v>1228</v>
      </c>
      <c r="C1375" s="8">
        <v>185.0</v>
      </c>
      <c r="D1375" s="8">
        <v>599.0</v>
      </c>
      <c r="E1375" s="19">
        <v>0.69</v>
      </c>
      <c r="F1375" s="10">
        <v>3.9</v>
      </c>
      <c r="G1375" s="11">
        <v>1306.0</v>
      </c>
      <c r="K1375" s="17"/>
    </row>
    <row r="1376">
      <c r="A1376" s="7" t="s">
        <v>1502</v>
      </c>
      <c r="B1376" s="7" t="s">
        <v>1091</v>
      </c>
      <c r="C1376" s="8">
        <v>778.0</v>
      </c>
      <c r="D1376" s="8">
        <v>999.0</v>
      </c>
      <c r="E1376" s="19">
        <v>0.22</v>
      </c>
      <c r="F1376" s="10">
        <v>3.3</v>
      </c>
      <c r="G1376" s="10">
        <v>8.0</v>
      </c>
      <c r="K1376" s="17"/>
    </row>
    <row r="1377">
      <c r="A1377" s="7" t="s">
        <v>1503</v>
      </c>
      <c r="B1377" s="7" t="s">
        <v>1504</v>
      </c>
      <c r="C1377" s="8">
        <v>279.0</v>
      </c>
      <c r="D1377" s="8">
        <v>699.0</v>
      </c>
      <c r="E1377" s="19">
        <v>0.6</v>
      </c>
      <c r="F1377" s="10">
        <v>4.3</v>
      </c>
      <c r="G1377" s="11">
        <v>2326.0</v>
      </c>
      <c r="K1377" s="17"/>
    </row>
    <row r="1378">
      <c r="A1378" s="7" t="s">
        <v>1505</v>
      </c>
      <c r="B1378" s="7" t="s">
        <v>1228</v>
      </c>
      <c r="C1378" s="8">
        <v>215.0</v>
      </c>
      <c r="D1378" s="8">
        <v>1499.0</v>
      </c>
      <c r="E1378" s="19">
        <v>0.86</v>
      </c>
      <c r="F1378" s="10">
        <v>3.9</v>
      </c>
      <c r="G1378" s="11">
        <v>1004.0</v>
      </c>
      <c r="K1378" s="17"/>
    </row>
    <row r="1379">
      <c r="A1379" s="7" t="s">
        <v>1506</v>
      </c>
      <c r="B1379" s="7" t="s">
        <v>1111</v>
      </c>
      <c r="C1379" s="8">
        <v>889.0</v>
      </c>
      <c r="D1379" s="8">
        <v>1295.0</v>
      </c>
      <c r="E1379" s="19">
        <v>0.31</v>
      </c>
      <c r="F1379" s="10">
        <v>4.3</v>
      </c>
      <c r="G1379" s="11">
        <v>6400.0</v>
      </c>
      <c r="K1379" s="17"/>
    </row>
    <row r="1380">
      <c r="A1380" s="7" t="s">
        <v>1507</v>
      </c>
      <c r="B1380" s="7" t="s">
        <v>1115</v>
      </c>
      <c r="C1380" s="8">
        <v>1449.0</v>
      </c>
      <c r="D1380" s="8">
        <v>4999.0</v>
      </c>
      <c r="E1380" s="19">
        <v>0.71</v>
      </c>
      <c r="F1380" s="10">
        <v>3.6</v>
      </c>
      <c r="G1380" s="10">
        <v>63.0</v>
      </c>
      <c r="K1380" s="17"/>
    </row>
    <row r="1381">
      <c r="A1381" s="7" t="s">
        <v>1508</v>
      </c>
      <c r="B1381" s="7" t="s">
        <v>1115</v>
      </c>
      <c r="C1381" s="8">
        <v>1190.0</v>
      </c>
      <c r="D1381" s="8">
        <v>2550.0</v>
      </c>
      <c r="E1381" s="19">
        <v>0.53</v>
      </c>
      <c r="F1381" s="10">
        <v>3.8</v>
      </c>
      <c r="G1381" s="11">
        <v>1181.0</v>
      </c>
      <c r="K1381" s="17"/>
    </row>
    <row r="1382">
      <c r="A1382" s="7" t="s">
        <v>1509</v>
      </c>
      <c r="B1382" s="7" t="s">
        <v>1280</v>
      </c>
      <c r="C1382" s="8">
        <v>1799.0</v>
      </c>
      <c r="D1382" s="8">
        <v>1950.0</v>
      </c>
      <c r="E1382" s="19">
        <v>0.08</v>
      </c>
      <c r="F1382" s="10">
        <v>3.9</v>
      </c>
      <c r="G1382" s="11">
        <v>1888.0</v>
      </c>
      <c r="K1382" s="17"/>
    </row>
    <row r="1383">
      <c r="A1383" s="7" t="s">
        <v>1510</v>
      </c>
      <c r="B1383" s="7" t="s">
        <v>1113</v>
      </c>
      <c r="C1383" s="8">
        <v>6120.0</v>
      </c>
      <c r="D1383" s="8">
        <v>8478.0</v>
      </c>
      <c r="E1383" s="19">
        <v>0.28</v>
      </c>
      <c r="F1383" s="10">
        <v>4.6</v>
      </c>
      <c r="G1383" s="11">
        <v>6550.0</v>
      </c>
      <c r="K1383" s="17"/>
    </row>
    <row r="1384">
      <c r="A1384" s="7" t="s">
        <v>1511</v>
      </c>
      <c r="B1384" s="7" t="s">
        <v>1113</v>
      </c>
      <c r="C1384" s="8">
        <v>1799.0</v>
      </c>
      <c r="D1384" s="8">
        <v>3299.0</v>
      </c>
      <c r="E1384" s="19">
        <v>0.45</v>
      </c>
      <c r="F1384" s="10">
        <v>3.8</v>
      </c>
      <c r="G1384" s="11">
        <v>1846.0</v>
      </c>
      <c r="K1384" s="17"/>
    </row>
    <row r="1385">
      <c r="A1385" s="7" t="s">
        <v>1512</v>
      </c>
      <c r="B1385" s="7" t="s">
        <v>1113</v>
      </c>
      <c r="C1385" s="8">
        <v>2199.0</v>
      </c>
      <c r="D1385" s="8">
        <v>3895.0</v>
      </c>
      <c r="E1385" s="19">
        <v>0.44</v>
      </c>
      <c r="F1385" s="10">
        <v>3.9</v>
      </c>
      <c r="G1385" s="11">
        <v>1085.0</v>
      </c>
      <c r="K1385" s="17"/>
    </row>
    <row r="1386">
      <c r="A1386" s="7" t="s">
        <v>1513</v>
      </c>
      <c r="B1386" s="7" t="s">
        <v>1236</v>
      </c>
      <c r="C1386" s="8">
        <v>3685.0</v>
      </c>
      <c r="D1386" s="8">
        <v>5495.0</v>
      </c>
      <c r="E1386" s="19">
        <v>0.33</v>
      </c>
      <c r="F1386" s="10">
        <v>4.1</v>
      </c>
      <c r="G1386" s="10">
        <v>290.0</v>
      </c>
      <c r="K1386" s="17"/>
    </row>
    <row r="1387">
      <c r="A1387" s="7" t="s">
        <v>1514</v>
      </c>
      <c r="B1387" s="7" t="s">
        <v>1144</v>
      </c>
      <c r="C1387" s="8">
        <v>649.0</v>
      </c>
      <c r="D1387" s="8">
        <v>999.0</v>
      </c>
      <c r="E1387" s="19">
        <v>0.35</v>
      </c>
      <c r="F1387" s="10">
        <v>3.6</v>
      </c>
      <c r="G1387" s="10">
        <v>4.0</v>
      </c>
      <c r="K1387" s="17"/>
    </row>
    <row r="1388">
      <c r="A1388" s="7" t="s">
        <v>1515</v>
      </c>
      <c r="B1388" s="7" t="s">
        <v>1318</v>
      </c>
      <c r="C1388" s="8">
        <v>8599.0</v>
      </c>
      <c r="D1388" s="8">
        <v>8995.0</v>
      </c>
      <c r="E1388" s="19">
        <v>0.04</v>
      </c>
      <c r="F1388" s="10">
        <v>4.4</v>
      </c>
      <c r="G1388" s="11">
        <v>9734.0</v>
      </c>
      <c r="K1388" s="17"/>
    </row>
    <row r="1389">
      <c r="A1389" s="7" t="s">
        <v>1516</v>
      </c>
      <c r="B1389" s="7" t="s">
        <v>1111</v>
      </c>
      <c r="C1389" s="8">
        <v>1110.0</v>
      </c>
      <c r="D1389" s="8">
        <v>1599.0</v>
      </c>
      <c r="E1389" s="19">
        <v>0.31</v>
      </c>
      <c r="F1389" s="10">
        <v>4.3</v>
      </c>
      <c r="G1389" s="11">
        <v>4022.0</v>
      </c>
      <c r="K1389" s="17"/>
    </row>
    <row r="1390">
      <c r="A1390" s="7" t="s">
        <v>1517</v>
      </c>
      <c r="B1390" s="7" t="s">
        <v>1115</v>
      </c>
      <c r="C1390" s="8">
        <v>1499.0</v>
      </c>
      <c r="D1390" s="8">
        <v>3500.0</v>
      </c>
      <c r="E1390" s="19">
        <v>0.57</v>
      </c>
      <c r="F1390" s="10">
        <v>4.7</v>
      </c>
      <c r="G1390" s="11">
        <v>2591.0</v>
      </c>
      <c r="K1390" s="17"/>
    </row>
    <row r="1391">
      <c r="A1391" s="7" t="s">
        <v>1518</v>
      </c>
      <c r="B1391" s="7" t="s">
        <v>1095</v>
      </c>
      <c r="C1391" s="8">
        <v>759.0</v>
      </c>
      <c r="D1391" s="8">
        <v>1999.0</v>
      </c>
      <c r="E1391" s="19">
        <v>0.62</v>
      </c>
      <c r="F1391" s="10">
        <v>4.3</v>
      </c>
      <c r="G1391" s="10">
        <v>532.0</v>
      </c>
      <c r="K1391" s="17"/>
    </row>
    <row r="1392">
      <c r="A1392" s="7" t="s">
        <v>1519</v>
      </c>
      <c r="B1392" s="7" t="s">
        <v>1148</v>
      </c>
      <c r="C1392" s="8">
        <v>2669.0</v>
      </c>
      <c r="D1392" s="8">
        <v>3199.0</v>
      </c>
      <c r="E1392" s="19">
        <v>0.17</v>
      </c>
      <c r="F1392" s="10">
        <v>3.9</v>
      </c>
      <c r="G1392" s="10">
        <v>260.0</v>
      </c>
      <c r="K1392" s="17"/>
    </row>
    <row r="1393">
      <c r="A1393" s="7" t="s">
        <v>1520</v>
      </c>
      <c r="B1393" s="7" t="s">
        <v>1159</v>
      </c>
      <c r="C1393" s="8">
        <v>929.0</v>
      </c>
      <c r="D1393" s="8">
        <v>1300.0</v>
      </c>
      <c r="E1393" s="19">
        <v>0.29</v>
      </c>
      <c r="F1393" s="10">
        <v>3.9</v>
      </c>
      <c r="G1393" s="11">
        <v>1672.0</v>
      </c>
      <c r="K1393" s="17"/>
    </row>
    <row r="1394">
      <c r="A1394" s="7" t="s">
        <v>1521</v>
      </c>
      <c r="B1394" s="7" t="s">
        <v>1137</v>
      </c>
      <c r="C1394" s="8">
        <v>199.0</v>
      </c>
      <c r="D1394" s="8">
        <v>399.0</v>
      </c>
      <c r="E1394" s="19">
        <v>0.5</v>
      </c>
      <c r="F1394" s="10">
        <v>3.7</v>
      </c>
      <c r="G1394" s="11">
        <v>7945.0</v>
      </c>
      <c r="K1394" s="17"/>
    </row>
    <row r="1395">
      <c r="A1395" s="7" t="s">
        <v>1522</v>
      </c>
      <c r="B1395" s="7" t="s">
        <v>1093</v>
      </c>
      <c r="C1395" s="8">
        <v>279.0</v>
      </c>
      <c r="D1395" s="8">
        <v>599.0</v>
      </c>
      <c r="E1395" s="19">
        <v>0.53</v>
      </c>
      <c r="F1395" s="10">
        <v>3.5</v>
      </c>
      <c r="G1395" s="11">
        <v>1367.0</v>
      </c>
      <c r="K1395" s="17"/>
    </row>
    <row r="1396">
      <c r="A1396" s="7" t="s">
        <v>1523</v>
      </c>
      <c r="B1396" s="7" t="s">
        <v>1109</v>
      </c>
      <c r="C1396" s="8">
        <v>549.0</v>
      </c>
      <c r="D1396" s="8">
        <v>999.0</v>
      </c>
      <c r="E1396" s="19">
        <v>0.45</v>
      </c>
      <c r="F1396" s="10">
        <v>4.0</v>
      </c>
      <c r="G1396" s="11">
        <v>1313.0</v>
      </c>
      <c r="K1396" s="17"/>
    </row>
    <row r="1397">
      <c r="A1397" s="7" t="s">
        <v>1524</v>
      </c>
      <c r="B1397" s="7" t="s">
        <v>1306</v>
      </c>
      <c r="C1397" s="8">
        <v>85.0</v>
      </c>
      <c r="D1397" s="8">
        <v>199.0</v>
      </c>
      <c r="E1397" s="19">
        <v>0.57</v>
      </c>
      <c r="F1397" s="10">
        <v>4.1</v>
      </c>
      <c r="G1397" s="10">
        <v>212.0</v>
      </c>
      <c r="K1397" s="17"/>
    </row>
    <row r="1398">
      <c r="A1398" s="7" t="s">
        <v>1525</v>
      </c>
      <c r="B1398" s="7" t="s">
        <v>1144</v>
      </c>
      <c r="C1398" s="8">
        <v>499.0</v>
      </c>
      <c r="D1398" s="8">
        <v>1299.0</v>
      </c>
      <c r="E1398" s="19">
        <v>0.62</v>
      </c>
      <c r="F1398" s="10">
        <v>3.9</v>
      </c>
      <c r="G1398" s="10">
        <v>65.0</v>
      </c>
      <c r="K1398" s="17"/>
    </row>
    <row r="1399">
      <c r="A1399" s="7" t="s">
        <v>1526</v>
      </c>
      <c r="B1399" s="7" t="s">
        <v>1144</v>
      </c>
      <c r="C1399" s="8">
        <v>5865.0</v>
      </c>
      <c r="D1399" s="8">
        <v>7776.0</v>
      </c>
      <c r="E1399" s="19">
        <v>0.25</v>
      </c>
      <c r="F1399" s="10">
        <v>4.4</v>
      </c>
      <c r="G1399" s="11">
        <v>2737.0</v>
      </c>
      <c r="K1399" s="17"/>
    </row>
    <row r="1400">
      <c r="A1400" s="7" t="s">
        <v>1527</v>
      </c>
      <c r="B1400" s="7" t="s">
        <v>1086</v>
      </c>
      <c r="C1400" s="8">
        <v>1260.0</v>
      </c>
      <c r="D1400" s="8">
        <v>2299.0</v>
      </c>
      <c r="E1400" s="19">
        <v>0.45</v>
      </c>
      <c r="F1400" s="10">
        <v>4.3</v>
      </c>
      <c r="G1400" s="10">
        <v>55.0</v>
      </c>
      <c r="K1400" s="17"/>
    </row>
    <row r="1401">
      <c r="A1401" s="7" t="s">
        <v>1528</v>
      </c>
      <c r="B1401" s="7" t="s">
        <v>1529</v>
      </c>
      <c r="C1401" s="8">
        <v>1099.0</v>
      </c>
      <c r="D1401" s="8">
        <v>1500.0</v>
      </c>
      <c r="E1401" s="19">
        <v>0.27</v>
      </c>
      <c r="F1401" s="10">
        <v>4.5</v>
      </c>
      <c r="G1401" s="11">
        <v>1065.0</v>
      </c>
      <c r="K1401" s="17"/>
    </row>
    <row r="1402">
      <c r="A1402" s="7" t="s">
        <v>1530</v>
      </c>
      <c r="B1402" s="7" t="s">
        <v>1159</v>
      </c>
      <c r="C1402" s="8">
        <v>1928.0</v>
      </c>
      <c r="D1402" s="8">
        <v>2590.0</v>
      </c>
      <c r="E1402" s="19">
        <v>0.26</v>
      </c>
      <c r="F1402" s="10">
        <v>4.0</v>
      </c>
      <c r="G1402" s="11">
        <v>2377.0</v>
      </c>
      <c r="K1402" s="17"/>
    </row>
    <row r="1403">
      <c r="A1403" s="7" t="s">
        <v>1531</v>
      </c>
      <c r="B1403" s="7" t="s">
        <v>1123</v>
      </c>
      <c r="C1403" s="8">
        <v>3249.0</v>
      </c>
      <c r="D1403" s="8">
        <v>6299.0</v>
      </c>
      <c r="E1403" s="19">
        <v>0.48</v>
      </c>
      <c r="F1403" s="10">
        <v>3.9</v>
      </c>
      <c r="G1403" s="11">
        <v>2569.0</v>
      </c>
      <c r="K1403" s="17"/>
    </row>
    <row r="1404">
      <c r="A1404" s="7" t="s">
        <v>1532</v>
      </c>
      <c r="B1404" s="7" t="s">
        <v>1159</v>
      </c>
      <c r="C1404" s="8">
        <v>1199.0</v>
      </c>
      <c r="D1404" s="8">
        <v>1795.0</v>
      </c>
      <c r="E1404" s="19">
        <v>0.33</v>
      </c>
      <c r="F1404" s="10">
        <v>4.2</v>
      </c>
      <c r="G1404" s="11">
        <v>5967.0</v>
      </c>
      <c r="K1404" s="17"/>
    </row>
    <row r="1405">
      <c r="A1405" s="7" t="s">
        <v>1533</v>
      </c>
      <c r="B1405" s="7" t="s">
        <v>1086</v>
      </c>
      <c r="C1405" s="8">
        <v>1456.0</v>
      </c>
      <c r="D1405" s="8">
        <v>3190.0</v>
      </c>
      <c r="E1405" s="19">
        <v>0.54</v>
      </c>
      <c r="F1405" s="10">
        <v>4.1</v>
      </c>
      <c r="G1405" s="11">
        <v>1776.0</v>
      </c>
      <c r="K1405" s="17"/>
    </row>
    <row r="1406">
      <c r="A1406" s="7" t="s">
        <v>1534</v>
      </c>
      <c r="B1406" s="7" t="s">
        <v>1144</v>
      </c>
      <c r="C1406" s="8">
        <v>3349.0</v>
      </c>
      <c r="D1406" s="8">
        <v>4799.0</v>
      </c>
      <c r="E1406" s="19">
        <v>0.3</v>
      </c>
      <c r="F1406" s="10">
        <v>3.7</v>
      </c>
      <c r="G1406" s="11">
        <v>4200.0</v>
      </c>
      <c r="K1406" s="17"/>
    </row>
    <row r="1407">
      <c r="A1407" s="7" t="s">
        <v>1535</v>
      </c>
      <c r="B1407" s="7" t="s">
        <v>1197</v>
      </c>
      <c r="C1407" s="8">
        <v>4899.0</v>
      </c>
      <c r="D1407" s="8">
        <v>8999.0</v>
      </c>
      <c r="E1407" s="19">
        <v>0.46</v>
      </c>
      <c r="F1407" s="10">
        <v>4.1</v>
      </c>
      <c r="G1407" s="10">
        <v>297.0</v>
      </c>
      <c r="K1407" s="17"/>
    </row>
    <row r="1408">
      <c r="A1408" s="7" t="s">
        <v>1536</v>
      </c>
      <c r="B1408" s="7" t="s">
        <v>1121</v>
      </c>
      <c r="C1408" s="8">
        <v>1199.0</v>
      </c>
      <c r="D1408" s="8">
        <v>1899.0</v>
      </c>
      <c r="E1408" s="19">
        <v>0.37</v>
      </c>
      <c r="F1408" s="10">
        <v>4.2</v>
      </c>
      <c r="G1408" s="11">
        <v>3858.0</v>
      </c>
      <c r="K1408" s="17"/>
    </row>
    <row r="1409">
      <c r="A1409" s="7" t="s">
        <v>1537</v>
      </c>
      <c r="B1409" s="7" t="s">
        <v>1393</v>
      </c>
      <c r="C1409" s="8">
        <v>3290.0</v>
      </c>
      <c r="D1409" s="8">
        <v>5799.0</v>
      </c>
      <c r="E1409" s="19">
        <v>0.43</v>
      </c>
      <c r="F1409" s="10">
        <v>4.3</v>
      </c>
      <c r="G1409" s="10">
        <v>168.0</v>
      </c>
      <c r="K1409" s="17"/>
    </row>
    <row r="1410">
      <c r="A1410" s="7" t="s">
        <v>1538</v>
      </c>
      <c r="B1410" s="7" t="s">
        <v>1093</v>
      </c>
      <c r="C1410" s="8">
        <v>179.0</v>
      </c>
      <c r="D1410" s="8">
        <v>799.0</v>
      </c>
      <c r="E1410" s="19">
        <v>0.78</v>
      </c>
      <c r="F1410" s="10">
        <v>3.6</v>
      </c>
      <c r="G1410" s="10">
        <v>101.0</v>
      </c>
      <c r="K1410" s="17"/>
    </row>
    <row r="1411">
      <c r="A1411" s="7" t="s">
        <v>1539</v>
      </c>
      <c r="B1411" s="7" t="s">
        <v>1504</v>
      </c>
      <c r="C1411" s="8">
        <v>149.0</v>
      </c>
      <c r="D1411" s="8">
        <v>300.0</v>
      </c>
      <c r="E1411" s="19">
        <v>0.5</v>
      </c>
      <c r="F1411" s="10">
        <v>4.1</v>
      </c>
      <c r="G1411" s="11">
        <v>4074.0</v>
      </c>
      <c r="K1411" s="17"/>
    </row>
    <row r="1412">
      <c r="A1412" s="7" t="s">
        <v>1540</v>
      </c>
      <c r="B1412" s="7" t="s">
        <v>1113</v>
      </c>
      <c r="C1412" s="8">
        <v>5490.0</v>
      </c>
      <c r="D1412" s="8">
        <v>7200.0</v>
      </c>
      <c r="E1412" s="19">
        <v>0.24</v>
      </c>
      <c r="F1412" s="10">
        <v>4.5</v>
      </c>
      <c r="G1412" s="11">
        <v>1408.0</v>
      </c>
      <c r="K1412" s="17"/>
    </row>
    <row r="1413">
      <c r="A1413" s="7" t="s">
        <v>1541</v>
      </c>
      <c r="B1413" s="7" t="s">
        <v>1095</v>
      </c>
      <c r="C1413" s="8">
        <v>379.0</v>
      </c>
      <c r="D1413" s="8">
        <v>389.0</v>
      </c>
      <c r="E1413" s="19">
        <v>0.03</v>
      </c>
      <c r="F1413" s="10">
        <v>4.2</v>
      </c>
      <c r="G1413" s="11">
        <v>3739.0</v>
      </c>
      <c r="K1413" s="17"/>
    </row>
    <row r="1414">
      <c r="A1414" s="7" t="s">
        <v>1542</v>
      </c>
      <c r="B1414" s="7" t="s">
        <v>1280</v>
      </c>
      <c r="C1414" s="8">
        <v>8699.0</v>
      </c>
      <c r="D1414" s="8">
        <v>13049.0</v>
      </c>
      <c r="E1414" s="19">
        <v>0.33</v>
      </c>
      <c r="F1414" s="10">
        <v>4.3</v>
      </c>
      <c r="G1414" s="11">
        <v>5891.0</v>
      </c>
      <c r="K1414" s="17"/>
    </row>
    <row r="1415">
      <c r="A1415" s="7" t="s">
        <v>1543</v>
      </c>
      <c r="B1415" s="7" t="s">
        <v>1113</v>
      </c>
      <c r="C1415" s="8">
        <v>3041.67</v>
      </c>
      <c r="D1415" s="8">
        <v>5999.0</v>
      </c>
      <c r="E1415" s="19">
        <v>0.49</v>
      </c>
      <c r="F1415" s="10">
        <v>4.0</v>
      </c>
      <c r="G1415" s="10">
        <v>777.0</v>
      </c>
      <c r="K1415" s="17"/>
    </row>
    <row r="1416">
      <c r="A1416" s="7" t="s">
        <v>1544</v>
      </c>
      <c r="B1416" s="7" t="s">
        <v>1109</v>
      </c>
      <c r="C1416" s="8">
        <v>1745.0</v>
      </c>
      <c r="D1416" s="8">
        <v>2400.0</v>
      </c>
      <c r="E1416" s="19">
        <v>0.27</v>
      </c>
      <c r="F1416" s="10">
        <v>4.2</v>
      </c>
      <c r="G1416" s="11">
        <v>14160.0</v>
      </c>
      <c r="K1416" s="17"/>
    </row>
    <row r="1417">
      <c r="A1417" s="7" t="s">
        <v>1545</v>
      </c>
      <c r="B1417" s="7" t="s">
        <v>1104</v>
      </c>
      <c r="C1417" s="8">
        <v>3180.0</v>
      </c>
      <c r="D1417" s="8">
        <v>5295.0</v>
      </c>
      <c r="E1417" s="19">
        <v>0.4</v>
      </c>
      <c r="F1417" s="10">
        <v>4.2</v>
      </c>
      <c r="G1417" s="11">
        <v>6919.0</v>
      </c>
      <c r="K1417" s="17"/>
    </row>
    <row r="1418">
      <c r="A1418" s="7" t="s">
        <v>1546</v>
      </c>
      <c r="B1418" s="7" t="s">
        <v>1280</v>
      </c>
      <c r="C1418" s="8">
        <v>4999.0</v>
      </c>
      <c r="D1418" s="8">
        <v>24999.0</v>
      </c>
      <c r="E1418" s="19">
        <v>0.8</v>
      </c>
      <c r="F1418" s="10">
        <v>4.5</v>
      </c>
      <c r="G1418" s="10">
        <v>287.0</v>
      </c>
      <c r="K1418" s="17"/>
    </row>
    <row r="1419">
      <c r="A1419" s="7" t="s">
        <v>1547</v>
      </c>
      <c r="B1419" s="7" t="s">
        <v>1137</v>
      </c>
      <c r="C1419" s="8">
        <v>390.0</v>
      </c>
      <c r="D1419" s="8">
        <v>799.0</v>
      </c>
      <c r="E1419" s="19">
        <v>0.51</v>
      </c>
      <c r="F1419" s="10">
        <v>3.8</v>
      </c>
      <c r="G1419" s="10">
        <v>287.0</v>
      </c>
      <c r="K1419" s="17"/>
    </row>
    <row r="1420">
      <c r="A1420" s="7" t="s">
        <v>1548</v>
      </c>
      <c r="B1420" s="7" t="s">
        <v>1549</v>
      </c>
      <c r="C1420" s="8">
        <v>1999.0</v>
      </c>
      <c r="D1420" s="8">
        <v>2999.0</v>
      </c>
      <c r="E1420" s="19">
        <v>0.33</v>
      </c>
      <c r="F1420" s="10">
        <v>4.4</v>
      </c>
      <c r="G1420" s="10">
        <v>388.0</v>
      </c>
      <c r="K1420" s="17"/>
    </row>
    <row r="1421">
      <c r="A1421" s="7" t="s">
        <v>1550</v>
      </c>
      <c r="B1421" s="7" t="s">
        <v>1155</v>
      </c>
      <c r="C1421" s="8">
        <v>1624.0</v>
      </c>
      <c r="D1421" s="8">
        <v>2495.0</v>
      </c>
      <c r="E1421" s="19">
        <v>0.35</v>
      </c>
      <c r="F1421" s="10">
        <v>4.1</v>
      </c>
      <c r="G1421" s="10">
        <v>827.0</v>
      </c>
      <c r="K1421" s="17"/>
    </row>
    <row r="1422">
      <c r="A1422" s="7" t="s">
        <v>1551</v>
      </c>
      <c r="B1422" s="7" t="s">
        <v>1504</v>
      </c>
      <c r="C1422" s="8">
        <v>184.0</v>
      </c>
      <c r="D1422" s="8">
        <v>450.0</v>
      </c>
      <c r="E1422" s="19">
        <v>0.59</v>
      </c>
      <c r="F1422" s="10">
        <v>4.2</v>
      </c>
      <c r="G1422" s="11">
        <v>4971.0</v>
      </c>
      <c r="K1422" s="17"/>
    </row>
    <row r="1423">
      <c r="A1423" s="7" t="s">
        <v>1552</v>
      </c>
      <c r="B1423" s="7" t="s">
        <v>1093</v>
      </c>
      <c r="C1423" s="8">
        <v>445.0</v>
      </c>
      <c r="D1423" s="8">
        <v>999.0</v>
      </c>
      <c r="E1423" s="19">
        <v>0.55</v>
      </c>
      <c r="F1423" s="10">
        <v>4.3</v>
      </c>
      <c r="G1423" s="10">
        <v>229.0</v>
      </c>
      <c r="K1423" s="17"/>
    </row>
    <row r="1424">
      <c r="A1424" s="7" t="s">
        <v>1553</v>
      </c>
      <c r="B1424" s="7" t="s">
        <v>1554</v>
      </c>
      <c r="C1424" s="8">
        <v>699.0</v>
      </c>
      <c r="D1424" s="8">
        <v>1690.0</v>
      </c>
      <c r="E1424" s="19">
        <v>0.59</v>
      </c>
      <c r="F1424" s="10">
        <v>4.1</v>
      </c>
      <c r="G1424" s="11">
        <v>3524.0</v>
      </c>
      <c r="K1424" s="17"/>
    </row>
    <row r="1425">
      <c r="A1425" s="7" t="s">
        <v>1555</v>
      </c>
      <c r="B1425" s="7" t="s">
        <v>1104</v>
      </c>
      <c r="C1425" s="8">
        <v>1601.0</v>
      </c>
      <c r="D1425" s="8">
        <v>3890.0</v>
      </c>
      <c r="E1425" s="19">
        <v>0.59</v>
      </c>
      <c r="F1425" s="10">
        <v>4.2</v>
      </c>
      <c r="G1425" s="10">
        <v>156.0</v>
      </c>
      <c r="K1425" s="17"/>
    </row>
    <row r="1426">
      <c r="A1426" s="7" t="s">
        <v>1556</v>
      </c>
      <c r="B1426" s="7" t="s">
        <v>1228</v>
      </c>
      <c r="C1426" s="8">
        <v>231.0</v>
      </c>
      <c r="D1426" s="8">
        <v>260.0</v>
      </c>
      <c r="E1426" s="19">
        <v>0.11</v>
      </c>
      <c r="F1426" s="10">
        <v>4.1</v>
      </c>
      <c r="G1426" s="10">
        <v>490.0</v>
      </c>
      <c r="K1426" s="17"/>
    </row>
    <row r="1427">
      <c r="A1427" s="7" t="s">
        <v>1557</v>
      </c>
      <c r="B1427" s="7" t="s">
        <v>1093</v>
      </c>
      <c r="C1427" s="8">
        <v>369.0</v>
      </c>
      <c r="D1427" s="8">
        <v>599.0</v>
      </c>
      <c r="E1427" s="19">
        <v>0.38</v>
      </c>
      <c r="F1427" s="10">
        <v>3.9</v>
      </c>
      <c r="G1427" s="10">
        <v>82.0</v>
      </c>
      <c r="K1427" s="17"/>
    </row>
    <row r="1428">
      <c r="A1428" s="7" t="s">
        <v>1558</v>
      </c>
      <c r="B1428" s="7" t="s">
        <v>1086</v>
      </c>
      <c r="C1428" s="8">
        <v>809.0</v>
      </c>
      <c r="D1428" s="8">
        <v>1950.0</v>
      </c>
      <c r="E1428" s="19">
        <v>0.59</v>
      </c>
      <c r="F1428" s="10">
        <v>3.9</v>
      </c>
      <c r="G1428" s="10">
        <v>710.0</v>
      </c>
      <c r="K1428" s="17"/>
    </row>
    <row r="1429">
      <c r="A1429" s="7" t="s">
        <v>1559</v>
      </c>
      <c r="B1429" s="7" t="s">
        <v>1113</v>
      </c>
      <c r="C1429" s="8">
        <v>1199.0</v>
      </c>
      <c r="D1429" s="8">
        <v>2990.0</v>
      </c>
      <c r="E1429" s="19">
        <v>0.6</v>
      </c>
      <c r="F1429" s="10">
        <v>3.8</v>
      </c>
      <c r="G1429" s="10">
        <v>133.0</v>
      </c>
      <c r="K1429" s="17"/>
    </row>
    <row r="1430">
      <c r="A1430" s="7" t="s">
        <v>1560</v>
      </c>
      <c r="B1430" s="7" t="s">
        <v>1113</v>
      </c>
      <c r="C1430" s="8">
        <v>6120.0</v>
      </c>
      <c r="D1430" s="8">
        <v>8073.0</v>
      </c>
      <c r="E1430" s="19">
        <v>0.24</v>
      </c>
      <c r="F1430" s="10">
        <v>4.6</v>
      </c>
      <c r="G1430" s="11">
        <v>2751.0</v>
      </c>
      <c r="K1430" s="17"/>
    </row>
    <row r="1431">
      <c r="A1431" s="7" t="s">
        <v>1561</v>
      </c>
      <c r="B1431" s="7" t="s">
        <v>1139</v>
      </c>
      <c r="C1431" s="8">
        <v>1799.0</v>
      </c>
      <c r="D1431" s="8">
        <v>2599.0</v>
      </c>
      <c r="E1431" s="19">
        <v>0.31</v>
      </c>
      <c r="F1431" s="10">
        <v>3.6</v>
      </c>
      <c r="G1431" s="10">
        <v>771.0</v>
      </c>
      <c r="K1431" s="17"/>
    </row>
    <row r="1432">
      <c r="A1432" s="7" t="s">
        <v>1562</v>
      </c>
      <c r="B1432" s="7" t="s">
        <v>1428</v>
      </c>
      <c r="C1432" s="8">
        <v>18999.0</v>
      </c>
      <c r="D1432" s="8">
        <v>29999.0</v>
      </c>
      <c r="E1432" s="19">
        <v>0.37</v>
      </c>
      <c r="F1432" s="10">
        <v>4.1</v>
      </c>
      <c r="G1432" s="11">
        <v>2536.0</v>
      </c>
      <c r="K1432" s="17"/>
    </row>
    <row r="1433">
      <c r="A1433" s="7" t="s">
        <v>1563</v>
      </c>
      <c r="B1433" s="7" t="s">
        <v>1222</v>
      </c>
      <c r="C1433" s="8">
        <v>1999.0</v>
      </c>
      <c r="D1433" s="8">
        <v>2360.0</v>
      </c>
      <c r="E1433" s="19">
        <v>0.15</v>
      </c>
      <c r="F1433" s="10">
        <v>4.2</v>
      </c>
      <c r="G1433" s="11">
        <v>7801.0</v>
      </c>
      <c r="K1433" s="17"/>
    </row>
    <row r="1434">
      <c r="A1434" s="7" t="s">
        <v>1564</v>
      </c>
      <c r="B1434" s="7" t="s">
        <v>1565</v>
      </c>
      <c r="C1434" s="8">
        <v>5999.0</v>
      </c>
      <c r="D1434" s="8">
        <v>11495.0</v>
      </c>
      <c r="E1434" s="19">
        <v>0.48</v>
      </c>
      <c r="F1434" s="10">
        <v>4.3</v>
      </c>
      <c r="G1434" s="10">
        <v>534.0</v>
      </c>
      <c r="K1434" s="17"/>
    </row>
    <row r="1435">
      <c r="A1435" s="7" t="s">
        <v>1566</v>
      </c>
      <c r="B1435" s="7" t="s">
        <v>1186</v>
      </c>
      <c r="C1435" s="8">
        <v>2599.0</v>
      </c>
      <c r="D1435" s="8">
        <v>4780.0</v>
      </c>
      <c r="E1435" s="19">
        <v>0.46</v>
      </c>
      <c r="F1435" s="10">
        <v>3.9</v>
      </c>
      <c r="G1435" s="10">
        <v>898.0</v>
      </c>
      <c r="K1435" s="17"/>
    </row>
    <row r="1436">
      <c r="A1436" s="7" t="s">
        <v>1567</v>
      </c>
      <c r="B1436" s="7" t="s">
        <v>1489</v>
      </c>
      <c r="C1436" s="8">
        <v>1199.0</v>
      </c>
      <c r="D1436" s="8">
        <v>2400.0</v>
      </c>
      <c r="E1436" s="19">
        <v>0.5</v>
      </c>
      <c r="F1436" s="10">
        <v>3.9</v>
      </c>
      <c r="G1436" s="11">
        <v>1202.0</v>
      </c>
      <c r="K1436" s="17"/>
    </row>
    <row r="1437">
      <c r="A1437" s="7" t="s">
        <v>1568</v>
      </c>
      <c r="B1437" s="7" t="s">
        <v>1137</v>
      </c>
      <c r="C1437" s="8">
        <v>219.0</v>
      </c>
      <c r="D1437" s="8">
        <v>249.0</v>
      </c>
      <c r="E1437" s="19">
        <v>0.12</v>
      </c>
      <c r="F1437" s="10">
        <v>4.0</v>
      </c>
      <c r="G1437" s="11">
        <v>1108.0</v>
      </c>
      <c r="K1437" s="17"/>
    </row>
    <row r="1438">
      <c r="A1438" s="7" t="s">
        <v>1569</v>
      </c>
      <c r="B1438" s="7" t="s">
        <v>1091</v>
      </c>
      <c r="C1438" s="8">
        <v>799.0</v>
      </c>
      <c r="D1438" s="8">
        <v>1199.0</v>
      </c>
      <c r="E1438" s="19">
        <v>0.33</v>
      </c>
      <c r="F1438" s="10">
        <v>4.4</v>
      </c>
      <c r="G1438" s="10">
        <v>17.0</v>
      </c>
      <c r="K1438" s="17"/>
    </row>
    <row r="1439">
      <c r="A1439" s="7" t="s">
        <v>1570</v>
      </c>
      <c r="B1439" s="7" t="s">
        <v>1263</v>
      </c>
      <c r="C1439" s="8">
        <v>6199.0</v>
      </c>
      <c r="D1439" s="8">
        <v>10999.0</v>
      </c>
      <c r="E1439" s="19">
        <v>0.44</v>
      </c>
      <c r="F1439" s="10">
        <v>4.2</v>
      </c>
      <c r="G1439" s="11">
        <v>10429.0</v>
      </c>
      <c r="K1439" s="17"/>
    </row>
    <row r="1440">
      <c r="A1440" s="7" t="s">
        <v>1571</v>
      </c>
      <c r="B1440" s="7" t="s">
        <v>1135</v>
      </c>
      <c r="C1440" s="8">
        <v>6790.0</v>
      </c>
      <c r="D1440" s="8">
        <v>10995.0</v>
      </c>
      <c r="E1440" s="19">
        <v>0.38</v>
      </c>
      <c r="F1440" s="10">
        <v>4.5</v>
      </c>
      <c r="G1440" s="11">
        <v>3192.0</v>
      </c>
      <c r="K1440" s="17"/>
    </row>
    <row r="1441">
      <c r="A1441" s="7" t="s">
        <v>1572</v>
      </c>
      <c r="B1441" s="7" t="s">
        <v>1573</v>
      </c>
      <c r="C1441" s="8">
        <v>1982.84</v>
      </c>
      <c r="D1441" s="8">
        <v>3300.0</v>
      </c>
      <c r="E1441" s="19">
        <v>0.4</v>
      </c>
      <c r="F1441" s="10">
        <v>4.1</v>
      </c>
      <c r="G1441" s="11">
        <v>5873.0</v>
      </c>
      <c r="K1441" s="17"/>
    </row>
    <row r="1442">
      <c r="A1442" s="7" t="s">
        <v>1574</v>
      </c>
      <c r="B1442" s="7" t="s">
        <v>1228</v>
      </c>
      <c r="C1442" s="8">
        <v>199.0</v>
      </c>
      <c r="D1442" s="8">
        <v>400.0</v>
      </c>
      <c r="E1442" s="19">
        <v>0.5</v>
      </c>
      <c r="F1442" s="10">
        <v>4.1</v>
      </c>
      <c r="G1442" s="11">
        <v>1379.0</v>
      </c>
      <c r="K1442" s="17"/>
    </row>
    <row r="1443">
      <c r="A1443" s="7" t="s">
        <v>1575</v>
      </c>
      <c r="B1443" s="7" t="s">
        <v>1086</v>
      </c>
      <c r="C1443" s="8">
        <v>1180.0</v>
      </c>
      <c r="D1443" s="8">
        <v>1440.0</v>
      </c>
      <c r="E1443" s="19">
        <v>0.18</v>
      </c>
      <c r="F1443" s="10">
        <v>4.2</v>
      </c>
      <c r="G1443" s="11">
        <v>1527.0</v>
      </c>
      <c r="K1443" s="17"/>
    </row>
    <row r="1444">
      <c r="A1444" s="7" t="s">
        <v>1576</v>
      </c>
      <c r="B1444" s="7" t="s">
        <v>1186</v>
      </c>
      <c r="C1444" s="8">
        <v>2199.0</v>
      </c>
      <c r="D1444" s="8">
        <v>3045.0</v>
      </c>
      <c r="E1444" s="19">
        <v>0.28</v>
      </c>
      <c r="F1444" s="10">
        <v>4.2</v>
      </c>
      <c r="G1444" s="11">
        <v>2686.0</v>
      </c>
      <c r="K1444" s="17"/>
    </row>
    <row r="1445">
      <c r="A1445" s="7" t="s">
        <v>1577</v>
      </c>
      <c r="B1445" s="7" t="s">
        <v>1225</v>
      </c>
      <c r="C1445" s="8">
        <v>2999.0</v>
      </c>
      <c r="D1445" s="8">
        <v>3595.0</v>
      </c>
      <c r="E1445" s="19">
        <v>0.17</v>
      </c>
      <c r="F1445" s="10">
        <v>4.0</v>
      </c>
      <c r="G1445" s="10">
        <v>178.0</v>
      </c>
      <c r="K1445" s="17"/>
    </row>
    <row r="1446">
      <c r="A1446" s="7" t="s">
        <v>1578</v>
      </c>
      <c r="B1446" s="7" t="s">
        <v>1579</v>
      </c>
      <c r="C1446" s="8">
        <v>253.0</v>
      </c>
      <c r="D1446" s="8">
        <v>500.0</v>
      </c>
      <c r="E1446" s="19">
        <v>0.49</v>
      </c>
      <c r="F1446" s="10">
        <v>4.3</v>
      </c>
      <c r="G1446" s="11">
        <v>2664.0</v>
      </c>
      <c r="K1446" s="17"/>
    </row>
    <row r="1447">
      <c r="A1447" s="7" t="s">
        <v>1580</v>
      </c>
      <c r="B1447" s="7" t="s">
        <v>1393</v>
      </c>
      <c r="C1447" s="8">
        <v>499.0</v>
      </c>
      <c r="D1447" s="8">
        <v>799.0</v>
      </c>
      <c r="E1447" s="19">
        <v>0.38</v>
      </c>
      <c r="F1447" s="10">
        <v>3.6</v>
      </c>
      <c r="G1447" s="10">
        <v>212.0</v>
      </c>
      <c r="K1447" s="17"/>
    </row>
    <row r="1448">
      <c r="A1448" s="7" t="s">
        <v>1581</v>
      </c>
      <c r="B1448" s="7" t="s">
        <v>1089</v>
      </c>
      <c r="C1448" s="8">
        <v>1149.0</v>
      </c>
      <c r="D1448" s="8">
        <v>1899.0</v>
      </c>
      <c r="E1448" s="19">
        <v>0.39</v>
      </c>
      <c r="F1448" s="10">
        <v>3.5</v>
      </c>
      <c r="G1448" s="10">
        <v>24.0</v>
      </c>
      <c r="K1448" s="17"/>
    </row>
    <row r="1449">
      <c r="A1449" s="7" t="s">
        <v>1582</v>
      </c>
      <c r="B1449" s="7" t="s">
        <v>1111</v>
      </c>
      <c r="C1449" s="8">
        <v>457.0</v>
      </c>
      <c r="D1449" s="8">
        <v>799.0</v>
      </c>
      <c r="E1449" s="19">
        <v>0.43</v>
      </c>
      <c r="F1449" s="10">
        <v>4.3</v>
      </c>
      <c r="G1449" s="11">
        <v>1868.0</v>
      </c>
      <c r="K1449" s="17"/>
    </row>
    <row r="1450">
      <c r="A1450" s="7" t="s">
        <v>1583</v>
      </c>
      <c r="B1450" s="7" t="s">
        <v>1388</v>
      </c>
      <c r="C1450" s="8">
        <v>229.0</v>
      </c>
      <c r="D1450" s="8">
        <v>399.0</v>
      </c>
      <c r="E1450" s="19">
        <v>0.43</v>
      </c>
      <c r="F1450" s="10">
        <v>3.6</v>
      </c>
      <c r="G1450" s="10">
        <v>451.0</v>
      </c>
      <c r="K1450" s="17"/>
    </row>
    <row r="1451">
      <c r="A1451" s="7" t="s">
        <v>1584</v>
      </c>
      <c r="B1451" s="7" t="s">
        <v>1228</v>
      </c>
      <c r="C1451" s="8">
        <v>199.0</v>
      </c>
      <c r="D1451" s="8">
        <v>699.0</v>
      </c>
      <c r="E1451" s="19">
        <v>0.72</v>
      </c>
      <c r="F1451" s="10">
        <v>2.9</v>
      </c>
      <c r="G1451" s="10">
        <v>159.0</v>
      </c>
      <c r="K1451" s="17"/>
    </row>
    <row r="1452">
      <c r="A1452" s="7" t="s">
        <v>1585</v>
      </c>
      <c r="B1452" s="7" t="s">
        <v>1489</v>
      </c>
      <c r="C1452" s="8">
        <v>899.0</v>
      </c>
      <c r="D1452" s="8">
        <v>1999.0</v>
      </c>
      <c r="E1452" s="19">
        <v>0.55</v>
      </c>
      <c r="F1452" s="10">
        <v>4.2</v>
      </c>
      <c r="G1452" s="10">
        <v>39.0</v>
      </c>
      <c r="K1452" s="17"/>
    </row>
    <row r="1453">
      <c r="A1453" s="7" t="s">
        <v>1586</v>
      </c>
      <c r="B1453" s="7" t="s">
        <v>1310</v>
      </c>
      <c r="C1453" s="8">
        <v>1499.0</v>
      </c>
      <c r="D1453" s="8">
        <v>2199.0</v>
      </c>
      <c r="E1453" s="19">
        <v>0.32</v>
      </c>
      <c r="F1453" s="10">
        <v>4.4</v>
      </c>
      <c r="G1453" s="11">
        <v>6531.0</v>
      </c>
      <c r="K1453" s="17"/>
    </row>
    <row r="1454">
      <c r="A1454" s="7" t="s">
        <v>1587</v>
      </c>
      <c r="B1454" s="7" t="s">
        <v>1109</v>
      </c>
      <c r="C1454" s="8">
        <v>426.0</v>
      </c>
      <c r="D1454" s="8">
        <v>999.0</v>
      </c>
      <c r="E1454" s="19">
        <v>0.57</v>
      </c>
      <c r="F1454" s="10">
        <v>4.1</v>
      </c>
      <c r="G1454" s="10">
        <v>222.0</v>
      </c>
      <c r="K1454" s="17"/>
    </row>
    <row r="1455">
      <c r="A1455" s="7" t="s">
        <v>1588</v>
      </c>
      <c r="B1455" s="7" t="s">
        <v>1091</v>
      </c>
      <c r="C1455" s="8">
        <v>2320.0</v>
      </c>
      <c r="D1455" s="8">
        <v>3290.0</v>
      </c>
      <c r="E1455" s="19">
        <v>0.29</v>
      </c>
      <c r="F1455" s="10">
        <v>3.8</v>
      </c>
      <c r="G1455" s="10">
        <v>195.0</v>
      </c>
      <c r="K1455" s="17"/>
    </row>
    <row r="1456">
      <c r="A1456" s="7" t="s">
        <v>1589</v>
      </c>
      <c r="B1456" s="7" t="s">
        <v>1299</v>
      </c>
      <c r="C1456" s="8">
        <v>1563.0</v>
      </c>
      <c r="D1456" s="8">
        <v>3098.0</v>
      </c>
      <c r="E1456" s="19">
        <v>0.5</v>
      </c>
      <c r="F1456" s="10">
        <v>3.5</v>
      </c>
      <c r="G1456" s="11">
        <v>2283.0</v>
      </c>
      <c r="K1456" s="17"/>
    </row>
    <row r="1457">
      <c r="A1457" s="7" t="s">
        <v>1590</v>
      </c>
      <c r="B1457" s="7" t="s">
        <v>1089</v>
      </c>
      <c r="C1457" s="8">
        <v>3487.77</v>
      </c>
      <c r="D1457" s="8">
        <v>4990.0</v>
      </c>
      <c r="E1457" s="19">
        <v>0.3</v>
      </c>
      <c r="F1457" s="10">
        <v>4.1</v>
      </c>
      <c r="G1457" s="11">
        <v>1127.0</v>
      </c>
      <c r="K1457" s="17"/>
    </row>
    <row r="1458">
      <c r="A1458" s="7" t="s">
        <v>1591</v>
      </c>
      <c r="B1458" s="7" t="s">
        <v>1173</v>
      </c>
      <c r="C1458" s="8">
        <v>498.0</v>
      </c>
      <c r="D1458" s="8">
        <v>1200.0</v>
      </c>
      <c r="E1458" s="19">
        <v>0.59</v>
      </c>
      <c r="F1458" s="10">
        <v>3.2</v>
      </c>
      <c r="G1458" s="10">
        <v>113.0</v>
      </c>
      <c r="K1458" s="17"/>
    </row>
    <row r="1459">
      <c r="A1459" s="7" t="s">
        <v>1592</v>
      </c>
      <c r="B1459" s="7" t="s">
        <v>1086</v>
      </c>
      <c r="C1459" s="8">
        <v>2695.0</v>
      </c>
      <c r="D1459" s="8">
        <v>2695.0</v>
      </c>
      <c r="E1459" s="19">
        <v>0.0</v>
      </c>
      <c r="F1459" s="10">
        <v>4.4</v>
      </c>
      <c r="G1459" s="11">
        <v>2518.0</v>
      </c>
      <c r="K1459" s="17"/>
    </row>
    <row r="1460">
      <c r="A1460" s="7" t="s">
        <v>1593</v>
      </c>
      <c r="B1460" s="7" t="s">
        <v>1089</v>
      </c>
      <c r="C1460" s="8">
        <v>949.0</v>
      </c>
      <c r="D1460" s="8">
        <v>2299.0</v>
      </c>
      <c r="E1460" s="19">
        <v>0.59</v>
      </c>
      <c r="F1460" s="10">
        <v>3.6</v>
      </c>
      <c r="G1460" s="10">
        <v>550.0</v>
      </c>
      <c r="K1460" s="17"/>
    </row>
    <row r="1461">
      <c r="A1461" s="7" t="s">
        <v>1594</v>
      </c>
      <c r="B1461" s="7" t="s">
        <v>1093</v>
      </c>
      <c r="C1461" s="8">
        <v>199.0</v>
      </c>
      <c r="D1461" s="8">
        <v>999.0</v>
      </c>
      <c r="E1461" s="19">
        <v>0.8</v>
      </c>
      <c r="F1461" s="10">
        <v>3.1</v>
      </c>
      <c r="G1461" s="10">
        <v>2.0</v>
      </c>
      <c r="K1461" s="17"/>
    </row>
    <row r="1462">
      <c r="A1462" s="7" t="s">
        <v>1595</v>
      </c>
      <c r="B1462" s="7" t="s">
        <v>1228</v>
      </c>
      <c r="C1462" s="8">
        <v>379.0</v>
      </c>
      <c r="D1462" s="8">
        <v>919.0</v>
      </c>
      <c r="E1462" s="19">
        <v>0.59</v>
      </c>
      <c r="F1462" s="10">
        <v>4.0</v>
      </c>
      <c r="G1462" s="11">
        <v>1090.0</v>
      </c>
      <c r="K1462" s="17"/>
    </row>
    <row r="1463">
      <c r="A1463" s="7" t="s">
        <v>1596</v>
      </c>
      <c r="B1463" s="7" t="s">
        <v>1236</v>
      </c>
      <c r="C1463" s="8">
        <v>2280.0</v>
      </c>
      <c r="D1463" s="8">
        <v>3045.0</v>
      </c>
      <c r="E1463" s="19">
        <v>0.25</v>
      </c>
      <c r="F1463" s="10">
        <v>4.1</v>
      </c>
      <c r="G1463" s="11">
        <v>4118.0</v>
      </c>
      <c r="K1463" s="17"/>
    </row>
    <row r="1464">
      <c r="A1464" s="7" t="s">
        <v>1597</v>
      </c>
      <c r="B1464" s="7" t="s">
        <v>1209</v>
      </c>
      <c r="C1464" s="8">
        <v>2219.0</v>
      </c>
      <c r="D1464" s="8">
        <v>3080.0</v>
      </c>
      <c r="E1464" s="19">
        <v>0.28</v>
      </c>
      <c r="F1464" s="10">
        <v>3.6</v>
      </c>
      <c r="G1464" s="10">
        <v>468.0</v>
      </c>
      <c r="K1464" s="17"/>
    </row>
    <row r="1465">
      <c r="A1465" s="7" t="s">
        <v>1598</v>
      </c>
      <c r="B1465" s="7" t="s">
        <v>1222</v>
      </c>
      <c r="C1465" s="8">
        <v>1399.0</v>
      </c>
      <c r="D1465" s="8">
        <v>1890.0</v>
      </c>
      <c r="E1465" s="19">
        <v>0.26</v>
      </c>
      <c r="F1465" s="10">
        <v>4.0</v>
      </c>
      <c r="G1465" s="11">
        <v>8031.0</v>
      </c>
      <c r="K1465" s="17"/>
    </row>
    <row r="1466">
      <c r="A1466" s="7" t="s">
        <v>1599</v>
      </c>
      <c r="B1466" s="7" t="s">
        <v>1159</v>
      </c>
      <c r="C1466" s="8">
        <v>2863.0</v>
      </c>
      <c r="D1466" s="8">
        <v>3690.0</v>
      </c>
      <c r="E1466" s="19">
        <v>0.22</v>
      </c>
      <c r="F1466" s="10">
        <v>4.3</v>
      </c>
      <c r="G1466" s="11">
        <v>6987.0</v>
      </c>
      <c r="K1466" s="17"/>
    </row>
  </sheetData>
  <mergeCells count="1">
    <mergeCell ref="I2:J4"/>
  </mergeCells>
  <drawing r:id="rId1"/>
  <extLst>
    <ext uri="{05C60535-1F16-4fd2-B633-F4F36F0B64E0}">
      <x14:sparklineGroups>
        <x14:sparklineGroup type="column" displayEmptyCellsAs="gap">
          <x14:colorSeries rgb="FF000000"/>
          <x14:sparklines>
            <x14:sparkline>
              <xm:f>SPARKLINE!C2:E2</xm:f>
              <xm:sqref>K2</xm:sqref>
            </x14:sparkline>
          </x14:sparklines>
        </x14:sparklineGroup>
        <x14:sparklineGroup type="column" displayEmptyCellsAs="gap">
          <x14:colorSeries rgb="FF000000"/>
          <x14:sparklines>
            <x14:sparkline>
              <xm:f>SPARKLINE!C3:E3</xm:f>
              <xm:sqref>K3</xm:sqref>
            </x14:sparkline>
          </x14:sparklines>
        </x14:sparklineGroup>
        <x14:sparklineGroup type="column" displayEmptyCellsAs="gap">
          <x14:colorSeries rgb="FF000000"/>
          <x14:sparklines>
            <x14:sparkline>
              <xm:f>SPARKLINE!C4:E4</xm:f>
              <xm:sqref>K4</xm:sqref>
            </x14:sparkline>
          </x14:sparklines>
        </x14:sparklineGroup>
        <x14:sparklineGroup type="column" displayEmptyCellsAs="gap">
          <x14:colorSeries rgb="FF000000"/>
          <x14:sparklines>
            <x14:sparkline>
              <xm:f>SPARKLINE!C5:E5</xm:f>
              <xm:sqref>K5</xm:sqref>
            </x14:sparkline>
          </x14:sparklines>
        </x14:sparklineGroup>
        <x14:sparklineGroup type="column" displayEmptyCellsAs="gap">
          <x14:colorSeries rgb="FF000000"/>
          <x14:sparklines>
            <x14:sparkline>
              <xm:f>SPARKLINE!C6:E6</xm:f>
              <xm:sqref>K6</xm:sqref>
            </x14:sparkline>
          </x14:sparklines>
        </x14:sparklineGroup>
        <x14:sparklineGroup type="column" displayEmptyCellsAs="gap">
          <x14:colorSeries rgb="FF000000"/>
          <x14:sparklines>
            <x14:sparkline>
              <xm:f>SPARKLINE!C7:E7</xm:f>
              <xm:sqref>K7</xm:sqref>
            </x14:sparkline>
          </x14:sparklines>
        </x14:sparklineGroup>
        <x14:sparklineGroup type="column" displayEmptyCellsAs="gap">
          <x14:colorSeries rgb="FF000000"/>
          <x14:sparklines>
            <x14:sparkline>
              <xm:f>SPARKLINE!C8:E8</xm:f>
              <xm:sqref>K8</xm:sqref>
            </x14:sparkline>
          </x14:sparklines>
        </x14:sparklineGroup>
        <x14:sparklineGroup type="column" displayEmptyCellsAs="gap">
          <x14:colorSeries rgb="FF000000"/>
          <x14:sparklines>
            <x14:sparkline>
              <xm:f>SPARKLINE!C9:E9</xm:f>
              <xm:sqref>K9</xm:sqref>
            </x14:sparkline>
          </x14:sparklines>
        </x14:sparklineGroup>
        <x14:sparklineGroup type="column" displayEmptyCellsAs="gap">
          <x14:colorSeries rgb="FF000000"/>
          <x14:sparklines>
            <x14:sparkline>
              <xm:f>SPARKLINE!C10:E10</xm:f>
              <xm:sqref>K10</xm:sqref>
            </x14:sparkline>
          </x14:sparklines>
        </x14:sparklineGroup>
        <x14:sparklineGroup type="column" displayEmptyCellsAs="gap">
          <x14:colorSeries rgb="FF000000"/>
          <x14:sparklines>
            <x14:sparkline>
              <xm:f>SPARKLINE!C11:E11</xm:f>
              <xm:sqref>K11</xm:sqref>
            </x14:sparkline>
          </x14:sparklines>
        </x14:sparklineGroup>
        <x14:sparklineGroup type="column" displayEmptyCellsAs="gap">
          <x14:colorSeries rgb="FF000000"/>
          <x14:sparklines>
            <x14:sparkline>
              <xm:f>SPARKLINE!C12:E12</xm:f>
              <xm:sqref>K12</xm:sqref>
            </x14:sparkline>
          </x14:sparklines>
        </x14:sparklineGroup>
        <x14:sparklineGroup type="column" displayEmptyCellsAs="gap">
          <x14:colorSeries rgb="FF000000"/>
          <x14:sparklines>
            <x14:sparkline>
              <xm:f>SPARKLINE!C13:E13</xm:f>
              <xm:sqref>K13</xm:sqref>
            </x14:sparkline>
          </x14:sparklines>
        </x14:sparklineGroup>
        <x14:sparklineGroup type="column" displayEmptyCellsAs="gap">
          <x14:colorSeries rgb="FF000000"/>
          <x14:sparklines>
            <x14:sparkline>
              <xm:f>SPARKLINE!C14:E14</xm:f>
              <xm:sqref>K14</xm:sqref>
            </x14:sparkline>
          </x14:sparklines>
        </x14:sparklineGroup>
        <x14:sparklineGroup type="column" displayEmptyCellsAs="gap">
          <x14:colorSeries rgb="FF000000"/>
          <x14:sparklines>
            <x14:sparkline>
              <xm:f>SPARKLINE!C15:E15</xm:f>
              <xm:sqref>K15</xm:sqref>
            </x14:sparkline>
          </x14:sparklines>
        </x14:sparklineGroup>
        <x14:sparklineGroup type="column" displayEmptyCellsAs="gap">
          <x14:colorSeries rgb="FF000000"/>
          <x14:sparklines>
            <x14:sparkline>
              <xm:f>SPARKLINE!C16:E16</xm:f>
              <xm:sqref>K16</xm:sqref>
            </x14:sparkline>
          </x14:sparklines>
        </x14:sparklineGroup>
        <x14:sparklineGroup type="column" displayEmptyCellsAs="gap">
          <x14:colorSeries rgb="FF000000"/>
          <x14:sparklines>
            <x14:sparkline>
              <xm:f>SPARKLINE!C17:E17</xm:f>
              <xm:sqref>K17</xm:sqref>
            </x14:sparkline>
          </x14:sparklines>
        </x14:sparklineGroup>
        <x14:sparklineGroup type="column" displayEmptyCellsAs="gap">
          <x14:colorSeries rgb="FF000000"/>
          <x14:sparklines>
            <x14:sparkline>
              <xm:f>SPARKLINE!C18:E18</xm:f>
              <xm:sqref>K18</xm:sqref>
            </x14:sparkline>
          </x14:sparklines>
        </x14:sparklineGroup>
        <x14:sparklineGroup type="column" displayEmptyCellsAs="gap">
          <x14:colorSeries rgb="FF000000"/>
          <x14:sparklines>
            <x14:sparkline>
              <xm:f>SPARKLINE!C19:E19</xm:f>
              <xm:sqref>K19</xm:sqref>
            </x14:sparkline>
          </x14:sparklines>
        </x14:sparklineGroup>
        <x14:sparklineGroup type="column" displayEmptyCellsAs="gap">
          <x14:colorSeries rgb="FF000000"/>
          <x14:sparklines>
            <x14:sparkline>
              <xm:f>SPARKLINE!C20:E20</xm:f>
              <xm:sqref>K20</xm:sqref>
            </x14:sparkline>
          </x14:sparklines>
        </x14:sparklineGroup>
        <x14:sparklineGroup type="column" displayEmptyCellsAs="gap">
          <x14:colorSeries rgb="FF000000"/>
          <x14:sparklines>
            <x14:sparkline>
              <xm:f>SPARKLINE!C21:E21</xm:f>
              <xm:sqref>K21</xm:sqref>
            </x14:sparkline>
          </x14:sparklines>
        </x14:sparklineGroup>
        <x14:sparklineGroup type="column" displayEmptyCellsAs="gap">
          <x14:colorSeries rgb="FF000000"/>
          <x14:sparklines>
            <x14:sparkline>
              <xm:f>SPARKLINE!C22:E22</xm:f>
              <xm:sqref>K22</xm:sqref>
            </x14:sparkline>
          </x14:sparklines>
        </x14:sparklineGroup>
        <x14:sparklineGroup type="column" displayEmptyCellsAs="gap">
          <x14:colorSeries rgb="FF000000"/>
          <x14:sparklines>
            <x14:sparkline>
              <xm:f>SPARKLINE!C23:E23</xm:f>
              <xm:sqref>K23</xm:sqref>
            </x14:sparkline>
          </x14:sparklines>
        </x14:sparklineGroup>
        <x14:sparklineGroup type="column" displayEmptyCellsAs="gap">
          <x14:colorSeries rgb="FF000000"/>
          <x14:sparklines>
            <x14:sparkline>
              <xm:f>SPARKLINE!C24:E24</xm:f>
              <xm:sqref>K24</xm:sqref>
            </x14:sparkline>
          </x14:sparklines>
        </x14:sparklineGroup>
        <x14:sparklineGroup type="column" displayEmptyCellsAs="gap">
          <x14:colorSeries rgb="FF000000"/>
          <x14:sparklines>
            <x14:sparkline>
              <xm:f>SPARKLINE!C25:E25</xm:f>
              <xm:sqref>K25</xm:sqref>
            </x14:sparkline>
          </x14:sparklines>
        </x14:sparklineGroup>
        <x14:sparklineGroup type="column" displayEmptyCellsAs="gap">
          <x14:colorSeries rgb="FF000000"/>
          <x14:sparklines>
            <x14:sparkline>
              <xm:f>SPARKLINE!C26:E26</xm:f>
              <xm:sqref>K26</xm:sqref>
            </x14:sparkline>
          </x14:sparklines>
        </x14:sparklineGroup>
        <x14:sparklineGroup type="column" displayEmptyCellsAs="gap">
          <x14:colorSeries rgb="FF000000"/>
          <x14:sparklines>
            <x14:sparkline>
              <xm:f>SPARKLINE!C27:E27</xm:f>
              <xm:sqref>K27</xm:sqref>
            </x14:sparkline>
          </x14:sparklines>
        </x14:sparklineGroup>
        <x14:sparklineGroup type="column" displayEmptyCellsAs="gap">
          <x14:colorSeries rgb="FF000000"/>
          <x14:sparklines>
            <x14:sparkline>
              <xm:f>SPARKLINE!C28:E28</xm:f>
              <xm:sqref>K28</xm:sqref>
            </x14:sparkline>
          </x14:sparklines>
        </x14:sparklineGroup>
        <x14:sparklineGroup type="column" displayEmptyCellsAs="gap">
          <x14:colorSeries rgb="FF000000"/>
          <x14:sparklines>
            <x14:sparkline>
              <xm:f>SPARKLINE!C29:E29</xm:f>
              <xm:sqref>K29</xm:sqref>
            </x14:sparkline>
          </x14:sparklines>
        </x14:sparklineGroup>
        <x14:sparklineGroup type="column" displayEmptyCellsAs="gap">
          <x14:colorSeries rgb="FF000000"/>
          <x14:sparklines>
            <x14:sparkline>
              <xm:f>SPARKLINE!C30:E30</xm:f>
              <xm:sqref>K30</xm:sqref>
            </x14:sparkline>
          </x14:sparklines>
        </x14:sparklineGroup>
        <x14:sparklineGroup type="column" displayEmptyCellsAs="gap">
          <x14:colorSeries rgb="FF000000"/>
          <x14:sparklines>
            <x14:sparkline>
              <xm:f>SPARKLINE!C31:E31</xm:f>
              <xm:sqref>K31</xm:sqref>
            </x14:sparkline>
          </x14:sparklines>
        </x14:sparklineGroup>
        <x14:sparklineGroup type="column" displayEmptyCellsAs="gap">
          <x14:colorSeries rgb="FF000000"/>
          <x14:sparklines>
            <x14:sparkline>
              <xm:f>SPARKLINE!C32:E32</xm:f>
              <xm:sqref>K32</xm:sqref>
            </x14:sparkline>
          </x14:sparklines>
        </x14:sparklineGroup>
        <x14:sparklineGroup type="column" displayEmptyCellsAs="gap">
          <x14:colorSeries rgb="FF000000"/>
          <x14:sparklines>
            <x14:sparkline>
              <xm:f>SPARKLINE!C33:E33</xm:f>
              <xm:sqref>K33</xm:sqref>
            </x14:sparkline>
          </x14:sparklines>
        </x14:sparklineGroup>
        <x14:sparklineGroup type="column" displayEmptyCellsAs="gap">
          <x14:colorSeries rgb="FF000000"/>
          <x14:sparklines>
            <x14:sparkline>
              <xm:f>SPARKLINE!C34:E34</xm:f>
              <xm:sqref>K34</xm:sqref>
            </x14:sparkline>
          </x14:sparklines>
        </x14:sparklineGroup>
        <x14:sparklineGroup type="column" displayEmptyCellsAs="gap">
          <x14:colorSeries rgb="FF000000"/>
          <x14:sparklines>
            <x14:sparkline>
              <xm:f>SPARKLINE!C35:E35</xm:f>
              <xm:sqref>K35</xm:sqref>
            </x14:sparkline>
          </x14:sparklines>
        </x14:sparklineGroup>
        <x14:sparklineGroup type="column" displayEmptyCellsAs="gap">
          <x14:colorSeries rgb="FF000000"/>
          <x14:sparklines>
            <x14:sparkline>
              <xm:f>SPARKLINE!C36:E36</xm:f>
              <xm:sqref>K36</xm:sqref>
            </x14:sparkline>
          </x14:sparklines>
        </x14:sparklineGroup>
        <x14:sparklineGroup type="column" displayEmptyCellsAs="gap">
          <x14:colorSeries rgb="FF000000"/>
          <x14:sparklines>
            <x14:sparkline>
              <xm:f>SPARKLINE!C37:E37</xm:f>
              <xm:sqref>K37</xm:sqref>
            </x14:sparkline>
          </x14:sparklines>
        </x14:sparklineGroup>
        <x14:sparklineGroup type="column" displayEmptyCellsAs="gap">
          <x14:colorSeries rgb="FF000000"/>
          <x14:sparklines>
            <x14:sparkline>
              <xm:f>SPARKLINE!C38:E38</xm:f>
              <xm:sqref>K38</xm:sqref>
            </x14:sparkline>
          </x14:sparklines>
        </x14:sparklineGroup>
        <x14:sparklineGroup type="column" displayEmptyCellsAs="gap">
          <x14:colorSeries rgb="FF000000"/>
          <x14:sparklines>
            <x14:sparkline>
              <xm:f>SPARKLINE!C39:E39</xm:f>
              <xm:sqref>K39</xm:sqref>
            </x14:sparkline>
          </x14:sparklines>
        </x14:sparklineGroup>
        <x14:sparklineGroup type="column" displayEmptyCellsAs="gap">
          <x14:colorSeries rgb="FF000000"/>
          <x14:sparklines>
            <x14:sparkline>
              <xm:f>SPARKLINE!C40:E40</xm:f>
              <xm:sqref>K40</xm:sqref>
            </x14:sparkline>
          </x14:sparklines>
        </x14:sparklineGroup>
        <x14:sparklineGroup type="column" displayEmptyCellsAs="gap">
          <x14:colorSeries rgb="FF000000"/>
          <x14:sparklines>
            <x14:sparkline>
              <xm:f>SPARKLINE!C41:E41</xm:f>
              <xm:sqref>K41</xm:sqref>
            </x14:sparkline>
          </x14:sparklines>
        </x14:sparklineGroup>
        <x14:sparklineGroup type="column" displayEmptyCellsAs="gap">
          <x14:colorSeries rgb="FF000000"/>
          <x14:sparklines>
            <x14:sparkline>
              <xm:f>SPARKLINE!C42:E42</xm:f>
              <xm:sqref>K42</xm:sqref>
            </x14:sparkline>
          </x14:sparklines>
        </x14:sparklineGroup>
        <x14:sparklineGroup type="column" displayEmptyCellsAs="gap">
          <x14:colorSeries rgb="FF000000"/>
          <x14:sparklines>
            <x14:sparkline>
              <xm:f>SPARKLINE!C43:E43</xm:f>
              <xm:sqref>K43</xm:sqref>
            </x14:sparkline>
          </x14:sparklines>
        </x14:sparklineGroup>
        <x14:sparklineGroup type="column" displayEmptyCellsAs="gap">
          <x14:colorSeries rgb="FF000000"/>
          <x14:sparklines>
            <x14:sparkline>
              <xm:f>SPARKLINE!C44:E44</xm:f>
              <xm:sqref>K44</xm:sqref>
            </x14:sparkline>
          </x14:sparklines>
        </x14:sparklineGroup>
        <x14:sparklineGroup type="column" displayEmptyCellsAs="gap">
          <x14:colorSeries rgb="FF000000"/>
          <x14:sparklines>
            <x14:sparkline>
              <xm:f>SPARKLINE!C45:E45</xm:f>
              <xm:sqref>K45</xm:sqref>
            </x14:sparkline>
          </x14:sparklines>
        </x14:sparklineGroup>
        <x14:sparklineGroup type="column" displayEmptyCellsAs="gap">
          <x14:colorSeries rgb="FF000000"/>
          <x14:sparklines>
            <x14:sparkline>
              <xm:f>SPARKLINE!C46:E46</xm:f>
              <xm:sqref>K46</xm:sqref>
            </x14:sparkline>
          </x14:sparklines>
        </x14:sparklineGroup>
        <x14:sparklineGroup type="column" displayEmptyCellsAs="gap">
          <x14:colorSeries rgb="FF000000"/>
          <x14:sparklines>
            <x14:sparkline>
              <xm:f>SPARKLINE!C47:E47</xm:f>
              <xm:sqref>K47</xm:sqref>
            </x14:sparkline>
          </x14:sparklines>
        </x14:sparklineGroup>
        <x14:sparklineGroup type="column" displayEmptyCellsAs="gap">
          <x14:colorSeries rgb="FF000000"/>
          <x14:sparklines>
            <x14:sparkline>
              <xm:f>SPARKLINE!C48:E48</xm:f>
              <xm:sqref>K48</xm:sqref>
            </x14:sparkline>
          </x14:sparklines>
        </x14:sparklineGroup>
        <x14:sparklineGroup type="column" displayEmptyCellsAs="gap">
          <x14:colorSeries rgb="FF000000"/>
          <x14:sparklines>
            <x14:sparkline>
              <xm:f>SPARKLINE!C49:E49</xm:f>
              <xm:sqref>K49</xm:sqref>
            </x14:sparkline>
          </x14:sparklines>
        </x14:sparklineGroup>
        <x14:sparklineGroup type="column" displayEmptyCellsAs="gap">
          <x14:colorSeries rgb="FF000000"/>
          <x14:sparklines>
            <x14:sparkline>
              <xm:f>SPARKLINE!C50:E50</xm:f>
              <xm:sqref>K50</xm:sqref>
            </x14:sparkline>
          </x14:sparklines>
        </x14:sparklineGroup>
        <x14:sparklineGroup type="column" displayEmptyCellsAs="gap">
          <x14:colorSeries rgb="FF000000"/>
          <x14:sparklines>
            <x14:sparkline>
              <xm:f>SPARKLINE!C51:E51</xm:f>
              <xm:sqref>K51</xm:sqref>
            </x14:sparkline>
          </x14:sparklines>
        </x14:sparklineGroup>
        <x14:sparklineGroup type="column" displayEmptyCellsAs="gap">
          <x14:colorSeries rgb="FF000000"/>
          <x14:sparklines>
            <x14:sparkline>
              <xm:f>SPARKLINE!C52:E52</xm:f>
              <xm:sqref>K52</xm:sqref>
            </x14:sparkline>
          </x14:sparklines>
        </x14:sparklineGroup>
        <x14:sparklineGroup type="column" displayEmptyCellsAs="gap">
          <x14:colorSeries rgb="FF000000"/>
          <x14:sparklines>
            <x14:sparkline>
              <xm:f>SPARKLINE!C53:E53</xm:f>
              <xm:sqref>K53</xm:sqref>
            </x14:sparkline>
          </x14:sparklines>
        </x14:sparklineGroup>
        <x14:sparklineGroup type="column" displayEmptyCellsAs="gap">
          <x14:colorSeries rgb="FF000000"/>
          <x14:sparklines>
            <x14:sparkline>
              <xm:f>SPARKLINE!C54:E54</xm:f>
              <xm:sqref>K54</xm:sqref>
            </x14:sparkline>
          </x14:sparklines>
        </x14:sparklineGroup>
        <x14:sparklineGroup type="column" displayEmptyCellsAs="gap">
          <x14:colorSeries rgb="FF000000"/>
          <x14:sparklines>
            <x14:sparkline>
              <xm:f>SPARKLINE!C55:E55</xm:f>
              <xm:sqref>K55</xm:sqref>
            </x14:sparkline>
          </x14:sparklines>
        </x14:sparklineGroup>
        <x14:sparklineGroup type="column" displayEmptyCellsAs="gap">
          <x14:colorSeries rgb="FF000000"/>
          <x14:sparklines>
            <x14:sparkline>
              <xm:f>SPARKLINE!C56:E56</xm:f>
              <xm:sqref>K56</xm:sqref>
            </x14:sparkline>
          </x14:sparklines>
        </x14:sparklineGroup>
        <x14:sparklineGroup type="column" displayEmptyCellsAs="gap">
          <x14:colorSeries rgb="FF000000"/>
          <x14:sparklines>
            <x14:sparkline>
              <xm:f>SPARKLINE!C57:E57</xm:f>
              <xm:sqref>K57</xm:sqref>
            </x14:sparkline>
          </x14:sparklines>
        </x14:sparklineGroup>
        <x14:sparklineGroup type="column" displayEmptyCellsAs="gap">
          <x14:colorSeries rgb="FF000000"/>
          <x14:sparklines>
            <x14:sparkline>
              <xm:f>SPARKLINE!C58:E58</xm:f>
              <xm:sqref>K58</xm:sqref>
            </x14:sparkline>
          </x14:sparklines>
        </x14:sparklineGroup>
        <x14:sparklineGroup type="column" displayEmptyCellsAs="gap">
          <x14:colorSeries rgb="FF000000"/>
          <x14:sparklines>
            <x14:sparkline>
              <xm:f>SPARKLINE!C59:E59</xm:f>
              <xm:sqref>K59</xm:sqref>
            </x14:sparkline>
          </x14:sparklines>
        </x14:sparklineGroup>
        <x14:sparklineGroup type="column" displayEmptyCellsAs="gap">
          <x14:colorSeries rgb="FF000000"/>
          <x14:sparklines>
            <x14:sparkline>
              <xm:f>SPARKLINE!C60:E60</xm:f>
              <xm:sqref>K60</xm:sqref>
            </x14:sparkline>
          </x14:sparklines>
        </x14:sparklineGroup>
        <x14:sparklineGroup type="column" displayEmptyCellsAs="gap">
          <x14:colorSeries rgb="FF000000"/>
          <x14:sparklines>
            <x14:sparkline>
              <xm:f>SPARKLINE!C61:E61</xm:f>
              <xm:sqref>K61</xm:sqref>
            </x14:sparkline>
          </x14:sparklines>
        </x14:sparklineGroup>
        <x14:sparklineGroup type="column" displayEmptyCellsAs="gap">
          <x14:colorSeries rgb="FF000000"/>
          <x14:sparklines>
            <x14:sparkline>
              <xm:f>SPARKLINE!C62:E62</xm:f>
              <xm:sqref>K62</xm:sqref>
            </x14:sparkline>
          </x14:sparklines>
        </x14:sparklineGroup>
        <x14:sparklineGroup type="column" displayEmptyCellsAs="gap">
          <x14:colorSeries rgb="FF000000"/>
          <x14:sparklines>
            <x14:sparkline>
              <xm:f>SPARKLINE!C63:E63</xm:f>
              <xm:sqref>K63</xm:sqref>
            </x14:sparkline>
          </x14:sparklines>
        </x14:sparklineGroup>
        <x14:sparklineGroup type="column" displayEmptyCellsAs="gap">
          <x14:colorSeries rgb="FF000000"/>
          <x14:sparklines>
            <x14:sparkline>
              <xm:f>SPARKLINE!C64:E64</xm:f>
              <xm:sqref>K64</xm:sqref>
            </x14:sparkline>
          </x14:sparklines>
        </x14:sparklineGroup>
        <x14:sparklineGroup type="column" displayEmptyCellsAs="gap">
          <x14:colorSeries rgb="FF000000"/>
          <x14:sparklines>
            <x14:sparkline>
              <xm:f>SPARKLINE!C65:E65</xm:f>
              <xm:sqref>K65</xm:sqref>
            </x14:sparkline>
          </x14:sparklines>
        </x14:sparklineGroup>
        <x14:sparklineGroup type="column" displayEmptyCellsAs="gap">
          <x14:colorSeries rgb="FF000000"/>
          <x14:sparklines>
            <x14:sparkline>
              <xm:f>SPARKLINE!C66:E66</xm:f>
              <xm:sqref>K66</xm:sqref>
            </x14:sparkline>
          </x14:sparklines>
        </x14:sparklineGroup>
        <x14:sparklineGroup type="column" displayEmptyCellsAs="gap">
          <x14:colorSeries rgb="FF000000"/>
          <x14:sparklines>
            <x14:sparkline>
              <xm:f>SPARKLINE!C67:E67</xm:f>
              <xm:sqref>K67</xm:sqref>
            </x14:sparkline>
          </x14:sparklines>
        </x14:sparklineGroup>
        <x14:sparklineGroup type="column" displayEmptyCellsAs="gap">
          <x14:colorSeries rgb="FF000000"/>
          <x14:sparklines>
            <x14:sparkline>
              <xm:f>SPARKLINE!C68:E68</xm:f>
              <xm:sqref>K68</xm:sqref>
            </x14:sparkline>
          </x14:sparklines>
        </x14:sparklineGroup>
        <x14:sparklineGroup type="column" displayEmptyCellsAs="gap">
          <x14:colorSeries rgb="FF000000"/>
          <x14:sparklines>
            <x14:sparkline>
              <xm:f>SPARKLINE!C69:E69</xm:f>
              <xm:sqref>K69</xm:sqref>
            </x14:sparkline>
          </x14:sparklines>
        </x14:sparklineGroup>
        <x14:sparklineGroup type="column" displayEmptyCellsAs="gap">
          <x14:colorSeries rgb="FF000000"/>
          <x14:sparklines>
            <x14:sparkline>
              <xm:f>SPARKLINE!C70:E70</xm:f>
              <xm:sqref>K70</xm:sqref>
            </x14:sparkline>
          </x14:sparklines>
        </x14:sparklineGroup>
        <x14:sparklineGroup type="column" displayEmptyCellsAs="gap">
          <x14:colorSeries rgb="FF000000"/>
          <x14:sparklines>
            <x14:sparkline>
              <xm:f>SPARKLINE!C71:E71</xm:f>
              <xm:sqref>K71</xm:sqref>
            </x14:sparkline>
          </x14:sparklines>
        </x14:sparklineGroup>
        <x14:sparklineGroup type="column" displayEmptyCellsAs="gap">
          <x14:colorSeries rgb="FF000000"/>
          <x14:sparklines>
            <x14:sparkline>
              <xm:f>SPARKLINE!C72:E72</xm:f>
              <xm:sqref>K72</xm:sqref>
            </x14:sparkline>
          </x14:sparklines>
        </x14:sparklineGroup>
        <x14:sparklineGroup type="column" displayEmptyCellsAs="gap">
          <x14:colorSeries rgb="FF000000"/>
          <x14:sparklines>
            <x14:sparkline>
              <xm:f>SPARKLINE!C73:E73</xm:f>
              <xm:sqref>K73</xm:sqref>
            </x14:sparkline>
          </x14:sparklines>
        </x14:sparklineGroup>
        <x14:sparklineGroup type="column" displayEmptyCellsAs="gap">
          <x14:colorSeries rgb="FF000000"/>
          <x14:sparklines>
            <x14:sparkline>
              <xm:f>SPARKLINE!C74:E74</xm:f>
              <xm:sqref>K74</xm:sqref>
            </x14:sparkline>
          </x14:sparklines>
        </x14:sparklineGroup>
        <x14:sparklineGroup type="column" displayEmptyCellsAs="gap">
          <x14:colorSeries rgb="FF000000"/>
          <x14:sparklines>
            <x14:sparkline>
              <xm:f>SPARKLINE!C75:E75</xm:f>
              <xm:sqref>K75</xm:sqref>
            </x14:sparkline>
          </x14:sparklines>
        </x14:sparklineGroup>
        <x14:sparklineGroup type="column" displayEmptyCellsAs="gap">
          <x14:colorSeries rgb="FF000000"/>
          <x14:sparklines>
            <x14:sparkline>
              <xm:f>SPARKLINE!C76:E76</xm:f>
              <xm:sqref>K76</xm:sqref>
            </x14:sparkline>
          </x14:sparklines>
        </x14:sparklineGroup>
        <x14:sparklineGroup type="column" displayEmptyCellsAs="gap">
          <x14:colorSeries rgb="FF000000"/>
          <x14:sparklines>
            <x14:sparkline>
              <xm:f>SPARKLINE!C77:E77</xm:f>
              <xm:sqref>K77</xm:sqref>
            </x14:sparkline>
          </x14:sparklines>
        </x14:sparklineGroup>
        <x14:sparklineGroup type="column" displayEmptyCellsAs="gap">
          <x14:colorSeries rgb="FF000000"/>
          <x14:sparklines>
            <x14:sparkline>
              <xm:f>SPARKLINE!C78:E78</xm:f>
              <xm:sqref>K78</xm:sqref>
            </x14:sparkline>
          </x14:sparklines>
        </x14:sparklineGroup>
        <x14:sparklineGroup type="column" displayEmptyCellsAs="gap">
          <x14:colorSeries rgb="FF000000"/>
          <x14:sparklines>
            <x14:sparkline>
              <xm:f>SPARKLINE!C79:E79</xm:f>
              <xm:sqref>K79</xm:sqref>
            </x14:sparkline>
          </x14:sparklines>
        </x14:sparklineGroup>
        <x14:sparklineGroup type="column" displayEmptyCellsAs="gap">
          <x14:colorSeries rgb="FF000000"/>
          <x14:sparklines>
            <x14:sparkline>
              <xm:f>SPARKLINE!C80:E80</xm:f>
              <xm:sqref>K80</xm:sqref>
            </x14:sparkline>
          </x14:sparklines>
        </x14:sparklineGroup>
        <x14:sparklineGroup type="column" displayEmptyCellsAs="gap">
          <x14:colorSeries rgb="FF000000"/>
          <x14:sparklines>
            <x14:sparkline>
              <xm:f>SPARKLINE!C81:E81</xm:f>
              <xm:sqref>K81</xm:sqref>
            </x14:sparkline>
          </x14:sparklines>
        </x14:sparklineGroup>
        <x14:sparklineGroup type="column" displayEmptyCellsAs="gap">
          <x14:colorSeries rgb="FF000000"/>
          <x14:sparklines>
            <x14:sparkline>
              <xm:f>SPARKLINE!C82:E82</xm:f>
              <xm:sqref>K82</xm:sqref>
            </x14:sparkline>
          </x14:sparklines>
        </x14:sparklineGroup>
        <x14:sparklineGroup type="column" displayEmptyCellsAs="gap">
          <x14:colorSeries rgb="FF000000"/>
          <x14:sparklines>
            <x14:sparkline>
              <xm:f>SPARKLINE!C83:E83</xm:f>
              <xm:sqref>K83</xm:sqref>
            </x14:sparkline>
          </x14:sparklines>
        </x14:sparklineGroup>
        <x14:sparklineGroup type="column" displayEmptyCellsAs="gap">
          <x14:colorSeries rgb="FF000000"/>
          <x14:sparklines>
            <x14:sparkline>
              <xm:f>SPARKLINE!C84:E84</xm:f>
              <xm:sqref>K84</xm:sqref>
            </x14:sparkline>
          </x14:sparklines>
        </x14:sparklineGroup>
        <x14:sparklineGroup type="column" displayEmptyCellsAs="gap">
          <x14:colorSeries rgb="FF000000"/>
          <x14:sparklines>
            <x14:sparkline>
              <xm:f>SPARKLINE!C85:E85</xm:f>
              <xm:sqref>K85</xm:sqref>
            </x14:sparkline>
          </x14:sparklines>
        </x14:sparklineGroup>
        <x14:sparklineGroup type="column" displayEmptyCellsAs="gap">
          <x14:colorSeries rgb="FF000000"/>
          <x14:sparklines>
            <x14:sparkline>
              <xm:f>SPARKLINE!C86:E86</xm:f>
              <xm:sqref>K86</xm:sqref>
            </x14:sparkline>
          </x14:sparklines>
        </x14:sparklineGroup>
        <x14:sparklineGroup type="column" displayEmptyCellsAs="gap">
          <x14:colorSeries rgb="FF000000"/>
          <x14:sparklines>
            <x14:sparkline>
              <xm:f>SPARKLINE!C87:E87</xm:f>
              <xm:sqref>K87</xm:sqref>
            </x14:sparkline>
          </x14:sparklines>
        </x14:sparklineGroup>
        <x14:sparklineGroup type="column" displayEmptyCellsAs="gap">
          <x14:colorSeries rgb="FF000000"/>
          <x14:sparklines>
            <x14:sparkline>
              <xm:f>SPARKLINE!C88:E88</xm:f>
              <xm:sqref>K88</xm:sqref>
            </x14:sparkline>
          </x14:sparklines>
        </x14:sparklineGroup>
        <x14:sparklineGroup type="column" displayEmptyCellsAs="gap">
          <x14:colorSeries rgb="FF000000"/>
          <x14:sparklines>
            <x14:sparkline>
              <xm:f>SPARKLINE!C89:E89</xm:f>
              <xm:sqref>K89</xm:sqref>
            </x14:sparkline>
          </x14:sparklines>
        </x14:sparklineGroup>
        <x14:sparklineGroup type="column" displayEmptyCellsAs="gap">
          <x14:colorSeries rgb="FF000000"/>
          <x14:sparklines>
            <x14:sparkline>
              <xm:f>SPARKLINE!C90:E90</xm:f>
              <xm:sqref>K90</xm:sqref>
            </x14:sparkline>
          </x14:sparklines>
        </x14:sparklineGroup>
        <x14:sparklineGroup type="column" displayEmptyCellsAs="gap">
          <x14:colorSeries rgb="FF000000"/>
          <x14:sparklines>
            <x14:sparkline>
              <xm:f>SPARKLINE!C91:E91</xm:f>
              <xm:sqref>K91</xm:sqref>
            </x14:sparkline>
          </x14:sparklines>
        </x14:sparklineGroup>
        <x14:sparklineGroup type="column" displayEmptyCellsAs="gap">
          <x14:colorSeries rgb="FF000000"/>
          <x14:sparklines>
            <x14:sparkline>
              <xm:f>SPARKLINE!C92:E92</xm:f>
              <xm:sqref>K92</xm:sqref>
            </x14:sparkline>
          </x14:sparklines>
        </x14:sparklineGroup>
        <x14:sparklineGroup type="column" displayEmptyCellsAs="gap">
          <x14:colorSeries rgb="FF000000"/>
          <x14:sparklines>
            <x14:sparkline>
              <xm:f>SPARKLINE!C93:E93</xm:f>
              <xm:sqref>K93</xm:sqref>
            </x14:sparkline>
          </x14:sparklines>
        </x14:sparklineGroup>
        <x14:sparklineGroup type="column" displayEmptyCellsAs="gap">
          <x14:colorSeries rgb="FF000000"/>
          <x14:sparklines>
            <x14:sparkline>
              <xm:f>SPARKLINE!C94:E94</xm:f>
              <xm:sqref>K94</xm:sqref>
            </x14:sparkline>
          </x14:sparklines>
        </x14:sparklineGroup>
        <x14:sparklineGroup type="column" displayEmptyCellsAs="gap">
          <x14:colorSeries rgb="FF000000"/>
          <x14:sparklines>
            <x14:sparkline>
              <xm:f>SPARKLINE!C95:E95</xm:f>
              <xm:sqref>K95</xm:sqref>
            </x14:sparkline>
          </x14:sparklines>
        </x14:sparklineGroup>
        <x14:sparklineGroup type="column" displayEmptyCellsAs="gap">
          <x14:colorSeries rgb="FF000000"/>
          <x14:sparklines>
            <x14:sparkline>
              <xm:f>SPARKLINE!C96:E96</xm:f>
              <xm:sqref>K96</xm:sqref>
            </x14:sparkline>
          </x14:sparklines>
        </x14:sparklineGroup>
        <x14:sparklineGroup type="column" displayEmptyCellsAs="gap">
          <x14:colorSeries rgb="FF000000"/>
          <x14:sparklines>
            <x14:sparkline>
              <xm:f>SPARKLINE!C97:E97</xm:f>
              <xm:sqref>K97</xm:sqref>
            </x14:sparkline>
          </x14:sparklines>
        </x14:sparklineGroup>
        <x14:sparklineGroup type="column" displayEmptyCellsAs="gap">
          <x14:colorSeries rgb="FF000000"/>
          <x14:sparklines>
            <x14:sparkline>
              <xm:f>SPARKLINE!C98:E98</xm:f>
              <xm:sqref>K98</xm:sqref>
            </x14:sparkline>
          </x14:sparklines>
        </x14:sparklineGroup>
        <x14:sparklineGroup type="column" displayEmptyCellsAs="gap">
          <x14:colorSeries rgb="FF000000"/>
          <x14:sparklines>
            <x14:sparkline>
              <xm:f>SPARKLINE!C99:E99</xm:f>
              <xm:sqref>K99</xm:sqref>
            </x14:sparkline>
          </x14:sparklines>
        </x14:sparklineGroup>
        <x14:sparklineGroup type="column" displayEmptyCellsAs="gap">
          <x14:colorSeries rgb="FF000000"/>
          <x14:sparklines>
            <x14:sparkline>
              <xm:f>SPARKLINE!C100:E100</xm:f>
              <xm:sqref>K100</xm:sqref>
            </x14:sparkline>
          </x14:sparklines>
        </x14:sparklineGroup>
        <x14:sparklineGroup type="column" displayEmptyCellsAs="gap">
          <x14:colorSeries rgb="FF000000"/>
          <x14:sparklines>
            <x14:sparkline>
              <xm:f>SPARKLINE!C101:E101</xm:f>
              <xm:sqref>K101</xm:sqref>
            </x14:sparkline>
          </x14:sparklines>
        </x14:sparklineGroup>
        <x14:sparklineGroup type="column" displayEmptyCellsAs="gap">
          <x14:colorSeries rgb="FF000000"/>
          <x14:sparklines>
            <x14:sparkline>
              <xm:f>SPARKLINE!C102:E102</xm:f>
              <xm:sqref>K102</xm:sqref>
            </x14:sparkline>
          </x14:sparklines>
        </x14:sparklineGroup>
        <x14:sparklineGroup type="column" displayEmptyCellsAs="gap">
          <x14:colorSeries rgb="FF000000"/>
          <x14:sparklines>
            <x14:sparkline>
              <xm:f>SPARKLINE!C103:E103</xm:f>
              <xm:sqref>K103</xm:sqref>
            </x14:sparkline>
          </x14:sparklines>
        </x14:sparklineGroup>
        <x14:sparklineGroup type="column" displayEmptyCellsAs="gap">
          <x14:colorSeries rgb="FF000000"/>
          <x14:sparklines>
            <x14:sparkline>
              <xm:f>SPARKLINE!C104:E104</xm:f>
              <xm:sqref>K104</xm:sqref>
            </x14:sparkline>
          </x14:sparklines>
        </x14:sparklineGroup>
        <x14:sparklineGroup type="column" displayEmptyCellsAs="gap">
          <x14:colorSeries rgb="FF000000"/>
          <x14:sparklines>
            <x14:sparkline>
              <xm:f>SPARKLINE!C105:E105</xm:f>
              <xm:sqref>K105</xm:sqref>
            </x14:sparkline>
          </x14:sparklines>
        </x14:sparklineGroup>
        <x14:sparklineGroup type="column" displayEmptyCellsAs="gap">
          <x14:colorSeries rgb="FF000000"/>
          <x14:sparklines>
            <x14:sparkline>
              <xm:f>SPARKLINE!C106:E106</xm:f>
              <xm:sqref>K106</xm:sqref>
            </x14:sparkline>
          </x14:sparklines>
        </x14:sparklineGroup>
        <x14:sparklineGroup type="column" displayEmptyCellsAs="gap">
          <x14:colorSeries rgb="FF000000"/>
          <x14:sparklines>
            <x14:sparkline>
              <xm:f>SPARKLINE!C107:E107</xm:f>
              <xm:sqref>K107</xm:sqref>
            </x14:sparkline>
          </x14:sparklines>
        </x14:sparklineGroup>
        <x14:sparklineGroup type="column" displayEmptyCellsAs="gap">
          <x14:colorSeries rgb="FF000000"/>
          <x14:sparklines>
            <x14:sparkline>
              <xm:f>SPARKLINE!C108:E108</xm:f>
              <xm:sqref>K108</xm:sqref>
            </x14:sparkline>
          </x14:sparklines>
        </x14:sparklineGroup>
        <x14:sparklineGroup type="column" displayEmptyCellsAs="gap">
          <x14:colorSeries rgb="FF000000"/>
          <x14:sparklines>
            <x14:sparkline>
              <xm:f>SPARKLINE!C109:E109</xm:f>
              <xm:sqref>K109</xm:sqref>
            </x14:sparkline>
          </x14:sparklines>
        </x14:sparklineGroup>
        <x14:sparklineGroup type="column" displayEmptyCellsAs="gap">
          <x14:colorSeries rgb="FF000000"/>
          <x14:sparklines>
            <x14:sparkline>
              <xm:f>SPARKLINE!C110:E110</xm:f>
              <xm:sqref>K110</xm:sqref>
            </x14:sparkline>
          </x14:sparklines>
        </x14:sparklineGroup>
        <x14:sparklineGroup type="column" displayEmptyCellsAs="gap">
          <x14:colorSeries rgb="FF000000"/>
          <x14:sparklines>
            <x14:sparkline>
              <xm:f>SPARKLINE!C111:E111</xm:f>
              <xm:sqref>K111</xm:sqref>
            </x14:sparkline>
          </x14:sparklines>
        </x14:sparklineGroup>
        <x14:sparklineGroup type="column" displayEmptyCellsAs="gap">
          <x14:colorSeries rgb="FF000000"/>
          <x14:sparklines>
            <x14:sparkline>
              <xm:f>SPARKLINE!C112:E112</xm:f>
              <xm:sqref>K112</xm:sqref>
            </x14:sparkline>
          </x14:sparklines>
        </x14:sparklineGroup>
        <x14:sparklineGroup type="column" displayEmptyCellsAs="gap">
          <x14:colorSeries rgb="FF000000"/>
          <x14:sparklines>
            <x14:sparkline>
              <xm:f>SPARKLINE!C113:E113</xm:f>
              <xm:sqref>K113</xm:sqref>
            </x14:sparkline>
          </x14:sparklines>
        </x14:sparklineGroup>
        <x14:sparklineGroup type="column" displayEmptyCellsAs="gap">
          <x14:colorSeries rgb="FF000000"/>
          <x14:sparklines>
            <x14:sparkline>
              <xm:f>SPARKLINE!C114:E114</xm:f>
              <xm:sqref>K114</xm:sqref>
            </x14:sparkline>
          </x14:sparklines>
        </x14:sparklineGroup>
        <x14:sparklineGroup type="column" displayEmptyCellsAs="gap">
          <x14:colorSeries rgb="FF000000"/>
          <x14:sparklines>
            <x14:sparkline>
              <xm:f>SPARKLINE!C115:E115</xm:f>
              <xm:sqref>K115</xm:sqref>
            </x14:sparkline>
          </x14:sparklines>
        </x14:sparklineGroup>
        <x14:sparklineGroup type="column" displayEmptyCellsAs="gap">
          <x14:colorSeries rgb="FF000000"/>
          <x14:sparklines>
            <x14:sparkline>
              <xm:f>SPARKLINE!C116:E116</xm:f>
              <xm:sqref>K116</xm:sqref>
            </x14:sparkline>
          </x14:sparklines>
        </x14:sparklineGroup>
        <x14:sparklineGroup type="column" displayEmptyCellsAs="gap">
          <x14:colorSeries rgb="FF000000"/>
          <x14:sparklines>
            <x14:sparkline>
              <xm:f>SPARKLINE!C117:E117</xm:f>
              <xm:sqref>K117</xm:sqref>
            </x14:sparkline>
          </x14:sparklines>
        </x14:sparklineGroup>
        <x14:sparklineGroup type="column" displayEmptyCellsAs="gap">
          <x14:colorSeries rgb="FF000000"/>
          <x14:sparklines>
            <x14:sparkline>
              <xm:f>SPARKLINE!C118:E118</xm:f>
              <xm:sqref>K118</xm:sqref>
            </x14:sparkline>
          </x14:sparklines>
        </x14:sparklineGroup>
        <x14:sparklineGroup type="column" displayEmptyCellsAs="gap">
          <x14:colorSeries rgb="FF000000"/>
          <x14:sparklines>
            <x14:sparkline>
              <xm:f>SPARKLINE!C119:E119</xm:f>
              <xm:sqref>K119</xm:sqref>
            </x14:sparkline>
          </x14:sparklines>
        </x14:sparklineGroup>
        <x14:sparklineGroup type="column" displayEmptyCellsAs="gap">
          <x14:colorSeries rgb="FF000000"/>
          <x14:sparklines>
            <x14:sparkline>
              <xm:f>SPARKLINE!C120:E120</xm:f>
              <xm:sqref>K120</xm:sqref>
            </x14:sparkline>
          </x14:sparklines>
        </x14:sparklineGroup>
        <x14:sparklineGroup type="column" displayEmptyCellsAs="gap">
          <x14:colorSeries rgb="FF000000"/>
          <x14:sparklines>
            <x14:sparkline>
              <xm:f>SPARKLINE!C121:E121</xm:f>
              <xm:sqref>K121</xm:sqref>
            </x14:sparkline>
          </x14:sparklines>
        </x14:sparklineGroup>
        <x14:sparklineGroup type="column" displayEmptyCellsAs="gap">
          <x14:colorSeries rgb="FF000000"/>
          <x14:sparklines>
            <x14:sparkline>
              <xm:f>SPARKLINE!C122:E122</xm:f>
              <xm:sqref>K122</xm:sqref>
            </x14:sparkline>
          </x14:sparklines>
        </x14:sparklineGroup>
        <x14:sparklineGroup type="column" displayEmptyCellsAs="gap">
          <x14:colorSeries rgb="FF000000"/>
          <x14:sparklines>
            <x14:sparkline>
              <xm:f>SPARKLINE!C123:E123</xm:f>
              <xm:sqref>K123</xm:sqref>
            </x14:sparkline>
          </x14:sparklines>
        </x14:sparklineGroup>
        <x14:sparklineGroup type="column" displayEmptyCellsAs="gap">
          <x14:colorSeries rgb="FF000000"/>
          <x14:sparklines>
            <x14:sparkline>
              <xm:f>SPARKLINE!C124:E124</xm:f>
              <xm:sqref>K124</xm:sqref>
            </x14:sparkline>
          </x14:sparklines>
        </x14:sparklineGroup>
        <x14:sparklineGroup type="column" displayEmptyCellsAs="gap">
          <x14:colorSeries rgb="FF000000"/>
          <x14:sparklines>
            <x14:sparkline>
              <xm:f>SPARKLINE!C125:E125</xm:f>
              <xm:sqref>K125</xm:sqref>
            </x14:sparkline>
          </x14:sparklines>
        </x14:sparklineGroup>
        <x14:sparklineGroup type="column" displayEmptyCellsAs="gap">
          <x14:colorSeries rgb="FF000000"/>
          <x14:sparklines>
            <x14:sparkline>
              <xm:f>SPARKLINE!C126:E126</xm:f>
              <xm:sqref>K126</xm:sqref>
            </x14:sparkline>
          </x14:sparklines>
        </x14:sparklineGroup>
        <x14:sparklineGroup type="column" displayEmptyCellsAs="gap">
          <x14:colorSeries rgb="FF000000"/>
          <x14:sparklines>
            <x14:sparkline>
              <xm:f>SPARKLINE!C127:E127</xm:f>
              <xm:sqref>K127</xm:sqref>
            </x14:sparkline>
          </x14:sparklines>
        </x14:sparklineGroup>
        <x14:sparklineGroup type="column" displayEmptyCellsAs="gap">
          <x14:colorSeries rgb="FF000000"/>
          <x14:sparklines>
            <x14:sparkline>
              <xm:f>SPARKLINE!C128:E128</xm:f>
              <xm:sqref>K128</xm:sqref>
            </x14:sparkline>
          </x14:sparklines>
        </x14:sparklineGroup>
        <x14:sparklineGroup type="column" displayEmptyCellsAs="gap">
          <x14:colorSeries rgb="FF000000"/>
          <x14:sparklines>
            <x14:sparkline>
              <xm:f>SPARKLINE!C129:E129</xm:f>
              <xm:sqref>K129</xm:sqref>
            </x14:sparkline>
          </x14:sparklines>
        </x14:sparklineGroup>
        <x14:sparklineGroup type="column" displayEmptyCellsAs="gap">
          <x14:colorSeries rgb="FF000000"/>
          <x14:sparklines>
            <x14:sparkline>
              <xm:f>SPARKLINE!C130:E130</xm:f>
              <xm:sqref>K130</xm:sqref>
            </x14:sparkline>
          </x14:sparklines>
        </x14:sparklineGroup>
        <x14:sparklineGroup type="column" displayEmptyCellsAs="gap">
          <x14:colorSeries rgb="FF000000"/>
          <x14:sparklines>
            <x14:sparkline>
              <xm:f>SPARKLINE!C131:E131</xm:f>
              <xm:sqref>K131</xm:sqref>
            </x14:sparkline>
          </x14:sparklines>
        </x14:sparklineGroup>
        <x14:sparklineGroup type="column" displayEmptyCellsAs="gap">
          <x14:colorSeries rgb="FF000000"/>
          <x14:sparklines>
            <x14:sparkline>
              <xm:f>SPARKLINE!C132:E132</xm:f>
              <xm:sqref>K132</xm:sqref>
            </x14:sparkline>
          </x14:sparklines>
        </x14:sparklineGroup>
        <x14:sparklineGroup type="column" displayEmptyCellsAs="gap">
          <x14:colorSeries rgb="FF000000"/>
          <x14:sparklines>
            <x14:sparkline>
              <xm:f>SPARKLINE!C133:E133</xm:f>
              <xm:sqref>K133</xm:sqref>
            </x14:sparkline>
          </x14:sparklines>
        </x14:sparklineGroup>
        <x14:sparklineGroup type="column" displayEmptyCellsAs="gap">
          <x14:colorSeries rgb="FF000000"/>
          <x14:sparklines>
            <x14:sparkline>
              <xm:f>SPARKLINE!C134:E134</xm:f>
              <xm:sqref>K134</xm:sqref>
            </x14:sparkline>
          </x14:sparklines>
        </x14:sparklineGroup>
        <x14:sparklineGroup type="column" displayEmptyCellsAs="gap">
          <x14:colorSeries rgb="FF000000"/>
          <x14:sparklines>
            <x14:sparkline>
              <xm:f>SPARKLINE!C135:E135</xm:f>
              <xm:sqref>K135</xm:sqref>
            </x14:sparkline>
          </x14:sparklines>
        </x14:sparklineGroup>
        <x14:sparklineGroup type="column" displayEmptyCellsAs="gap">
          <x14:colorSeries rgb="FF000000"/>
          <x14:sparklines>
            <x14:sparkline>
              <xm:f>SPARKLINE!C136:E136</xm:f>
              <xm:sqref>K136</xm:sqref>
            </x14:sparkline>
          </x14:sparklines>
        </x14:sparklineGroup>
        <x14:sparklineGroup type="column" displayEmptyCellsAs="gap">
          <x14:colorSeries rgb="FF000000"/>
          <x14:sparklines>
            <x14:sparkline>
              <xm:f>SPARKLINE!C137:E137</xm:f>
              <xm:sqref>K137</xm:sqref>
            </x14:sparkline>
          </x14:sparklines>
        </x14:sparklineGroup>
        <x14:sparklineGroup type="column" displayEmptyCellsAs="gap">
          <x14:colorSeries rgb="FF000000"/>
          <x14:sparklines>
            <x14:sparkline>
              <xm:f>SPARKLINE!C138:E138</xm:f>
              <xm:sqref>K138</xm:sqref>
            </x14:sparkline>
          </x14:sparklines>
        </x14:sparklineGroup>
        <x14:sparklineGroup type="column" displayEmptyCellsAs="gap">
          <x14:colorSeries rgb="FF000000"/>
          <x14:sparklines>
            <x14:sparkline>
              <xm:f>SPARKLINE!C139:E139</xm:f>
              <xm:sqref>K139</xm:sqref>
            </x14:sparkline>
          </x14:sparklines>
        </x14:sparklineGroup>
        <x14:sparklineGroup type="column" displayEmptyCellsAs="gap">
          <x14:colorSeries rgb="FF000000"/>
          <x14:sparklines>
            <x14:sparkline>
              <xm:f>SPARKLINE!C140:E140</xm:f>
              <xm:sqref>K140</xm:sqref>
            </x14:sparkline>
          </x14:sparklines>
        </x14:sparklineGroup>
        <x14:sparklineGroup type="column" displayEmptyCellsAs="gap">
          <x14:colorSeries rgb="FF000000"/>
          <x14:sparklines>
            <x14:sparkline>
              <xm:f>SPARKLINE!C141:E141</xm:f>
              <xm:sqref>K141</xm:sqref>
            </x14:sparkline>
          </x14:sparklines>
        </x14:sparklineGroup>
        <x14:sparklineGroup type="column" displayEmptyCellsAs="gap">
          <x14:colorSeries rgb="FF000000"/>
          <x14:sparklines>
            <x14:sparkline>
              <xm:f>SPARKLINE!C142:E142</xm:f>
              <xm:sqref>K142</xm:sqref>
            </x14:sparkline>
          </x14:sparklines>
        </x14:sparklineGroup>
        <x14:sparklineGroup type="column" displayEmptyCellsAs="gap">
          <x14:colorSeries rgb="FF000000"/>
          <x14:sparklines>
            <x14:sparkline>
              <xm:f>SPARKLINE!C143:E143</xm:f>
              <xm:sqref>K143</xm:sqref>
            </x14:sparkline>
          </x14:sparklines>
        </x14:sparklineGroup>
        <x14:sparklineGroup type="column" displayEmptyCellsAs="gap">
          <x14:colorSeries rgb="FF000000"/>
          <x14:sparklines>
            <x14:sparkline>
              <xm:f>SPARKLINE!C144:E144</xm:f>
              <xm:sqref>K144</xm:sqref>
            </x14:sparkline>
          </x14:sparklines>
        </x14:sparklineGroup>
        <x14:sparklineGroup type="column" displayEmptyCellsAs="gap">
          <x14:colorSeries rgb="FF000000"/>
          <x14:sparklines>
            <x14:sparkline>
              <xm:f>SPARKLINE!C145:E145</xm:f>
              <xm:sqref>K145</xm:sqref>
            </x14:sparkline>
          </x14:sparklines>
        </x14:sparklineGroup>
        <x14:sparklineGroup type="column" displayEmptyCellsAs="gap">
          <x14:colorSeries rgb="FF000000"/>
          <x14:sparklines>
            <x14:sparkline>
              <xm:f>SPARKLINE!C146:E146</xm:f>
              <xm:sqref>K146</xm:sqref>
            </x14:sparkline>
          </x14:sparklines>
        </x14:sparklineGroup>
        <x14:sparklineGroup type="column" displayEmptyCellsAs="gap">
          <x14:colorSeries rgb="FF000000"/>
          <x14:sparklines>
            <x14:sparkline>
              <xm:f>SPARKLINE!C147:E147</xm:f>
              <xm:sqref>K147</xm:sqref>
            </x14:sparkline>
          </x14:sparklines>
        </x14:sparklineGroup>
        <x14:sparklineGroup type="column" displayEmptyCellsAs="gap">
          <x14:colorSeries rgb="FF000000"/>
          <x14:sparklines>
            <x14:sparkline>
              <xm:f>SPARKLINE!C148:E148</xm:f>
              <xm:sqref>K148</xm:sqref>
            </x14:sparkline>
          </x14:sparklines>
        </x14:sparklineGroup>
        <x14:sparklineGroup type="column" displayEmptyCellsAs="gap">
          <x14:colorSeries rgb="FF000000"/>
          <x14:sparklines>
            <x14:sparkline>
              <xm:f>SPARKLINE!C149:E149</xm:f>
              <xm:sqref>K149</xm:sqref>
            </x14:sparkline>
          </x14:sparklines>
        </x14:sparklineGroup>
        <x14:sparklineGroup type="column" displayEmptyCellsAs="gap">
          <x14:colorSeries rgb="FF000000"/>
          <x14:sparklines>
            <x14:sparkline>
              <xm:f>SPARKLINE!C150:E150</xm:f>
              <xm:sqref>K150</xm:sqref>
            </x14:sparkline>
          </x14:sparklines>
        </x14:sparklineGroup>
        <x14:sparklineGroup type="column" displayEmptyCellsAs="gap">
          <x14:colorSeries rgb="FF000000"/>
          <x14:sparklines>
            <x14:sparkline>
              <xm:f>SPARKLINE!C151:E151</xm:f>
              <xm:sqref>K151</xm:sqref>
            </x14:sparkline>
          </x14:sparklines>
        </x14:sparklineGroup>
        <x14:sparklineGroup type="column" displayEmptyCellsAs="gap">
          <x14:colorSeries rgb="FF000000"/>
          <x14:sparklines>
            <x14:sparkline>
              <xm:f>SPARKLINE!C152:E152</xm:f>
              <xm:sqref>K152</xm:sqref>
            </x14:sparkline>
          </x14:sparklines>
        </x14:sparklineGroup>
        <x14:sparklineGroup type="column" displayEmptyCellsAs="gap">
          <x14:colorSeries rgb="FF000000"/>
          <x14:sparklines>
            <x14:sparkline>
              <xm:f>SPARKLINE!C153:E153</xm:f>
              <xm:sqref>K153</xm:sqref>
            </x14:sparkline>
          </x14:sparklines>
        </x14:sparklineGroup>
        <x14:sparklineGroup type="column" displayEmptyCellsAs="gap">
          <x14:colorSeries rgb="FF000000"/>
          <x14:sparklines>
            <x14:sparkline>
              <xm:f>SPARKLINE!C154:E154</xm:f>
              <xm:sqref>K154</xm:sqref>
            </x14:sparkline>
          </x14:sparklines>
        </x14:sparklineGroup>
        <x14:sparklineGroup type="column" displayEmptyCellsAs="gap">
          <x14:colorSeries rgb="FF000000"/>
          <x14:sparklines>
            <x14:sparkline>
              <xm:f>SPARKLINE!C155:E155</xm:f>
              <xm:sqref>K155</xm:sqref>
            </x14:sparkline>
          </x14:sparklines>
        </x14:sparklineGroup>
        <x14:sparklineGroup type="column" displayEmptyCellsAs="gap">
          <x14:colorSeries rgb="FF000000"/>
          <x14:sparklines>
            <x14:sparkline>
              <xm:f>SPARKLINE!C156:E156</xm:f>
              <xm:sqref>K156</xm:sqref>
            </x14:sparkline>
          </x14:sparklines>
        </x14:sparklineGroup>
        <x14:sparklineGroup type="column" displayEmptyCellsAs="gap">
          <x14:colorSeries rgb="FF000000"/>
          <x14:sparklines>
            <x14:sparkline>
              <xm:f>SPARKLINE!C157:E157</xm:f>
              <xm:sqref>K157</xm:sqref>
            </x14:sparkline>
          </x14:sparklines>
        </x14:sparklineGroup>
        <x14:sparklineGroup type="column" displayEmptyCellsAs="gap">
          <x14:colorSeries rgb="FF000000"/>
          <x14:sparklines>
            <x14:sparkline>
              <xm:f>SPARKLINE!C158:E158</xm:f>
              <xm:sqref>K158</xm:sqref>
            </x14:sparkline>
          </x14:sparklines>
        </x14:sparklineGroup>
        <x14:sparklineGroup type="column" displayEmptyCellsAs="gap">
          <x14:colorSeries rgb="FF000000"/>
          <x14:sparklines>
            <x14:sparkline>
              <xm:f>SPARKLINE!C159:E159</xm:f>
              <xm:sqref>K159</xm:sqref>
            </x14:sparkline>
          </x14:sparklines>
        </x14:sparklineGroup>
        <x14:sparklineGroup type="column" displayEmptyCellsAs="gap">
          <x14:colorSeries rgb="FF000000"/>
          <x14:sparklines>
            <x14:sparkline>
              <xm:f>SPARKLINE!C160:E160</xm:f>
              <xm:sqref>K160</xm:sqref>
            </x14:sparkline>
          </x14:sparklines>
        </x14:sparklineGroup>
        <x14:sparklineGroup type="column" displayEmptyCellsAs="gap">
          <x14:colorSeries rgb="FF000000"/>
          <x14:sparklines>
            <x14:sparkline>
              <xm:f>SPARKLINE!C161:E161</xm:f>
              <xm:sqref>K161</xm:sqref>
            </x14:sparkline>
          </x14:sparklines>
        </x14:sparklineGroup>
        <x14:sparklineGroup type="column" displayEmptyCellsAs="gap">
          <x14:colorSeries rgb="FF000000"/>
          <x14:sparklines>
            <x14:sparkline>
              <xm:f>SPARKLINE!C162:E162</xm:f>
              <xm:sqref>K162</xm:sqref>
            </x14:sparkline>
          </x14:sparklines>
        </x14:sparklineGroup>
        <x14:sparklineGroup type="column" displayEmptyCellsAs="gap">
          <x14:colorSeries rgb="FF000000"/>
          <x14:sparklines>
            <x14:sparkline>
              <xm:f>SPARKLINE!C163:E163</xm:f>
              <xm:sqref>K163</xm:sqref>
            </x14:sparkline>
          </x14:sparklines>
        </x14:sparklineGroup>
        <x14:sparklineGroup type="column" displayEmptyCellsAs="gap">
          <x14:colorSeries rgb="FF000000"/>
          <x14:sparklines>
            <x14:sparkline>
              <xm:f>SPARKLINE!C164:E164</xm:f>
              <xm:sqref>K164</xm:sqref>
            </x14:sparkline>
          </x14:sparklines>
        </x14:sparklineGroup>
        <x14:sparklineGroup type="column" displayEmptyCellsAs="gap">
          <x14:colorSeries rgb="FF000000"/>
          <x14:sparklines>
            <x14:sparkline>
              <xm:f>SPARKLINE!C165:E165</xm:f>
              <xm:sqref>K165</xm:sqref>
            </x14:sparkline>
          </x14:sparklines>
        </x14:sparklineGroup>
        <x14:sparklineGroup type="column" displayEmptyCellsAs="gap">
          <x14:colorSeries rgb="FF000000"/>
          <x14:sparklines>
            <x14:sparkline>
              <xm:f>SPARKLINE!C166:E166</xm:f>
              <xm:sqref>K166</xm:sqref>
            </x14:sparkline>
          </x14:sparklines>
        </x14:sparklineGroup>
        <x14:sparklineGroup type="column" displayEmptyCellsAs="gap">
          <x14:colorSeries rgb="FF000000"/>
          <x14:sparklines>
            <x14:sparkline>
              <xm:f>SPARKLINE!C167:E167</xm:f>
              <xm:sqref>K167</xm:sqref>
            </x14:sparkline>
          </x14:sparklines>
        </x14:sparklineGroup>
        <x14:sparklineGroup type="column" displayEmptyCellsAs="gap">
          <x14:colorSeries rgb="FF000000"/>
          <x14:sparklines>
            <x14:sparkline>
              <xm:f>SPARKLINE!C168:E168</xm:f>
              <xm:sqref>K168</xm:sqref>
            </x14:sparkline>
          </x14:sparklines>
        </x14:sparklineGroup>
        <x14:sparklineGroup type="column" displayEmptyCellsAs="gap">
          <x14:colorSeries rgb="FF000000"/>
          <x14:sparklines>
            <x14:sparkline>
              <xm:f>SPARKLINE!C169:E169</xm:f>
              <xm:sqref>K169</xm:sqref>
            </x14:sparkline>
          </x14:sparklines>
        </x14:sparklineGroup>
        <x14:sparklineGroup type="column" displayEmptyCellsAs="gap">
          <x14:colorSeries rgb="FF000000"/>
          <x14:sparklines>
            <x14:sparkline>
              <xm:f>SPARKLINE!C170:E170</xm:f>
              <xm:sqref>K170</xm:sqref>
            </x14:sparkline>
          </x14:sparklines>
        </x14:sparklineGroup>
        <x14:sparklineGroup type="column" displayEmptyCellsAs="gap">
          <x14:colorSeries rgb="FF000000"/>
          <x14:sparklines>
            <x14:sparkline>
              <xm:f>SPARKLINE!C171:E171</xm:f>
              <xm:sqref>K171</xm:sqref>
            </x14:sparkline>
          </x14:sparklines>
        </x14:sparklineGroup>
        <x14:sparklineGroup type="column" displayEmptyCellsAs="gap">
          <x14:colorSeries rgb="FF000000"/>
          <x14:sparklines>
            <x14:sparkline>
              <xm:f>SPARKLINE!C172:E172</xm:f>
              <xm:sqref>K172</xm:sqref>
            </x14:sparkline>
          </x14:sparklines>
        </x14:sparklineGroup>
        <x14:sparklineGroup type="column" displayEmptyCellsAs="gap">
          <x14:colorSeries rgb="FF000000"/>
          <x14:sparklines>
            <x14:sparkline>
              <xm:f>SPARKLINE!C173:E173</xm:f>
              <xm:sqref>K173</xm:sqref>
            </x14:sparkline>
          </x14:sparklines>
        </x14:sparklineGroup>
        <x14:sparklineGroup type="column" displayEmptyCellsAs="gap">
          <x14:colorSeries rgb="FF000000"/>
          <x14:sparklines>
            <x14:sparkline>
              <xm:f>SPARKLINE!C174:E174</xm:f>
              <xm:sqref>K174</xm:sqref>
            </x14:sparkline>
          </x14:sparklines>
        </x14:sparklineGroup>
        <x14:sparklineGroup type="column" displayEmptyCellsAs="gap">
          <x14:colorSeries rgb="FF000000"/>
          <x14:sparklines>
            <x14:sparkline>
              <xm:f>SPARKLINE!C175:E175</xm:f>
              <xm:sqref>K175</xm:sqref>
            </x14:sparkline>
          </x14:sparklines>
        </x14:sparklineGroup>
        <x14:sparklineGroup type="column" displayEmptyCellsAs="gap">
          <x14:colorSeries rgb="FF000000"/>
          <x14:sparklines>
            <x14:sparkline>
              <xm:f>SPARKLINE!C176:E176</xm:f>
              <xm:sqref>K176</xm:sqref>
            </x14:sparkline>
          </x14:sparklines>
        </x14:sparklineGroup>
        <x14:sparklineGroup type="column" displayEmptyCellsAs="gap">
          <x14:colorSeries rgb="FF000000"/>
          <x14:sparklines>
            <x14:sparkline>
              <xm:f>SPARKLINE!C177:E177</xm:f>
              <xm:sqref>K177</xm:sqref>
            </x14:sparkline>
          </x14:sparklines>
        </x14:sparklineGroup>
        <x14:sparklineGroup type="column" displayEmptyCellsAs="gap">
          <x14:colorSeries rgb="FF000000"/>
          <x14:sparklines>
            <x14:sparkline>
              <xm:f>SPARKLINE!C178:E178</xm:f>
              <xm:sqref>K178</xm:sqref>
            </x14:sparkline>
          </x14:sparklines>
        </x14:sparklineGroup>
        <x14:sparklineGroup type="column" displayEmptyCellsAs="gap">
          <x14:colorSeries rgb="FF000000"/>
          <x14:sparklines>
            <x14:sparkline>
              <xm:f>SPARKLINE!C179:E179</xm:f>
              <xm:sqref>K179</xm:sqref>
            </x14:sparkline>
          </x14:sparklines>
        </x14:sparklineGroup>
        <x14:sparklineGroup type="column" displayEmptyCellsAs="gap">
          <x14:colorSeries rgb="FF000000"/>
          <x14:sparklines>
            <x14:sparkline>
              <xm:f>SPARKLINE!C180:E180</xm:f>
              <xm:sqref>K180</xm:sqref>
            </x14:sparkline>
          </x14:sparklines>
        </x14:sparklineGroup>
        <x14:sparklineGroup type="column" displayEmptyCellsAs="gap">
          <x14:colorSeries rgb="FF000000"/>
          <x14:sparklines>
            <x14:sparkline>
              <xm:f>SPARKLINE!C181:E181</xm:f>
              <xm:sqref>K181</xm:sqref>
            </x14:sparkline>
          </x14:sparklines>
        </x14:sparklineGroup>
        <x14:sparklineGroup type="column" displayEmptyCellsAs="gap">
          <x14:colorSeries rgb="FF000000"/>
          <x14:sparklines>
            <x14:sparkline>
              <xm:f>SPARKLINE!C182:E182</xm:f>
              <xm:sqref>K182</xm:sqref>
            </x14:sparkline>
          </x14:sparklines>
        </x14:sparklineGroup>
        <x14:sparklineGroup type="column" displayEmptyCellsAs="gap">
          <x14:colorSeries rgb="FF000000"/>
          <x14:sparklines>
            <x14:sparkline>
              <xm:f>SPARKLINE!C183:E183</xm:f>
              <xm:sqref>K183</xm:sqref>
            </x14:sparkline>
          </x14:sparklines>
        </x14:sparklineGroup>
        <x14:sparklineGroup type="column" displayEmptyCellsAs="gap">
          <x14:colorSeries rgb="FF000000"/>
          <x14:sparklines>
            <x14:sparkline>
              <xm:f>SPARKLINE!C184:E184</xm:f>
              <xm:sqref>K184</xm:sqref>
            </x14:sparkline>
          </x14:sparklines>
        </x14:sparklineGroup>
        <x14:sparklineGroup type="column" displayEmptyCellsAs="gap">
          <x14:colorSeries rgb="FF000000"/>
          <x14:sparklines>
            <x14:sparkline>
              <xm:f>SPARKLINE!C185:E185</xm:f>
              <xm:sqref>K185</xm:sqref>
            </x14:sparkline>
          </x14:sparklines>
        </x14:sparklineGroup>
        <x14:sparklineGroup type="column" displayEmptyCellsAs="gap">
          <x14:colorSeries rgb="FF000000"/>
          <x14:sparklines>
            <x14:sparkline>
              <xm:f>SPARKLINE!C186:E186</xm:f>
              <xm:sqref>K186</xm:sqref>
            </x14:sparkline>
          </x14:sparklines>
        </x14:sparklineGroup>
        <x14:sparklineGroup type="column" displayEmptyCellsAs="gap">
          <x14:colorSeries rgb="FF000000"/>
          <x14:sparklines>
            <x14:sparkline>
              <xm:f>SPARKLINE!C187:E187</xm:f>
              <xm:sqref>K187</xm:sqref>
            </x14:sparkline>
          </x14:sparklines>
        </x14:sparklineGroup>
        <x14:sparklineGroup type="column" displayEmptyCellsAs="gap">
          <x14:colorSeries rgb="FF000000"/>
          <x14:sparklines>
            <x14:sparkline>
              <xm:f>SPARKLINE!C188:E188</xm:f>
              <xm:sqref>K188</xm:sqref>
            </x14:sparkline>
          </x14:sparklines>
        </x14:sparklineGroup>
        <x14:sparklineGroup type="column" displayEmptyCellsAs="gap">
          <x14:colorSeries rgb="FF000000"/>
          <x14:sparklines>
            <x14:sparkline>
              <xm:f>SPARKLINE!C189:E189</xm:f>
              <xm:sqref>K189</xm:sqref>
            </x14:sparkline>
          </x14:sparklines>
        </x14:sparklineGroup>
        <x14:sparklineGroup type="column" displayEmptyCellsAs="gap">
          <x14:colorSeries rgb="FF000000"/>
          <x14:sparklines>
            <x14:sparkline>
              <xm:f>SPARKLINE!C190:E190</xm:f>
              <xm:sqref>K190</xm:sqref>
            </x14:sparkline>
          </x14:sparklines>
        </x14:sparklineGroup>
        <x14:sparklineGroup type="column" displayEmptyCellsAs="gap">
          <x14:colorSeries rgb="FF000000"/>
          <x14:sparklines>
            <x14:sparkline>
              <xm:f>SPARKLINE!C191:E191</xm:f>
              <xm:sqref>K191</xm:sqref>
            </x14:sparkline>
          </x14:sparklines>
        </x14:sparklineGroup>
        <x14:sparklineGroup type="column" displayEmptyCellsAs="gap">
          <x14:colorSeries rgb="FF000000"/>
          <x14:sparklines>
            <x14:sparkline>
              <xm:f>SPARKLINE!C192:E192</xm:f>
              <xm:sqref>K192</xm:sqref>
            </x14:sparkline>
          </x14:sparklines>
        </x14:sparklineGroup>
        <x14:sparklineGroup type="column" displayEmptyCellsAs="gap">
          <x14:colorSeries rgb="FF000000"/>
          <x14:sparklines>
            <x14:sparkline>
              <xm:f>SPARKLINE!C193:E193</xm:f>
              <xm:sqref>K193</xm:sqref>
            </x14:sparkline>
          </x14:sparklines>
        </x14:sparklineGroup>
        <x14:sparklineGroup type="column" displayEmptyCellsAs="gap">
          <x14:colorSeries rgb="FF000000"/>
          <x14:sparklines>
            <x14:sparkline>
              <xm:f>SPARKLINE!C194:E194</xm:f>
              <xm:sqref>K194</xm:sqref>
            </x14:sparkline>
          </x14:sparklines>
        </x14:sparklineGroup>
        <x14:sparklineGroup type="column" displayEmptyCellsAs="gap">
          <x14:colorSeries rgb="FF000000"/>
          <x14:sparklines>
            <x14:sparkline>
              <xm:f>SPARKLINE!C195:E195</xm:f>
              <xm:sqref>K195</xm:sqref>
            </x14:sparkline>
          </x14:sparklines>
        </x14:sparklineGroup>
        <x14:sparklineGroup type="column" displayEmptyCellsAs="gap">
          <x14:colorSeries rgb="FF000000"/>
          <x14:sparklines>
            <x14:sparkline>
              <xm:f>SPARKLINE!C196:E196</xm:f>
              <xm:sqref>K196</xm:sqref>
            </x14:sparkline>
          </x14:sparklines>
        </x14:sparklineGroup>
        <x14:sparklineGroup type="column" displayEmptyCellsAs="gap">
          <x14:colorSeries rgb="FF000000"/>
          <x14:sparklines>
            <x14:sparkline>
              <xm:f>SPARKLINE!C197:E197</xm:f>
              <xm:sqref>K197</xm:sqref>
            </x14:sparkline>
          </x14:sparklines>
        </x14:sparklineGroup>
        <x14:sparklineGroup type="column" displayEmptyCellsAs="gap">
          <x14:colorSeries rgb="FF000000"/>
          <x14:sparklines>
            <x14:sparkline>
              <xm:f>SPARKLINE!C198:E198</xm:f>
              <xm:sqref>K198</xm:sqref>
            </x14:sparkline>
          </x14:sparklines>
        </x14:sparklineGroup>
        <x14:sparklineGroup type="column" displayEmptyCellsAs="gap">
          <x14:colorSeries rgb="FF000000"/>
          <x14:sparklines>
            <x14:sparkline>
              <xm:f>SPARKLINE!C199:E199</xm:f>
              <xm:sqref>K199</xm:sqref>
            </x14:sparkline>
          </x14:sparklines>
        </x14:sparklineGroup>
        <x14:sparklineGroup type="column" displayEmptyCellsAs="gap">
          <x14:colorSeries rgb="FF000000"/>
          <x14:sparklines>
            <x14:sparkline>
              <xm:f>SPARKLINE!C200:E200</xm:f>
              <xm:sqref>K200</xm:sqref>
            </x14:sparkline>
          </x14:sparklines>
        </x14:sparklineGroup>
        <x14:sparklineGroup type="column" displayEmptyCellsAs="gap">
          <x14:colorSeries rgb="FF000000"/>
          <x14:sparklines>
            <x14:sparkline>
              <xm:f>SPARKLINE!C201:E201</xm:f>
              <xm:sqref>K201</xm:sqref>
            </x14:sparkline>
          </x14:sparklines>
        </x14:sparklineGroup>
        <x14:sparklineGroup type="column" displayEmptyCellsAs="gap">
          <x14:colorSeries rgb="FF000000"/>
          <x14:sparklines>
            <x14:sparkline>
              <xm:f>SPARKLINE!C202:E202</xm:f>
              <xm:sqref>K202</xm:sqref>
            </x14:sparkline>
          </x14:sparklines>
        </x14:sparklineGroup>
        <x14:sparklineGroup type="column" displayEmptyCellsAs="gap">
          <x14:colorSeries rgb="FF000000"/>
          <x14:sparklines>
            <x14:sparkline>
              <xm:f>SPARKLINE!C203:E203</xm:f>
              <xm:sqref>K203</xm:sqref>
            </x14:sparkline>
          </x14:sparklines>
        </x14:sparklineGroup>
        <x14:sparklineGroup type="column" displayEmptyCellsAs="gap">
          <x14:colorSeries rgb="FF000000"/>
          <x14:sparklines>
            <x14:sparkline>
              <xm:f>SPARKLINE!C204:E204</xm:f>
              <xm:sqref>K204</xm:sqref>
            </x14:sparkline>
          </x14:sparklines>
        </x14:sparklineGroup>
        <x14:sparklineGroup type="column" displayEmptyCellsAs="gap">
          <x14:colorSeries rgb="FF000000"/>
          <x14:sparklines>
            <x14:sparkline>
              <xm:f>SPARKLINE!C205:E205</xm:f>
              <xm:sqref>K205</xm:sqref>
            </x14:sparkline>
          </x14:sparklines>
        </x14:sparklineGroup>
        <x14:sparklineGroup type="column" displayEmptyCellsAs="gap">
          <x14:colorSeries rgb="FF000000"/>
          <x14:sparklines>
            <x14:sparkline>
              <xm:f>SPARKLINE!C206:E206</xm:f>
              <xm:sqref>K206</xm:sqref>
            </x14:sparkline>
          </x14:sparklines>
        </x14:sparklineGroup>
        <x14:sparklineGroup type="column" displayEmptyCellsAs="gap">
          <x14:colorSeries rgb="FF000000"/>
          <x14:sparklines>
            <x14:sparkline>
              <xm:f>SPARKLINE!C207:E207</xm:f>
              <xm:sqref>K207</xm:sqref>
            </x14:sparkline>
          </x14:sparklines>
        </x14:sparklineGroup>
        <x14:sparklineGroup type="column" displayEmptyCellsAs="gap">
          <x14:colorSeries rgb="FF000000"/>
          <x14:sparklines>
            <x14:sparkline>
              <xm:f>SPARKLINE!C208:E208</xm:f>
              <xm:sqref>K208</xm:sqref>
            </x14:sparkline>
          </x14:sparklines>
        </x14:sparklineGroup>
        <x14:sparklineGroup type="column" displayEmptyCellsAs="gap">
          <x14:colorSeries rgb="FF000000"/>
          <x14:sparklines>
            <x14:sparkline>
              <xm:f>SPARKLINE!C209:E209</xm:f>
              <xm:sqref>K209</xm:sqref>
            </x14:sparkline>
          </x14:sparklines>
        </x14:sparklineGroup>
        <x14:sparklineGroup type="column" displayEmptyCellsAs="gap">
          <x14:colorSeries rgb="FF000000"/>
          <x14:sparklines>
            <x14:sparkline>
              <xm:f>SPARKLINE!C210:E210</xm:f>
              <xm:sqref>K210</xm:sqref>
            </x14:sparkline>
          </x14:sparklines>
        </x14:sparklineGroup>
        <x14:sparklineGroup type="column" displayEmptyCellsAs="gap">
          <x14:colorSeries rgb="FF000000"/>
          <x14:sparklines>
            <x14:sparkline>
              <xm:f>SPARKLINE!C211:E211</xm:f>
              <xm:sqref>K211</xm:sqref>
            </x14:sparkline>
          </x14:sparklines>
        </x14:sparklineGroup>
        <x14:sparklineGroup type="column" displayEmptyCellsAs="gap">
          <x14:colorSeries rgb="FF000000"/>
          <x14:sparklines>
            <x14:sparkline>
              <xm:f>SPARKLINE!C212:E212</xm:f>
              <xm:sqref>K212</xm:sqref>
            </x14:sparkline>
          </x14:sparklines>
        </x14:sparklineGroup>
        <x14:sparklineGroup type="column" displayEmptyCellsAs="gap">
          <x14:colorSeries rgb="FF000000"/>
          <x14:sparklines>
            <x14:sparkline>
              <xm:f>SPARKLINE!C213:E213</xm:f>
              <xm:sqref>K213</xm:sqref>
            </x14:sparkline>
          </x14:sparklines>
        </x14:sparklineGroup>
        <x14:sparklineGroup type="column" displayEmptyCellsAs="gap">
          <x14:colorSeries rgb="FF000000"/>
          <x14:sparklines>
            <x14:sparkline>
              <xm:f>SPARKLINE!C214:E214</xm:f>
              <xm:sqref>K214</xm:sqref>
            </x14:sparkline>
          </x14:sparklines>
        </x14:sparklineGroup>
        <x14:sparklineGroup type="column" displayEmptyCellsAs="gap">
          <x14:colorSeries rgb="FF000000"/>
          <x14:sparklines>
            <x14:sparkline>
              <xm:f>SPARKLINE!C215:E215</xm:f>
              <xm:sqref>K215</xm:sqref>
            </x14:sparkline>
          </x14:sparklines>
        </x14:sparklineGroup>
        <x14:sparklineGroup type="column" displayEmptyCellsAs="gap">
          <x14:colorSeries rgb="FF000000"/>
          <x14:sparklines>
            <x14:sparkline>
              <xm:f>SPARKLINE!C216:E216</xm:f>
              <xm:sqref>K216</xm:sqref>
            </x14:sparkline>
          </x14:sparklines>
        </x14:sparklineGroup>
        <x14:sparklineGroup type="column" displayEmptyCellsAs="gap">
          <x14:colorSeries rgb="FF000000"/>
          <x14:sparklines>
            <x14:sparkline>
              <xm:f>SPARKLINE!C217:E217</xm:f>
              <xm:sqref>K217</xm:sqref>
            </x14:sparkline>
          </x14:sparklines>
        </x14:sparklineGroup>
        <x14:sparklineGroup type="column" displayEmptyCellsAs="gap">
          <x14:colorSeries rgb="FF000000"/>
          <x14:sparklines>
            <x14:sparkline>
              <xm:f>SPARKLINE!C218:E218</xm:f>
              <xm:sqref>K218</xm:sqref>
            </x14:sparkline>
          </x14:sparklines>
        </x14:sparklineGroup>
        <x14:sparklineGroup type="column" displayEmptyCellsAs="gap">
          <x14:colorSeries rgb="FF000000"/>
          <x14:sparklines>
            <x14:sparkline>
              <xm:f>SPARKLINE!C219:E219</xm:f>
              <xm:sqref>K219</xm:sqref>
            </x14:sparkline>
          </x14:sparklines>
        </x14:sparklineGroup>
        <x14:sparklineGroup type="column" displayEmptyCellsAs="gap">
          <x14:colorSeries rgb="FF000000"/>
          <x14:sparklines>
            <x14:sparkline>
              <xm:f>SPARKLINE!C220:E220</xm:f>
              <xm:sqref>K220</xm:sqref>
            </x14:sparkline>
          </x14:sparklines>
        </x14:sparklineGroup>
        <x14:sparklineGroup type="column" displayEmptyCellsAs="gap">
          <x14:colorSeries rgb="FF000000"/>
          <x14:sparklines>
            <x14:sparkline>
              <xm:f>SPARKLINE!C221:E221</xm:f>
              <xm:sqref>K221</xm:sqref>
            </x14:sparkline>
          </x14:sparklines>
        </x14:sparklineGroup>
        <x14:sparklineGroup type="column" displayEmptyCellsAs="gap">
          <x14:colorSeries rgb="FF000000"/>
          <x14:sparklines>
            <x14:sparkline>
              <xm:f>SPARKLINE!C222:E222</xm:f>
              <xm:sqref>K222</xm:sqref>
            </x14:sparkline>
          </x14:sparklines>
        </x14:sparklineGroup>
        <x14:sparklineGroup type="column" displayEmptyCellsAs="gap">
          <x14:colorSeries rgb="FF000000"/>
          <x14:sparklines>
            <x14:sparkline>
              <xm:f>SPARKLINE!C223:E223</xm:f>
              <xm:sqref>K223</xm:sqref>
            </x14:sparkline>
          </x14:sparklines>
        </x14:sparklineGroup>
        <x14:sparklineGroup type="column" displayEmptyCellsAs="gap">
          <x14:colorSeries rgb="FF000000"/>
          <x14:sparklines>
            <x14:sparkline>
              <xm:f>SPARKLINE!C224:E224</xm:f>
              <xm:sqref>K224</xm:sqref>
            </x14:sparkline>
          </x14:sparklines>
        </x14:sparklineGroup>
        <x14:sparklineGroup type="column" displayEmptyCellsAs="gap">
          <x14:colorSeries rgb="FF000000"/>
          <x14:sparklines>
            <x14:sparkline>
              <xm:f>SPARKLINE!C225:E225</xm:f>
              <xm:sqref>K225</xm:sqref>
            </x14:sparkline>
          </x14:sparklines>
        </x14:sparklineGroup>
        <x14:sparklineGroup type="column" displayEmptyCellsAs="gap">
          <x14:colorSeries rgb="FF000000"/>
          <x14:sparklines>
            <x14:sparkline>
              <xm:f>SPARKLINE!C226:E226</xm:f>
              <xm:sqref>K226</xm:sqref>
            </x14:sparkline>
          </x14:sparklines>
        </x14:sparklineGroup>
        <x14:sparklineGroup type="column" displayEmptyCellsAs="gap">
          <x14:colorSeries rgb="FF000000"/>
          <x14:sparklines>
            <x14:sparkline>
              <xm:f>SPARKLINE!C227:E227</xm:f>
              <xm:sqref>K227</xm:sqref>
            </x14:sparkline>
          </x14:sparklines>
        </x14:sparklineGroup>
        <x14:sparklineGroup type="column" displayEmptyCellsAs="gap">
          <x14:colorSeries rgb="FF000000"/>
          <x14:sparklines>
            <x14:sparkline>
              <xm:f>SPARKLINE!C228:E228</xm:f>
              <xm:sqref>K228</xm:sqref>
            </x14:sparkline>
          </x14:sparklines>
        </x14:sparklineGroup>
        <x14:sparklineGroup type="column" displayEmptyCellsAs="gap">
          <x14:colorSeries rgb="FF000000"/>
          <x14:sparklines>
            <x14:sparkline>
              <xm:f>SPARKLINE!C229:E229</xm:f>
              <xm:sqref>K229</xm:sqref>
            </x14:sparkline>
          </x14:sparklines>
        </x14:sparklineGroup>
        <x14:sparklineGroup type="column" displayEmptyCellsAs="gap">
          <x14:colorSeries rgb="FF000000"/>
          <x14:sparklines>
            <x14:sparkline>
              <xm:f>SPARKLINE!C230:E230</xm:f>
              <xm:sqref>K230</xm:sqref>
            </x14:sparkline>
          </x14:sparklines>
        </x14:sparklineGroup>
        <x14:sparklineGroup type="column" displayEmptyCellsAs="gap">
          <x14:colorSeries rgb="FF000000"/>
          <x14:sparklines>
            <x14:sparkline>
              <xm:f>SPARKLINE!C231:E231</xm:f>
              <xm:sqref>K231</xm:sqref>
            </x14:sparkline>
          </x14:sparklines>
        </x14:sparklineGroup>
        <x14:sparklineGroup type="column" displayEmptyCellsAs="gap">
          <x14:colorSeries rgb="FF000000"/>
          <x14:sparklines>
            <x14:sparkline>
              <xm:f>SPARKLINE!C232:E232</xm:f>
              <xm:sqref>K232</xm:sqref>
            </x14:sparkline>
          </x14:sparklines>
        </x14:sparklineGroup>
        <x14:sparklineGroup type="column" displayEmptyCellsAs="gap">
          <x14:colorSeries rgb="FF000000"/>
          <x14:sparklines>
            <x14:sparkline>
              <xm:f>SPARKLINE!C233:E233</xm:f>
              <xm:sqref>K233</xm:sqref>
            </x14:sparkline>
          </x14:sparklines>
        </x14:sparklineGroup>
        <x14:sparklineGroup type="column" displayEmptyCellsAs="gap">
          <x14:colorSeries rgb="FF000000"/>
          <x14:sparklines>
            <x14:sparkline>
              <xm:f>SPARKLINE!C234:E234</xm:f>
              <xm:sqref>K234</xm:sqref>
            </x14:sparkline>
          </x14:sparklines>
        </x14:sparklineGroup>
        <x14:sparklineGroup type="column" displayEmptyCellsAs="gap">
          <x14:colorSeries rgb="FF000000"/>
          <x14:sparklines>
            <x14:sparkline>
              <xm:f>SPARKLINE!C235:E235</xm:f>
              <xm:sqref>K235</xm:sqref>
            </x14:sparkline>
          </x14:sparklines>
        </x14:sparklineGroup>
        <x14:sparklineGroup type="column" displayEmptyCellsAs="gap">
          <x14:colorSeries rgb="FF000000"/>
          <x14:sparklines>
            <x14:sparkline>
              <xm:f>SPARKLINE!C236:E236</xm:f>
              <xm:sqref>K236</xm:sqref>
            </x14:sparkline>
          </x14:sparklines>
        </x14:sparklineGroup>
        <x14:sparklineGroup type="column" displayEmptyCellsAs="gap">
          <x14:colorSeries rgb="FF000000"/>
          <x14:sparklines>
            <x14:sparkline>
              <xm:f>SPARKLINE!C237:E237</xm:f>
              <xm:sqref>K237</xm:sqref>
            </x14:sparkline>
          </x14:sparklines>
        </x14:sparklineGroup>
        <x14:sparklineGroup type="column" displayEmptyCellsAs="gap">
          <x14:colorSeries rgb="FF000000"/>
          <x14:sparklines>
            <x14:sparkline>
              <xm:f>SPARKLINE!C238:E238</xm:f>
              <xm:sqref>K238</xm:sqref>
            </x14:sparkline>
          </x14:sparklines>
        </x14:sparklineGroup>
        <x14:sparklineGroup type="column" displayEmptyCellsAs="gap">
          <x14:colorSeries rgb="FF000000"/>
          <x14:sparklines>
            <x14:sparkline>
              <xm:f>SPARKLINE!C239:E239</xm:f>
              <xm:sqref>K239</xm:sqref>
            </x14:sparkline>
          </x14:sparklines>
        </x14:sparklineGroup>
        <x14:sparklineGroup type="column" displayEmptyCellsAs="gap">
          <x14:colorSeries rgb="FF000000"/>
          <x14:sparklines>
            <x14:sparkline>
              <xm:f>SPARKLINE!C240:E240</xm:f>
              <xm:sqref>K240</xm:sqref>
            </x14:sparkline>
          </x14:sparklines>
        </x14:sparklineGroup>
        <x14:sparklineGroup type="column" displayEmptyCellsAs="gap">
          <x14:colorSeries rgb="FF000000"/>
          <x14:sparklines>
            <x14:sparkline>
              <xm:f>SPARKLINE!C241:E241</xm:f>
              <xm:sqref>K241</xm:sqref>
            </x14:sparkline>
          </x14:sparklines>
        </x14:sparklineGroup>
        <x14:sparklineGroup type="column" displayEmptyCellsAs="gap">
          <x14:colorSeries rgb="FF000000"/>
          <x14:sparklines>
            <x14:sparkline>
              <xm:f>SPARKLINE!C242:E242</xm:f>
              <xm:sqref>K242</xm:sqref>
            </x14:sparkline>
          </x14:sparklines>
        </x14:sparklineGroup>
        <x14:sparklineGroup type="column" displayEmptyCellsAs="gap">
          <x14:colorSeries rgb="FF000000"/>
          <x14:sparklines>
            <x14:sparkline>
              <xm:f>SPARKLINE!C243:E243</xm:f>
              <xm:sqref>K243</xm:sqref>
            </x14:sparkline>
          </x14:sparklines>
        </x14:sparklineGroup>
        <x14:sparklineGroup type="column" displayEmptyCellsAs="gap">
          <x14:colorSeries rgb="FF000000"/>
          <x14:sparklines>
            <x14:sparkline>
              <xm:f>SPARKLINE!C244:E244</xm:f>
              <xm:sqref>K244</xm:sqref>
            </x14:sparkline>
          </x14:sparklines>
        </x14:sparklineGroup>
        <x14:sparklineGroup type="column" displayEmptyCellsAs="gap">
          <x14:colorSeries rgb="FF000000"/>
          <x14:sparklines>
            <x14:sparkline>
              <xm:f>SPARKLINE!C245:E245</xm:f>
              <xm:sqref>K245</xm:sqref>
            </x14:sparkline>
          </x14:sparklines>
        </x14:sparklineGroup>
        <x14:sparklineGroup type="column" displayEmptyCellsAs="gap">
          <x14:colorSeries rgb="FF000000"/>
          <x14:sparklines>
            <x14:sparkline>
              <xm:f>SPARKLINE!C246:E246</xm:f>
              <xm:sqref>K246</xm:sqref>
            </x14:sparkline>
          </x14:sparklines>
        </x14:sparklineGroup>
        <x14:sparklineGroup type="column" displayEmptyCellsAs="gap">
          <x14:colorSeries rgb="FF000000"/>
          <x14:sparklines>
            <x14:sparkline>
              <xm:f>SPARKLINE!C247:E247</xm:f>
              <xm:sqref>K247</xm:sqref>
            </x14:sparkline>
          </x14:sparklines>
        </x14:sparklineGroup>
        <x14:sparklineGroup type="column" displayEmptyCellsAs="gap">
          <x14:colorSeries rgb="FF000000"/>
          <x14:sparklines>
            <x14:sparkline>
              <xm:f>SPARKLINE!C248:E248</xm:f>
              <xm:sqref>K248</xm:sqref>
            </x14:sparkline>
          </x14:sparklines>
        </x14:sparklineGroup>
        <x14:sparklineGroup type="column" displayEmptyCellsAs="gap">
          <x14:colorSeries rgb="FF000000"/>
          <x14:sparklines>
            <x14:sparkline>
              <xm:f>SPARKLINE!C249:E249</xm:f>
              <xm:sqref>K249</xm:sqref>
            </x14:sparkline>
          </x14:sparklines>
        </x14:sparklineGroup>
        <x14:sparklineGroup type="column" displayEmptyCellsAs="gap">
          <x14:colorSeries rgb="FF000000"/>
          <x14:sparklines>
            <x14:sparkline>
              <xm:f>SPARKLINE!C250:E250</xm:f>
              <xm:sqref>K250</xm:sqref>
            </x14:sparkline>
          </x14:sparklines>
        </x14:sparklineGroup>
        <x14:sparklineGroup type="column" displayEmptyCellsAs="gap">
          <x14:colorSeries rgb="FF000000"/>
          <x14:sparklines>
            <x14:sparkline>
              <xm:f>SPARKLINE!C251:E251</xm:f>
              <xm:sqref>K251</xm:sqref>
            </x14:sparkline>
          </x14:sparklines>
        </x14:sparklineGroup>
        <x14:sparklineGroup type="column" displayEmptyCellsAs="gap">
          <x14:colorSeries rgb="FF000000"/>
          <x14:sparklines>
            <x14:sparkline>
              <xm:f>SPARKLINE!C252:E252</xm:f>
              <xm:sqref>K252</xm:sqref>
            </x14:sparkline>
          </x14:sparklines>
        </x14:sparklineGroup>
        <x14:sparklineGroup type="column" displayEmptyCellsAs="gap">
          <x14:colorSeries rgb="FF000000"/>
          <x14:sparklines>
            <x14:sparkline>
              <xm:f>SPARKLINE!C253:E253</xm:f>
              <xm:sqref>K253</xm:sqref>
            </x14:sparkline>
          </x14:sparklines>
        </x14:sparklineGroup>
        <x14:sparklineGroup type="column" displayEmptyCellsAs="gap">
          <x14:colorSeries rgb="FF000000"/>
          <x14:sparklines>
            <x14:sparkline>
              <xm:f>SPARKLINE!C254:E254</xm:f>
              <xm:sqref>K254</xm:sqref>
            </x14:sparkline>
          </x14:sparklines>
        </x14:sparklineGroup>
        <x14:sparklineGroup type="column" displayEmptyCellsAs="gap">
          <x14:colorSeries rgb="FF000000"/>
          <x14:sparklines>
            <x14:sparkline>
              <xm:f>SPARKLINE!C255:E255</xm:f>
              <xm:sqref>K255</xm:sqref>
            </x14:sparkline>
          </x14:sparklines>
        </x14:sparklineGroup>
        <x14:sparklineGroup type="column" displayEmptyCellsAs="gap">
          <x14:colorSeries rgb="FF000000"/>
          <x14:sparklines>
            <x14:sparkline>
              <xm:f>SPARKLINE!C256:E256</xm:f>
              <xm:sqref>K256</xm:sqref>
            </x14:sparkline>
          </x14:sparklines>
        </x14:sparklineGroup>
        <x14:sparklineGroup type="column" displayEmptyCellsAs="gap">
          <x14:colorSeries rgb="FF000000"/>
          <x14:sparklines>
            <x14:sparkline>
              <xm:f>SPARKLINE!C257:E257</xm:f>
              <xm:sqref>K257</xm:sqref>
            </x14:sparkline>
          </x14:sparklines>
        </x14:sparklineGroup>
        <x14:sparklineGroup type="column" displayEmptyCellsAs="gap">
          <x14:colorSeries rgb="FF000000"/>
          <x14:sparklines>
            <x14:sparkline>
              <xm:f>SPARKLINE!C258:E258</xm:f>
              <xm:sqref>K258</xm:sqref>
            </x14:sparkline>
          </x14:sparklines>
        </x14:sparklineGroup>
        <x14:sparklineGroup type="column" displayEmptyCellsAs="gap">
          <x14:colorSeries rgb="FF000000"/>
          <x14:sparklines>
            <x14:sparkline>
              <xm:f>SPARKLINE!C259:E259</xm:f>
              <xm:sqref>K259</xm:sqref>
            </x14:sparkline>
          </x14:sparklines>
        </x14:sparklineGroup>
        <x14:sparklineGroup type="column" displayEmptyCellsAs="gap">
          <x14:colorSeries rgb="FF000000"/>
          <x14:sparklines>
            <x14:sparkline>
              <xm:f>SPARKLINE!C260:E260</xm:f>
              <xm:sqref>K260</xm:sqref>
            </x14:sparkline>
          </x14:sparklines>
        </x14:sparklineGroup>
        <x14:sparklineGroup type="column" displayEmptyCellsAs="gap">
          <x14:colorSeries rgb="FF000000"/>
          <x14:sparklines>
            <x14:sparkline>
              <xm:f>SPARKLINE!C261:E261</xm:f>
              <xm:sqref>K261</xm:sqref>
            </x14:sparkline>
          </x14:sparklines>
        </x14:sparklineGroup>
        <x14:sparklineGroup type="column" displayEmptyCellsAs="gap">
          <x14:colorSeries rgb="FF000000"/>
          <x14:sparklines>
            <x14:sparkline>
              <xm:f>SPARKLINE!C262:E262</xm:f>
              <xm:sqref>K262</xm:sqref>
            </x14:sparkline>
          </x14:sparklines>
        </x14:sparklineGroup>
        <x14:sparklineGroup type="column" displayEmptyCellsAs="gap">
          <x14:colorSeries rgb="FF000000"/>
          <x14:sparklines>
            <x14:sparkline>
              <xm:f>SPARKLINE!C263:E263</xm:f>
              <xm:sqref>K263</xm:sqref>
            </x14:sparkline>
          </x14:sparklines>
        </x14:sparklineGroup>
        <x14:sparklineGroup type="column" displayEmptyCellsAs="gap">
          <x14:colorSeries rgb="FF000000"/>
          <x14:sparklines>
            <x14:sparkline>
              <xm:f>SPARKLINE!C264:E264</xm:f>
              <xm:sqref>K264</xm:sqref>
            </x14:sparkline>
          </x14:sparklines>
        </x14:sparklineGroup>
        <x14:sparklineGroup type="column" displayEmptyCellsAs="gap">
          <x14:colorSeries rgb="FF000000"/>
          <x14:sparklines>
            <x14:sparkline>
              <xm:f>SPARKLINE!C265:E265</xm:f>
              <xm:sqref>K265</xm:sqref>
            </x14:sparkline>
          </x14:sparklines>
        </x14:sparklineGroup>
        <x14:sparklineGroup type="column" displayEmptyCellsAs="gap">
          <x14:colorSeries rgb="FF000000"/>
          <x14:sparklines>
            <x14:sparkline>
              <xm:f>SPARKLINE!C266:E266</xm:f>
              <xm:sqref>K266</xm:sqref>
            </x14:sparkline>
          </x14:sparklines>
        </x14:sparklineGroup>
        <x14:sparklineGroup type="column" displayEmptyCellsAs="gap">
          <x14:colorSeries rgb="FF000000"/>
          <x14:sparklines>
            <x14:sparkline>
              <xm:f>SPARKLINE!C267:E267</xm:f>
              <xm:sqref>K267</xm:sqref>
            </x14:sparkline>
          </x14:sparklines>
        </x14:sparklineGroup>
        <x14:sparklineGroup type="column" displayEmptyCellsAs="gap">
          <x14:colorSeries rgb="FF000000"/>
          <x14:sparklines>
            <x14:sparkline>
              <xm:f>SPARKLINE!C268:E268</xm:f>
              <xm:sqref>K268</xm:sqref>
            </x14:sparkline>
          </x14:sparklines>
        </x14:sparklineGroup>
        <x14:sparklineGroup type="column" displayEmptyCellsAs="gap">
          <x14:colorSeries rgb="FF000000"/>
          <x14:sparklines>
            <x14:sparkline>
              <xm:f>SPARKLINE!C269:E269</xm:f>
              <xm:sqref>K269</xm:sqref>
            </x14:sparkline>
          </x14:sparklines>
        </x14:sparklineGroup>
        <x14:sparklineGroup type="column" displayEmptyCellsAs="gap">
          <x14:colorSeries rgb="FF000000"/>
          <x14:sparklines>
            <x14:sparkline>
              <xm:f>SPARKLINE!C270:E270</xm:f>
              <xm:sqref>K270</xm:sqref>
            </x14:sparkline>
          </x14:sparklines>
        </x14:sparklineGroup>
        <x14:sparklineGroup type="column" displayEmptyCellsAs="gap">
          <x14:colorSeries rgb="FF000000"/>
          <x14:sparklines>
            <x14:sparkline>
              <xm:f>SPARKLINE!C271:E271</xm:f>
              <xm:sqref>K271</xm:sqref>
            </x14:sparkline>
          </x14:sparklines>
        </x14:sparklineGroup>
        <x14:sparklineGroup type="column" displayEmptyCellsAs="gap">
          <x14:colorSeries rgb="FF000000"/>
          <x14:sparklines>
            <x14:sparkline>
              <xm:f>SPARKLINE!C272:E272</xm:f>
              <xm:sqref>K272</xm:sqref>
            </x14:sparkline>
          </x14:sparklines>
        </x14:sparklineGroup>
        <x14:sparklineGroup type="column" displayEmptyCellsAs="gap">
          <x14:colorSeries rgb="FF000000"/>
          <x14:sparklines>
            <x14:sparkline>
              <xm:f>SPARKLINE!C273:E273</xm:f>
              <xm:sqref>K273</xm:sqref>
            </x14:sparkline>
          </x14:sparklines>
        </x14:sparklineGroup>
        <x14:sparklineGroup type="column" displayEmptyCellsAs="gap">
          <x14:colorSeries rgb="FF000000"/>
          <x14:sparklines>
            <x14:sparkline>
              <xm:f>SPARKLINE!C274:E274</xm:f>
              <xm:sqref>K274</xm:sqref>
            </x14:sparkline>
          </x14:sparklines>
        </x14:sparklineGroup>
        <x14:sparklineGroup type="column" displayEmptyCellsAs="gap">
          <x14:colorSeries rgb="FF000000"/>
          <x14:sparklines>
            <x14:sparkline>
              <xm:f>SPARKLINE!C275:E275</xm:f>
              <xm:sqref>K275</xm:sqref>
            </x14:sparkline>
          </x14:sparklines>
        </x14:sparklineGroup>
        <x14:sparklineGroup type="column" displayEmptyCellsAs="gap">
          <x14:colorSeries rgb="FF000000"/>
          <x14:sparklines>
            <x14:sparkline>
              <xm:f>SPARKLINE!C276:E276</xm:f>
              <xm:sqref>K276</xm:sqref>
            </x14:sparkline>
          </x14:sparklines>
        </x14:sparklineGroup>
        <x14:sparklineGroup type="column" displayEmptyCellsAs="gap">
          <x14:colorSeries rgb="FF000000"/>
          <x14:sparklines>
            <x14:sparkline>
              <xm:f>SPARKLINE!C277:E277</xm:f>
              <xm:sqref>K277</xm:sqref>
            </x14:sparkline>
          </x14:sparklines>
        </x14:sparklineGroup>
        <x14:sparklineGroup type="column" displayEmptyCellsAs="gap">
          <x14:colorSeries rgb="FF000000"/>
          <x14:sparklines>
            <x14:sparkline>
              <xm:f>SPARKLINE!C278:E278</xm:f>
              <xm:sqref>K278</xm:sqref>
            </x14:sparkline>
          </x14:sparklines>
        </x14:sparklineGroup>
        <x14:sparklineGroup type="column" displayEmptyCellsAs="gap">
          <x14:colorSeries rgb="FF000000"/>
          <x14:sparklines>
            <x14:sparkline>
              <xm:f>SPARKLINE!C279:E279</xm:f>
              <xm:sqref>K279</xm:sqref>
            </x14:sparkline>
          </x14:sparklines>
        </x14:sparklineGroup>
        <x14:sparklineGroup type="column" displayEmptyCellsAs="gap">
          <x14:colorSeries rgb="FF000000"/>
          <x14:sparklines>
            <x14:sparkline>
              <xm:f>SPARKLINE!C280:E280</xm:f>
              <xm:sqref>K280</xm:sqref>
            </x14:sparkline>
          </x14:sparklines>
        </x14:sparklineGroup>
        <x14:sparklineGroup type="column" displayEmptyCellsAs="gap">
          <x14:colorSeries rgb="FF000000"/>
          <x14:sparklines>
            <x14:sparkline>
              <xm:f>SPARKLINE!C281:E281</xm:f>
              <xm:sqref>K281</xm:sqref>
            </x14:sparkline>
          </x14:sparklines>
        </x14:sparklineGroup>
        <x14:sparklineGroup type="column" displayEmptyCellsAs="gap">
          <x14:colorSeries rgb="FF000000"/>
          <x14:sparklines>
            <x14:sparkline>
              <xm:f>SPARKLINE!C282:E282</xm:f>
              <xm:sqref>K282</xm:sqref>
            </x14:sparkline>
          </x14:sparklines>
        </x14:sparklineGroup>
        <x14:sparklineGroup type="column" displayEmptyCellsAs="gap">
          <x14:colorSeries rgb="FF000000"/>
          <x14:sparklines>
            <x14:sparkline>
              <xm:f>SPARKLINE!C283:E283</xm:f>
              <xm:sqref>K283</xm:sqref>
            </x14:sparkline>
          </x14:sparklines>
        </x14:sparklineGroup>
        <x14:sparklineGroup type="column" displayEmptyCellsAs="gap">
          <x14:colorSeries rgb="FF000000"/>
          <x14:sparklines>
            <x14:sparkline>
              <xm:f>SPARKLINE!C284:E284</xm:f>
              <xm:sqref>K284</xm:sqref>
            </x14:sparkline>
          </x14:sparklines>
        </x14:sparklineGroup>
        <x14:sparklineGroup type="column" displayEmptyCellsAs="gap">
          <x14:colorSeries rgb="FF000000"/>
          <x14:sparklines>
            <x14:sparkline>
              <xm:f>SPARKLINE!C285:E285</xm:f>
              <xm:sqref>K285</xm:sqref>
            </x14:sparkline>
          </x14:sparklines>
        </x14:sparklineGroup>
        <x14:sparklineGroup type="column" displayEmptyCellsAs="gap">
          <x14:colorSeries rgb="FF000000"/>
          <x14:sparklines>
            <x14:sparkline>
              <xm:f>SPARKLINE!C286:E286</xm:f>
              <xm:sqref>K286</xm:sqref>
            </x14:sparkline>
          </x14:sparklines>
        </x14:sparklineGroup>
        <x14:sparklineGroup type="column" displayEmptyCellsAs="gap">
          <x14:colorSeries rgb="FF000000"/>
          <x14:sparklines>
            <x14:sparkline>
              <xm:f>SPARKLINE!C287:E287</xm:f>
              <xm:sqref>K287</xm:sqref>
            </x14:sparkline>
          </x14:sparklines>
        </x14:sparklineGroup>
        <x14:sparklineGroup type="column" displayEmptyCellsAs="gap">
          <x14:colorSeries rgb="FF000000"/>
          <x14:sparklines>
            <x14:sparkline>
              <xm:f>SPARKLINE!C288:E288</xm:f>
              <xm:sqref>K288</xm:sqref>
            </x14:sparkline>
          </x14:sparklines>
        </x14:sparklineGroup>
        <x14:sparklineGroup type="column" displayEmptyCellsAs="gap">
          <x14:colorSeries rgb="FF000000"/>
          <x14:sparklines>
            <x14:sparkline>
              <xm:f>SPARKLINE!C289:E289</xm:f>
              <xm:sqref>K289</xm:sqref>
            </x14:sparkline>
          </x14:sparklines>
        </x14:sparklineGroup>
        <x14:sparklineGroup type="column" displayEmptyCellsAs="gap">
          <x14:colorSeries rgb="FF000000"/>
          <x14:sparklines>
            <x14:sparkline>
              <xm:f>SPARKLINE!C290:E290</xm:f>
              <xm:sqref>K290</xm:sqref>
            </x14:sparkline>
          </x14:sparklines>
        </x14:sparklineGroup>
        <x14:sparklineGroup type="column" displayEmptyCellsAs="gap">
          <x14:colorSeries rgb="FF000000"/>
          <x14:sparklines>
            <x14:sparkline>
              <xm:f>SPARKLINE!C291:E291</xm:f>
              <xm:sqref>K291</xm:sqref>
            </x14:sparkline>
          </x14:sparklines>
        </x14:sparklineGroup>
        <x14:sparklineGroup type="column" displayEmptyCellsAs="gap">
          <x14:colorSeries rgb="FF000000"/>
          <x14:sparklines>
            <x14:sparkline>
              <xm:f>SPARKLINE!C292:E292</xm:f>
              <xm:sqref>K292</xm:sqref>
            </x14:sparkline>
          </x14:sparklines>
        </x14:sparklineGroup>
        <x14:sparklineGroup type="column" displayEmptyCellsAs="gap">
          <x14:colorSeries rgb="FF000000"/>
          <x14:sparklines>
            <x14:sparkline>
              <xm:f>SPARKLINE!C293:E293</xm:f>
              <xm:sqref>K293</xm:sqref>
            </x14:sparkline>
          </x14:sparklines>
        </x14:sparklineGroup>
        <x14:sparklineGroup type="column" displayEmptyCellsAs="gap">
          <x14:colorSeries rgb="FF000000"/>
          <x14:sparklines>
            <x14:sparkline>
              <xm:f>SPARKLINE!C294:E294</xm:f>
              <xm:sqref>K294</xm:sqref>
            </x14:sparkline>
          </x14:sparklines>
        </x14:sparklineGroup>
        <x14:sparklineGroup type="column" displayEmptyCellsAs="gap">
          <x14:colorSeries rgb="FF000000"/>
          <x14:sparklines>
            <x14:sparkline>
              <xm:f>SPARKLINE!C295:E295</xm:f>
              <xm:sqref>K295</xm:sqref>
            </x14:sparkline>
          </x14:sparklines>
        </x14:sparklineGroup>
        <x14:sparklineGroup type="column" displayEmptyCellsAs="gap">
          <x14:colorSeries rgb="FF000000"/>
          <x14:sparklines>
            <x14:sparkline>
              <xm:f>SPARKLINE!C296:E296</xm:f>
              <xm:sqref>K296</xm:sqref>
            </x14:sparkline>
          </x14:sparklines>
        </x14:sparklineGroup>
        <x14:sparklineGroup type="column" displayEmptyCellsAs="gap">
          <x14:colorSeries rgb="FF000000"/>
          <x14:sparklines>
            <x14:sparkline>
              <xm:f>SPARKLINE!C297:E297</xm:f>
              <xm:sqref>K297</xm:sqref>
            </x14:sparkline>
          </x14:sparklines>
        </x14:sparklineGroup>
        <x14:sparklineGroup type="column" displayEmptyCellsAs="gap">
          <x14:colorSeries rgb="FF000000"/>
          <x14:sparklines>
            <x14:sparkline>
              <xm:f>SPARKLINE!C298:E298</xm:f>
              <xm:sqref>K298</xm:sqref>
            </x14:sparkline>
          </x14:sparklines>
        </x14:sparklineGroup>
        <x14:sparklineGroup type="column" displayEmptyCellsAs="gap">
          <x14:colorSeries rgb="FF000000"/>
          <x14:sparklines>
            <x14:sparkline>
              <xm:f>SPARKLINE!C299:E299</xm:f>
              <xm:sqref>K299</xm:sqref>
            </x14:sparkline>
          </x14:sparklines>
        </x14:sparklineGroup>
        <x14:sparklineGroup type="column" displayEmptyCellsAs="gap">
          <x14:colorSeries rgb="FF000000"/>
          <x14:sparklines>
            <x14:sparkline>
              <xm:f>SPARKLINE!C300:E300</xm:f>
              <xm:sqref>K300</xm:sqref>
            </x14:sparkline>
          </x14:sparklines>
        </x14:sparklineGroup>
        <x14:sparklineGroup type="column" displayEmptyCellsAs="gap">
          <x14:colorSeries rgb="FF000000"/>
          <x14:sparklines>
            <x14:sparkline>
              <xm:f>SPARKLINE!C301:E301</xm:f>
              <xm:sqref>K301</xm:sqref>
            </x14:sparkline>
          </x14:sparklines>
        </x14:sparklineGroup>
        <x14:sparklineGroup type="column" displayEmptyCellsAs="gap">
          <x14:colorSeries rgb="FF000000"/>
          <x14:sparklines>
            <x14:sparkline>
              <xm:f>SPARKLINE!C302:E302</xm:f>
              <xm:sqref>K302</xm:sqref>
            </x14:sparkline>
          </x14:sparklines>
        </x14:sparklineGroup>
        <x14:sparklineGroup type="column" displayEmptyCellsAs="gap">
          <x14:colorSeries rgb="FF000000"/>
          <x14:sparklines>
            <x14:sparkline>
              <xm:f>SPARKLINE!C303:E303</xm:f>
              <xm:sqref>K303</xm:sqref>
            </x14:sparkline>
          </x14:sparklines>
        </x14:sparklineGroup>
        <x14:sparklineGroup type="column" displayEmptyCellsAs="gap">
          <x14:colorSeries rgb="FF000000"/>
          <x14:sparklines>
            <x14:sparkline>
              <xm:f>SPARKLINE!C304:E304</xm:f>
              <xm:sqref>K304</xm:sqref>
            </x14:sparkline>
          </x14:sparklines>
        </x14:sparklineGroup>
        <x14:sparklineGroup type="column" displayEmptyCellsAs="gap">
          <x14:colorSeries rgb="FF000000"/>
          <x14:sparklines>
            <x14:sparkline>
              <xm:f>SPARKLINE!C305:E305</xm:f>
              <xm:sqref>K305</xm:sqref>
            </x14:sparkline>
          </x14:sparklines>
        </x14:sparklineGroup>
        <x14:sparklineGroup type="column" displayEmptyCellsAs="gap">
          <x14:colorSeries rgb="FF000000"/>
          <x14:sparklines>
            <x14:sparkline>
              <xm:f>SPARKLINE!C306:E306</xm:f>
              <xm:sqref>K306</xm:sqref>
            </x14:sparkline>
          </x14:sparklines>
        </x14:sparklineGroup>
        <x14:sparklineGroup type="column" displayEmptyCellsAs="gap">
          <x14:colorSeries rgb="FF000000"/>
          <x14:sparklines>
            <x14:sparkline>
              <xm:f>SPARKLINE!C307:E307</xm:f>
              <xm:sqref>K307</xm:sqref>
            </x14:sparkline>
          </x14:sparklines>
        </x14:sparklineGroup>
        <x14:sparklineGroup type="column" displayEmptyCellsAs="gap">
          <x14:colorSeries rgb="FF000000"/>
          <x14:sparklines>
            <x14:sparkline>
              <xm:f>SPARKLINE!C308:E308</xm:f>
              <xm:sqref>K308</xm:sqref>
            </x14:sparkline>
          </x14:sparklines>
        </x14:sparklineGroup>
        <x14:sparklineGroup type="column" displayEmptyCellsAs="gap">
          <x14:colorSeries rgb="FF000000"/>
          <x14:sparklines>
            <x14:sparkline>
              <xm:f>SPARKLINE!C309:E309</xm:f>
              <xm:sqref>K309</xm:sqref>
            </x14:sparkline>
          </x14:sparklines>
        </x14:sparklineGroup>
        <x14:sparklineGroup type="column" displayEmptyCellsAs="gap">
          <x14:colorSeries rgb="FF000000"/>
          <x14:sparklines>
            <x14:sparkline>
              <xm:f>SPARKLINE!C310:E310</xm:f>
              <xm:sqref>K310</xm:sqref>
            </x14:sparkline>
          </x14:sparklines>
        </x14:sparklineGroup>
        <x14:sparklineGroup type="column" displayEmptyCellsAs="gap">
          <x14:colorSeries rgb="FF000000"/>
          <x14:sparklines>
            <x14:sparkline>
              <xm:f>SPARKLINE!C311:E311</xm:f>
              <xm:sqref>K311</xm:sqref>
            </x14:sparkline>
          </x14:sparklines>
        </x14:sparklineGroup>
        <x14:sparklineGroup type="column" displayEmptyCellsAs="gap">
          <x14:colorSeries rgb="FF000000"/>
          <x14:sparklines>
            <x14:sparkline>
              <xm:f>SPARKLINE!C312:E312</xm:f>
              <xm:sqref>K312</xm:sqref>
            </x14:sparkline>
          </x14:sparklines>
        </x14:sparklineGroup>
        <x14:sparklineGroup type="column" displayEmptyCellsAs="gap">
          <x14:colorSeries rgb="FF000000"/>
          <x14:sparklines>
            <x14:sparkline>
              <xm:f>SPARKLINE!C313:E313</xm:f>
              <xm:sqref>K313</xm:sqref>
            </x14:sparkline>
          </x14:sparklines>
        </x14:sparklineGroup>
        <x14:sparklineGroup type="column" displayEmptyCellsAs="gap">
          <x14:colorSeries rgb="FF000000"/>
          <x14:sparklines>
            <x14:sparkline>
              <xm:f>SPARKLINE!C314:E314</xm:f>
              <xm:sqref>K314</xm:sqref>
            </x14:sparkline>
          </x14:sparklines>
        </x14:sparklineGroup>
        <x14:sparklineGroup type="column" displayEmptyCellsAs="gap">
          <x14:colorSeries rgb="FF000000"/>
          <x14:sparklines>
            <x14:sparkline>
              <xm:f>SPARKLINE!C315:E315</xm:f>
              <xm:sqref>K315</xm:sqref>
            </x14:sparkline>
          </x14:sparklines>
        </x14:sparklineGroup>
        <x14:sparklineGroup type="column" displayEmptyCellsAs="gap">
          <x14:colorSeries rgb="FF000000"/>
          <x14:sparklines>
            <x14:sparkline>
              <xm:f>SPARKLINE!C316:E316</xm:f>
              <xm:sqref>K316</xm:sqref>
            </x14:sparkline>
          </x14:sparklines>
        </x14:sparklineGroup>
        <x14:sparklineGroup type="column" displayEmptyCellsAs="gap">
          <x14:colorSeries rgb="FF000000"/>
          <x14:sparklines>
            <x14:sparkline>
              <xm:f>SPARKLINE!C317:E317</xm:f>
              <xm:sqref>K317</xm:sqref>
            </x14:sparkline>
          </x14:sparklines>
        </x14:sparklineGroup>
        <x14:sparklineGroup type="column" displayEmptyCellsAs="gap">
          <x14:colorSeries rgb="FF000000"/>
          <x14:sparklines>
            <x14:sparkline>
              <xm:f>SPARKLINE!C318:E318</xm:f>
              <xm:sqref>K318</xm:sqref>
            </x14:sparkline>
          </x14:sparklines>
        </x14:sparklineGroup>
        <x14:sparklineGroup type="column" displayEmptyCellsAs="gap">
          <x14:colorSeries rgb="FF000000"/>
          <x14:sparklines>
            <x14:sparkline>
              <xm:f>SPARKLINE!C319:E319</xm:f>
              <xm:sqref>K319</xm:sqref>
            </x14:sparkline>
          </x14:sparklines>
        </x14:sparklineGroup>
        <x14:sparklineGroup type="column" displayEmptyCellsAs="gap">
          <x14:colorSeries rgb="FF000000"/>
          <x14:sparklines>
            <x14:sparkline>
              <xm:f>SPARKLINE!C320:E320</xm:f>
              <xm:sqref>K320</xm:sqref>
            </x14:sparkline>
          </x14:sparklines>
        </x14:sparklineGroup>
        <x14:sparklineGroup type="column" displayEmptyCellsAs="gap">
          <x14:colorSeries rgb="FF000000"/>
          <x14:sparklines>
            <x14:sparkline>
              <xm:f>SPARKLINE!C321:E321</xm:f>
              <xm:sqref>K321</xm:sqref>
            </x14:sparkline>
          </x14:sparklines>
        </x14:sparklineGroup>
        <x14:sparklineGroup type="column" displayEmptyCellsAs="gap">
          <x14:colorSeries rgb="FF000000"/>
          <x14:sparklines>
            <x14:sparkline>
              <xm:f>SPARKLINE!C322:E322</xm:f>
              <xm:sqref>K322</xm:sqref>
            </x14:sparkline>
          </x14:sparklines>
        </x14:sparklineGroup>
        <x14:sparklineGroup type="column" displayEmptyCellsAs="gap">
          <x14:colorSeries rgb="FF000000"/>
          <x14:sparklines>
            <x14:sparkline>
              <xm:f>SPARKLINE!C323:E323</xm:f>
              <xm:sqref>K323</xm:sqref>
            </x14:sparkline>
          </x14:sparklines>
        </x14:sparklineGroup>
        <x14:sparklineGroup type="column" displayEmptyCellsAs="gap">
          <x14:colorSeries rgb="FF000000"/>
          <x14:sparklines>
            <x14:sparkline>
              <xm:f>SPARKLINE!C324:E324</xm:f>
              <xm:sqref>K324</xm:sqref>
            </x14:sparkline>
          </x14:sparklines>
        </x14:sparklineGroup>
        <x14:sparklineGroup type="column" displayEmptyCellsAs="gap">
          <x14:colorSeries rgb="FF000000"/>
          <x14:sparklines>
            <x14:sparkline>
              <xm:f>SPARKLINE!C325:E325</xm:f>
              <xm:sqref>K325</xm:sqref>
            </x14:sparkline>
          </x14:sparklines>
        </x14:sparklineGroup>
        <x14:sparklineGroup type="column" displayEmptyCellsAs="gap">
          <x14:colorSeries rgb="FF000000"/>
          <x14:sparklines>
            <x14:sparkline>
              <xm:f>SPARKLINE!C326:E326</xm:f>
              <xm:sqref>K326</xm:sqref>
            </x14:sparkline>
          </x14:sparklines>
        </x14:sparklineGroup>
        <x14:sparklineGroup type="column" displayEmptyCellsAs="gap">
          <x14:colorSeries rgb="FF000000"/>
          <x14:sparklines>
            <x14:sparkline>
              <xm:f>SPARKLINE!C327:E327</xm:f>
              <xm:sqref>K327</xm:sqref>
            </x14:sparkline>
          </x14:sparklines>
        </x14:sparklineGroup>
        <x14:sparklineGroup type="column" displayEmptyCellsAs="gap">
          <x14:colorSeries rgb="FF000000"/>
          <x14:sparklines>
            <x14:sparkline>
              <xm:f>SPARKLINE!C328:E328</xm:f>
              <xm:sqref>K328</xm:sqref>
            </x14:sparkline>
          </x14:sparklines>
        </x14:sparklineGroup>
        <x14:sparklineGroup type="column" displayEmptyCellsAs="gap">
          <x14:colorSeries rgb="FF000000"/>
          <x14:sparklines>
            <x14:sparkline>
              <xm:f>SPARKLINE!C329:E329</xm:f>
              <xm:sqref>K329</xm:sqref>
            </x14:sparkline>
          </x14:sparklines>
        </x14:sparklineGroup>
        <x14:sparklineGroup type="column" displayEmptyCellsAs="gap">
          <x14:colorSeries rgb="FF000000"/>
          <x14:sparklines>
            <x14:sparkline>
              <xm:f>SPARKLINE!C330:E330</xm:f>
              <xm:sqref>K330</xm:sqref>
            </x14:sparkline>
          </x14:sparklines>
        </x14:sparklineGroup>
        <x14:sparklineGroup type="column" displayEmptyCellsAs="gap">
          <x14:colorSeries rgb="FF000000"/>
          <x14:sparklines>
            <x14:sparkline>
              <xm:f>SPARKLINE!C331:E331</xm:f>
              <xm:sqref>K331</xm:sqref>
            </x14:sparkline>
          </x14:sparklines>
        </x14:sparklineGroup>
        <x14:sparklineGroup type="column" displayEmptyCellsAs="gap">
          <x14:colorSeries rgb="FF000000"/>
          <x14:sparklines>
            <x14:sparkline>
              <xm:f>SPARKLINE!C332:E332</xm:f>
              <xm:sqref>K332</xm:sqref>
            </x14:sparkline>
          </x14:sparklines>
        </x14:sparklineGroup>
        <x14:sparklineGroup type="column" displayEmptyCellsAs="gap">
          <x14:colorSeries rgb="FF000000"/>
          <x14:sparklines>
            <x14:sparkline>
              <xm:f>SPARKLINE!C333:E333</xm:f>
              <xm:sqref>K333</xm:sqref>
            </x14:sparkline>
          </x14:sparklines>
        </x14:sparklineGroup>
        <x14:sparklineGroup type="column" displayEmptyCellsAs="gap">
          <x14:colorSeries rgb="FF000000"/>
          <x14:sparklines>
            <x14:sparkline>
              <xm:f>SPARKLINE!C334:E334</xm:f>
              <xm:sqref>K334</xm:sqref>
            </x14:sparkline>
          </x14:sparklines>
        </x14:sparklineGroup>
        <x14:sparklineGroup type="column" displayEmptyCellsAs="gap">
          <x14:colorSeries rgb="FF000000"/>
          <x14:sparklines>
            <x14:sparkline>
              <xm:f>SPARKLINE!C335:E335</xm:f>
              <xm:sqref>K335</xm:sqref>
            </x14:sparkline>
          </x14:sparklines>
        </x14:sparklineGroup>
        <x14:sparklineGroup type="column" displayEmptyCellsAs="gap">
          <x14:colorSeries rgb="FF000000"/>
          <x14:sparklines>
            <x14:sparkline>
              <xm:f>SPARKLINE!C336:E336</xm:f>
              <xm:sqref>K336</xm:sqref>
            </x14:sparkline>
          </x14:sparklines>
        </x14:sparklineGroup>
        <x14:sparklineGroup type="column" displayEmptyCellsAs="gap">
          <x14:colorSeries rgb="FF000000"/>
          <x14:sparklines>
            <x14:sparkline>
              <xm:f>SPARKLINE!C337:E337</xm:f>
              <xm:sqref>K337</xm:sqref>
            </x14:sparkline>
          </x14:sparklines>
        </x14:sparklineGroup>
        <x14:sparklineGroup type="column" displayEmptyCellsAs="gap">
          <x14:colorSeries rgb="FF000000"/>
          <x14:sparklines>
            <x14:sparkline>
              <xm:f>SPARKLINE!C338:E338</xm:f>
              <xm:sqref>K338</xm:sqref>
            </x14:sparkline>
          </x14:sparklines>
        </x14:sparklineGroup>
        <x14:sparklineGroup type="column" displayEmptyCellsAs="gap">
          <x14:colorSeries rgb="FF000000"/>
          <x14:sparklines>
            <x14:sparkline>
              <xm:f>SPARKLINE!C339:E339</xm:f>
              <xm:sqref>K339</xm:sqref>
            </x14:sparkline>
          </x14:sparklines>
        </x14:sparklineGroup>
        <x14:sparklineGroup type="column" displayEmptyCellsAs="gap">
          <x14:colorSeries rgb="FF000000"/>
          <x14:sparklines>
            <x14:sparkline>
              <xm:f>SPARKLINE!C340:E340</xm:f>
              <xm:sqref>K340</xm:sqref>
            </x14:sparkline>
          </x14:sparklines>
        </x14:sparklineGroup>
        <x14:sparklineGroup type="column" displayEmptyCellsAs="gap">
          <x14:colorSeries rgb="FF000000"/>
          <x14:sparklines>
            <x14:sparkline>
              <xm:f>SPARKLINE!C341:E341</xm:f>
              <xm:sqref>K341</xm:sqref>
            </x14:sparkline>
          </x14:sparklines>
        </x14:sparklineGroup>
        <x14:sparklineGroup type="column" displayEmptyCellsAs="gap">
          <x14:colorSeries rgb="FF000000"/>
          <x14:sparklines>
            <x14:sparkline>
              <xm:f>SPARKLINE!C342:E342</xm:f>
              <xm:sqref>K342</xm:sqref>
            </x14:sparkline>
          </x14:sparklines>
        </x14:sparklineGroup>
        <x14:sparklineGroup type="column" displayEmptyCellsAs="gap">
          <x14:colorSeries rgb="FF000000"/>
          <x14:sparklines>
            <x14:sparkline>
              <xm:f>SPARKLINE!C343:E343</xm:f>
              <xm:sqref>K343</xm:sqref>
            </x14:sparkline>
          </x14:sparklines>
        </x14:sparklineGroup>
        <x14:sparklineGroup type="column" displayEmptyCellsAs="gap">
          <x14:colorSeries rgb="FF000000"/>
          <x14:sparklines>
            <x14:sparkline>
              <xm:f>SPARKLINE!C344:E344</xm:f>
              <xm:sqref>K344</xm:sqref>
            </x14:sparkline>
          </x14:sparklines>
        </x14:sparklineGroup>
        <x14:sparklineGroup type="column" displayEmptyCellsAs="gap">
          <x14:colorSeries rgb="FF000000"/>
          <x14:sparklines>
            <x14:sparkline>
              <xm:f>SPARKLINE!C345:E345</xm:f>
              <xm:sqref>K345</xm:sqref>
            </x14:sparkline>
          </x14:sparklines>
        </x14:sparklineGroup>
        <x14:sparklineGroup type="column" displayEmptyCellsAs="gap">
          <x14:colorSeries rgb="FF000000"/>
          <x14:sparklines>
            <x14:sparkline>
              <xm:f>SPARKLINE!C346:E346</xm:f>
              <xm:sqref>K346</xm:sqref>
            </x14:sparkline>
          </x14:sparklines>
        </x14:sparklineGroup>
        <x14:sparklineGroup type="column" displayEmptyCellsAs="gap">
          <x14:colorSeries rgb="FF000000"/>
          <x14:sparklines>
            <x14:sparkline>
              <xm:f>SPARKLINE!C347:E347</xm:f>
              <xm:sqref>K347</xm:sqref>
            </x14:sparkline>
          </x14:sparklines>
        </x14:sparklineGroup>
        <x14:sparklineGroup type="column" displayEmptyCellsAs="gap">
          <x14:colorSeries rgb="FF000000"/>
          <x14:sparklines>
            <x14:sparkline>
              <xm:f>SPARKLINE!C348:E348</xm:f>
              <xm:sqref>K348</xm:sqref>
            </x14:sparkline>
          </x14:sparklines>
        </x14:sparklineGroup>
        <x14:sparklineGroup type="column" displayEmptyCellsAs="gap">
          <x14:colorSeries rgb="FF000000"/>
          <x14:sparklines>
            <x14:sparkline>
              <xm:f>SPARKLINE!C349:E349</xm:f>
              <xm:sqref>K349</xm:sqref>
            </x14:sparkline>
          </x14:sparklines>
        </x14:sparklineGroup>
        <x14:sparklineGroup type="column" displayEmptyCellsAs="gap">
          <x14:colorSeries rgb="FF000000"/>
          <x14:sparklines>
            <x14:sparkline>
              <xm:f>SPARKLINE!C350:E350</xm:f>
              <xm:sqref>K350</xm:sqref>
            </x14:sparkline>
          </x14:sparklines>
        </x14:sparklineGroup>
        <x14:sparklineGroup type="column" displayEmptyCellsAs="gap">
          <x14:colorSeries rgb="FF000000"/>
          <x14:sparklines>
            <x14:sparkline>
              <xm:f>SPARKLINE!C351:E351</xm:f>
              <xm:sqref>K351</xm:sqref>
            </x14:sparkline>
          </x14:sparklines>
        </x14:sparklineGroup>
        <x14:sparklineGroup type="column" displayEmptyCellsAs="gap">
          <x14:colorSeries rgb="FF000000"/>
          <x14:sparklines>
            <x14:sparkline>
              <xm:f>SPARKLINE!C352:E352</xm:f>
              <xm:sqref>K352</xm:sqref>
            </x14:sparkline>
          </x14:sparklines>
        </x14:sparklineGroup>
        <x14:sparklineGroup type="column" displayEmptyCellsAs="gap">
          <x14:colorSeries rgb="FF000000"/>
          <x14:sparklines>
            <x14:sparkline>
              <xm:f>SPARKLINE!C353:E353</xm:f>
              <xm:sqref>K353</xm:sqref>
            </x14:sparkline>
          </x14:sparklines>
        </x14:sparklineGroup>
        <x14:sparklineGroup type="column" displayEmptyCellsAs="gap">
          <x14:colorSeries rgb="FF000000"/>
          <x14:sparklines>
            <x14:sparkline>
              <xm:f>SPARKLINE!C354:E354</xm:f>
              <xm:sqref>K354</xm:sqref>
            </x14:sparkline>
          </x14:sparklines>
        </x14:sparklineGroup>
        <x14:sparklineGroup type="column" displayEmptyCellsAs="gap">
          <x14:colorSeries rgb="FF000000"/>
          <x14:sparklines>
            <x14:sparkline>
              <xm:f>SPARKLINE!C355:E355</xm:f>
              <xm:sqref>K355</xm:sqref>
            </x14:sparkline>
          </x14:sparklines>
        </x14:sparklineGroup>
        <x14:sparklineGroup type="column" displayEmptyCellsAs="gap">
          <x14:colorSeries rgb="FF000000"/>
          <x14:sparklines>
            <x14:sparkline>
              <xm:f>SPARKLINE!C356:E356</xm:f>
              <xm:sqref>K356</xm:sqref>
            </x14:sparkline>
          </x14:sparklines>
        </x14:sparklineGroup>
        <x14:sparklineGroup type="column" displayEmptyCellsAs="gap">
          <x14:colorSeries rgb="FF000000"/>
          <x14:sparklines>
            <x14:sparkline>
              <xm:f>SPARKLINE!C357:E357</xm:f>
              <xm:sqref>K357</xm:sqref>
            </x14:sparkline>
          </x14:sparklines>
        </x14:sparklineGroup>
        <x14:sparklineGroup type="column" displayEmptyCellsAs="gap">
          <x14:colorSeries rgb="FF000000"/>
          <x14:sparklines>
            <x14:sparkline>
              <xm:f>SPARKLINE!C358:E358</xm:f>
              <xm:sqref>K358</xm:sqref>
            </x14:sparkline>
          </x14:sparklines>
        </x14:sparklineGroup>
        <x14:sparklineGroup type="column" displayEmptyCellsAs="gap">
          <x14:colorSeries rgb="FF000000"/>
          <x14:sparklines>
            <x14:sparkline>
              <xm:f>SPARKLINE!C359:E359</xm:f>
              <xm:sqref>K359</xm:sqref>
            </x14:sparkline>
          </x14:sparklines>
        </x14:sparklineGroup>
        <x14:sparklineGroup type="column" displayEmptyCellsAs="gap">
          <x14:colorSeries rgb="FF000000"/>
          <x14:sparklines>
            <x14:sparkline>
              <xm:f>SPARKLINE!C360:E360</xm:f>
              <xm:sqref>K360</xm:sqref>
            </x14:sparkline>
          </x14:sparklines>
        </x14:sparklineGroup>
        <x14:sparklineGroup type="column" displayEmptyCellsAs="gap">
          <x14:colorSeries rgb="FF000000"/>
          <x14:sparklines>
            <x14:sparkline>
              <xm:f>SPARKLINE!C361:E361</xm:f>
              <xm:sqref>K361</xm:sqref>
            </x14:sparkline>
          </x14:sparklines>
        </x14:sparklineGroup>
        <x14:sparklineGroup type="column" displayEmptyCellsAs="gap">
          <x14:colorSeries rgb="FF000000"/>
          <x14:sparklines>
            <x14:sparkline>
              <xm:f>SPARKLINE!C362:E362</xm:f>
              <xm:sqref>K362</xm:sqref>
            </x14:sparkline>
          </x14:sparklines>
        </x14:sparklineGroup>
        <x14:sparklineGroup type="column" displayEmptyCellsAs="gap">
          <x14:colorSeries rgb="FF000000"/>
          <x14:sparklines>
            <x14:sparkline>
              <xm:f>SPARKLINE!C363:E363</xm:f>
              <xm:sqref>K363</xm:sqref>
            </x14:sparkline>
          </x14:sparklines>
        </x14:sparklineGroup>
        <x14:sparklineGroup type="column" displayEmptyCellsAs="gap">
          <x14:colorSeries rgb="FF000000"/>
          <x14:sparklines>
            <x14:sparkline>
              <xm:f>SPARKLINE!C364:E364</xm:f>
              <xm:sqref>K364</xm:sqref>
            </x14:sparkline>
          </x14:sparklines>
        </x14:sparklineGroup>
        <x14:sparklineGroup type="column" displayEmptyCellsAs="gap">
          <x14:colorSeries rgb="FF000000"/>
          <x14:sparklines>
            <x14:sparkline>
              <xm:f>SPARKLINE!C365:E365</xm:f>
              <xm:sqref>K365</xm:sqref>
            </x14:sparkline>
          </x14:sparklines>
        </x14:sparklineGroup>
        <x14:sparklineGroup type="column" displayEmptyCellsAs="gap">
          <x14:colorSeries rgb="FF000000"/>
          <x14:sparklines>
            <x14:sparkline>
              <xm:f>SPARKLINE!C366:E366</xm:f>
              <xm:sqref>K366</xm:sqref>
            </x14:sparkline>
          </x14:sparklines>
        </x14:sparklineGroup>
        <x14:sparklineGroup type="column" displayEmptyCellsAs="gap">
          <x14:colorSeries rgb="FF000000"/>
          <x14:sparklines>
            <x14:sparkline>
              <xm:f>SPARKLINE!C367:E367</xm:f>
              <xm:sqref>K367</xm:sqref>
            </x14:sparkline>
          </x14:sparklines>
        </x14:sparklineGroup>
        <x14:sparklineGroup type="column" displayEmptyCellsAs="gap">
          <x14:colorSeries rgb="FF000000"/>
          <x14:sparklines>
            <x14:sparkline>
              <xm:f>SPARKLINE!C368:E368</xm:f>
              <xm:sqref>K368</xm:sqref>
            </x14:sparkline>
          </x14:sparklines>
        </x14:sparklineGroup>
        <x14:sparklineGroup type="column" displayEmptyCellsAs="gap">
          <x14:colorSeries rgb="FF000000"/>
          <x14:sparklines>
            <x14:sparkline>
              <xm:f>SPARKLINE!C369:E369</xm:f>
              <xm:sqref>K369</xm:sqref>
            </x14:sparkline>
          </x14:sparklines>
        </x14:sparklineGroup>
        <x14:sparklineGroup type="column" displayEmptyCellsAs="gap">
          <x14:colorSeries rgb="FF000000"/>
          <x14:sparklines>
            <x14:sparkline>
              <xm:f>SPARKLINE!C370:E370</xm:f>
              <xm:sqref>K370</xm:sqref>
            </x14:sparkline>
          </x14:sparklines>
        </x14:sparklineGroup>
        <x14:sparklineGroup type="column" displayEmptyCellsAs="gap">
          <x14:colorSeries rgb="FF000000"/>
          <x14:sparklines>
            <x14:sparkline>
              <xm:f>SPARKLINE!C371:E371</xm:f>
              <xm:sqref>K371</xm:sqref>
            </x14:sparkline>
          </x14:sparklines>
        </x14:sparklineGroup>
        <x14:sparklineGroup type="column" displayEmptyCellsAs="gap">
          <x14:colorSeries rgb="FF000000"/>
          <x14:sparklines>
            <x14:sparkline>
              <xm:f>SPARKLINE!C372:E372</xm:f>
              <xm:sqref>K372</xm:sqref>
            </x14:sparkline>
          </x14:sparklines>
        </x14:sparklineGroup>
        <x14:sparklineGroup type="column" displayEmptyCellsAs="gap">
          <x14:colorSeries rgb="FF000000"/>
          <x14:sparklines>
            <x14:sparkline>
              <xm:f>SPARKLINE!C373:E373</xm:f>
              <xm:sqref>K373</xm:sqref>
            </x14:sparkline>
          </x14:sparklines>
        </x14:sparklineGroup>
        <x14:sparklineGroup type="column" displayEmptyCellsAs="gap">
          <x14:colorSeries rgb="FF000000"/>
          <x14:sparklines>
            <x14:sparkline>
              <xm:f>SPARKLINE!C374:E374</xm:f>
              <xm:sqref>K374</xm:sqref>
            </x14:sparkline>
          </x14:sparklines>
        </x14:sparklineGroup>
        <x14:sparklineGroup type="column" displayEmptyCellsAs="gap">
          <x14:colorSeries rgb="FF000000"/>
          <x14:sparklines>
            <x14:sparkline>
              <xm:f>SPARKLINE!C375:E375</xm:f>
              <xm:sqref>K375</xm:sqref>
            </x14:sparkline>
          </x14:sparklines>
        </x14:sparklineGroup>
        <x14:sparklineGroup type="column" displayEmptyCellsAs="gap">
          <x14:colorSeries rgb="FF000000"/>
          <x14:sparklines>
            <x14:sparkline>
              <xm:f>SPARKLINE!C376:E376</xm:f>
              <xm:sqref>K376</xm:sqref>
            </x14:sparkline>
          </x14:sparklines>
        </x14:sparklineGroup>
        <x14:sparklineGroup type="column" displayEmptyCellsAs="gap">
          <x14:colorSeries rgb="FF000000"/>
          <x14:sparklines>
            <x14:sparkline>
              <xm:f>SPARKLINE!C377:E377</xm:f>
              <xm:sqref>K377</xm:sqref>
            </x14:sparkline>
          </x14:sparklines>
        </x14:sparklineGroup>
        <x14:sparklineGroup type="column" displayEmptyCellsAs="gap">
          <x14:colorSeries rgb="FF000000"/>
          <x14:sparklines>
            <x14:sparkline>
              <xm:f>SPARKLINE!C378:E378</xm:f>
              <xm:sqref>K378</xm:sqref>
            </x14:sparkline>
          </x14:sparklines>
        </x14:sparklineGroup>
        <x14:sparklineGroup type="column" displayEmptyCellsAs="gap">
          <x14:colorSeries rgb="FF000000"/>
          <x14:sparklines>
            <x14:sparkline>
              <xm:f>SPARKLINE!C379:E379</xm:f>
              <xm:sqref>K379</xm:sqref>
            </x14:sparkline>
          </x14:sparklines>
        </x14:sparklineGroup>
        <x14:sparklineGroup type="column" displayEmptyCellsAs="gap">
          <x14:colorSeries rgb="FF000000"/>
          <x14:sparklines>
            <x14:sparkline>
              <xm:f>SPARKLINE!C380:E380</xm:f>
              <xm:sqref>K380</xm:sqref>
            </x14:sparkline>
          </x14:sparklines>
        </x14:sparklineGroup>
        <x14:sparklineGroup type="column" displayEmptyCellsAs="gap">
          <x14:colorSeries rgb="FF000000"/>
          <x14:sparklines>
            <x14:sparkline>
              <xm:f>SPARKLINE!C381:E381</xm:f>
              <xm:sqref>K381</xm:sqref>
            </x14:sparkline>
          </x14:sparklines>
        </x14:sparklineGroup>
        <x14:sparklineGroup type="column" displayEmptyCellsAs="gap">
          <x14:colorSeries rgb="FF000000"/>
          <x14:sparklines>
            <x14:sparkline>
              <xm:f>SPARKLINE!C382:E382</xm:f>
              <xm:sqref>K382</xm:sqref>
            </x14:sparkline>
          </x14:sparklines>
        </x14:sparklineGroup>
        <x14:sparklineGroup type="column" displayEmptyCellsAs="gap">
          <x14:colorSeries rgb="FF000000"/>
          <x14:sparklines>
            <x14:sparkline>
              <xm:f>SPARKLINE!C383:E383</xm:f>
              <xm:sqref>K383</xm:sqref>
            </x14:sparkline>
          </x14:sparklines>
        </x14:sparklineGroup>
        <x14:sparklineGroup type="column" displayEmptyCellsAs="gap">
          <x14:colorSeries rgb="FF000000"/>
          <x14:sparklines>
            <x14:sparkline>
              <xm:f>SPARKLINE!C384:E384</xm:f>
              <xm:sqref>K384</xm:sqref>
            </x14:sparkline>
          </x14:sparklines>
        </x14:sparklineGroup>
        <x14:sparklineGroup type="column" displayEmptyCellsAs="gap">
          <x14:colorSeries rgb="FF000000"/>
          <x14:sparklines>
            <x14:sparkline>
              <xm:f>SPARKLINE!C385:E385</xm:f>
              <xm:sqref>K385</xm:sqref>
            </x14:sparkline>
          </x14:sparklines>
        </x14:sparklineGroup>
        <x14:sparklineGroup type="column" displayEmptyCellsAs="gap">
          <x14:colorSeries rgb="FF000000"/>
          <x14:sparklines>
            <x14:sparkline>
              <xm:f>SPARKLINE!C386:E386</xm:f>
              <xm:sqref>K386</xm:sqref>
            </x14:sparkline>
          </x14:sparklines>
        </x14:sparklineGroup>
        <x14:sparklineGroup type="column" displayEmptyCellsAs="gap">
          <x14:colorSeries rgb="FF000000"/>
          <x14:sparklines>
            <x14:sparkline>
              <xm:f>SPARKLINE!C387:E387</xm:f>
              <xm:sqref>K387</xm:sqref>
            </x14:sparkline>
          </x14:sparklines>
        </x14:sparklineGroup>
        <x14:sparklineGroup type="column" displayEmptyCellsAs="gap">
          <x14:colorSeries rgb="FF000000"/>
          <x14:sparklines>
            <x14:sparkline>
              <xm:f>SPARKLINE!C388:E388</xm:f>
              <xm:sqref>K388</xm:sqref>
            </x14:sparkline>
          </x14:sparklines>
        </x14:sparklineGroup>
        <x14:sparklineGroup type="column" displayEmptyCellsAs="gap">
          <x14:colorSeries rgb="FF000000"/>
          <x14:sparklines>
            <x14:sparkline>
              <xm:f>SPARKLINE!C389:E389</xm:f>
              <xm:sqref>K389</xm:sqref>
            </x14:sparkline>
          </x14:sparklines>
        </x14:sparklineGroup>
        <x14:sparklineGroup type="column" displayEmptyCellsAs="gap">
          <x14:colorSeries rgb="FF000000"/>
          <x14:sparklines>
            <x14:sparkline>
              <xm:f>SPARKLINE!C390:E390</xm:f>
              <xm:sqref>K390</xm:sqref>
            </x14:sparkline>
          </x14:sparklines>
        </x14:sparklineGroup>
        <x14:sparklineGroup type="column" displayEmptyCellsAs="gap">
          <x14:colorSeries rgb="FF000000"/>
          <x14:sparklines>
            <x14:sparkline>
              <xm:f>SPARKLINE!C391:E391</xm:f>
              <xm:sqref>K391</xm:sqref>
            </x14:sparkline>
          </x14:sparklines>
        </x14:sparklineGroup>
        <x14:sparklineGroup type="column" displayEmptyCellsAs="gap">
          <x14:colorSeries rgb="FF000000"/>
          <x14:sparklines>
            <x14:sparkline>
              <xm:f>SPARKLINE!C392:E392</xm:f>
              <xm:sqref>K392</xm:sqref>
            </x14:sparkline>
          </x14:sparklines>
        </x14:sparklineGroup>
        <x14:sparklineGroup type="column" displayEmptyCellsAs="gap">
          <x14:colorSeries rgb="FF000000"/>
          <x14:sparklines>
            <x14:sparkline>
              <xm:f>SPARKLINE!C393:E393</xm:f>
              <xm:sqref>K393</xm:sqref>
            </x14:sparkline>
          </x14:sparklines>
        </x14:sparklineGroup>
        <x14:sparklineGroup type="column" displayEmptyCellsAs="gap">
          <x14:colorSeries rgb="FF000000"/>
          <x14:sparklines>
            <x14:sparkline>
              <xm:f>SPARKLINE!C394:E394</xm:f>
              <xm:sqref>K394</xm:sqref>
            </x14:sparkline>
          </x14:sparklines>
        </x14:sparklineGroup>
        <x14:sparklineGroup type="column" displayEmptyCellsAs="gap">
          <x14:colorSeries rgb="FF000000"/>
          <x14:sparklines>
            <x14:sparkline>
              <xm:f>SPARKLINE!C395:E395</xm:f>
              <xm:sqref>K395</xm:sqref>
            </x14:sparkline>
          </x14:sparklines>
        </x14:sparklineGroup>
        <x14:sparklineGroup type="column" displayEmptyCellsAs="gap">
          <x14:colorSeries rgb="FF000000"/>
          <x14:sparklines>
            <x14:sparkline>
              <xm:f>SPARKLINE!C396:E396</xm:f>
              <xm:sqref>K396</xm:sqref>
            </x14:sparkline>
          </x14:sparklines>
        </x14:sparklineGroup>
        <x14:sparklineGroup type="column" displayEmptyCellsAs="gap">
          <x14:colorSeries rgb="FF000000"/>
          <x14:sparklines>
            <x14:sparkline>
              <xm:f>SPARKLINE!C397:E397</xm:f>
              <xm:sqref>K397</xm:sqref>
            </x14:sparkline>
          </x14:sparklines>
        </x14:sparklineGroup>
        <x14:sparklineGroup type="column" displayEmptyCellsAs="gap">
          <x14:colorSeries rgb="FF000000"/>
          <x14:sparklines>
            <x14:sparkline>
              <xm:f>SPARKLINE!C398:E398</xm:f>
              <xm:sqref>K398</xm:sqref>
            </x14:sparkline>
          </x14:sparklines>
        </x14:sparklineGroup>
        <x14:sparklineGroup type="column" displayEmptyCellsAs="gap">
          <x14:colorSeries rgb="FF000000"/>
          <x14:sparklines>
            <x14:sparkline>
              <xm:f>SPARKLINE!C399:E399</xm:f>
              <xm:sqref>K399</xm:sqref>
            </x14:sparkline>
          </x14:sparklines>
        </x14:sparklineGroup>
        <x14:sparklineGroup type="column" displayEmptyCellsAs="gap">
          <x14:colorSeries rgb="FF000000"/>
          <x14:sparklines>
            <x14:sparkline>
              <xm:f>SPARKLINE!C400:E400</xm:f>
              <xm:sqref>K400</xm:sqref>
            </x14:sparkline>
          </x14:sparklines>
        </x14:sparklineGroup>
        <x14:sparklineGroup type="column" displayEmptyCellsAs="gap">
          <x14:colorSeries rgb="FF000000"/>
          <x14:sparklines>
            <x14:sparkline>
              <xm:f>SPARKLINE!C401:E401</xm:f>
              <xm:sqref>K401</xm:sqref>
            </x14:sparkline>
          </x14:sparklines>
        </x14:sparklineGroup>
        <x14:sparklineGroup type="column" displayEmptyCellsAs="gap">
          <x14:colorSeries rgb="FF000000"/>
          <x14:sparklines>
            <x14:sparkline>
              <xm:f>SPARKLINE!C402:E402</xm:f>
              <xm:sqref>K402</xm:sqref>
            </x14:sparkline>
          </x14:sparklines>
        </x14:sparklineGroup>
        <x14:sparklineGroup type="column" displayEmptyCellsAs="gap">
          <x14:colorSeries rgb="FF000000"/>
          <x14:sparklines>
            <x14:sparkline>
              <xm:f>SPARKLINE!C403:E403</xm:f>
              <xm:sqref>K403</xm:sqref>
            </x14:sparkline>
          </x14:sparklines>
        </x14:sparklineGroup>
        <x14:sparklineGroup type="column" displayEmptyCellsAs="gap">
          <x14:colorSeries rgb="FF000000"/>
          <x14:sparklines>
            <x14:sparkline>
              <xm:f>SPARKLINE!C404:E404</xm:f>
              <xm:sqref>K404</xm:sqref>
            </x14:sparkline>
          </x14:sparklines>
        </x14:sparklineGroup>
        <x14:sparklineGroup type="column" displayEmptyCellsAs="gap">
          <x14:colorSeries rgb="FF000000"/>
          <x14:sparklines>
            <x14:sparkline>
              <xm:f>SPARKLINE!C405:E405</xm:f>
              <xm:sqref>K405</xm:sqref>
            </x14:sparkline>
          </x14:sparklines>
        </x14:sparklineGroup>
        <x14:sparklineGroup type="column" displayEmptyCellsAs="gap">
          <x14:colorSeries rgb="FF000000"/>
          <x14:sparklines>
            <x14:sparkline>
              <xm:f>SPARKLINE!C406:E406</xm:f>
              <xm:sqref>K406</xm:sqref>
            </x14:sparkline>
          </x14:sparklines>
        </x14:sparklineGroup>
        <x14:sparklineGroup type="column" displayEmptyCellsAs="gap">
          <x14:colorSeries rgb="FF000000"/>
          <x14:sparklines>
            <x14:sparkline>
              <xm:f>SPARKLINE!C407:E407</xm:f>
              <xm:sqref>K407</xm:sqref>
            </x14:sparkline>
          </x14:sparklines>
        </x14:sparklineGroup>
        <x14:sparklineGroup type="column" displayEmptyCellsAs="gap">
          <x14:colorSeries rgb="FF000000"/>
          <x14:sparklines>
            <x14:sparkline>
              <xm:f>SPARKLINE!C408:E408</xm:f>
              <xm:sqref>K408</xm:sqref>
            </x14:sparkline>
          </x14:sparklines>
        </x14:sparklineGroup>
        <x14:sparklineGroup type="column" displayEmptyCellsAs="gap">
          <x14:colorSeries rgb="FF000000"/>
          <x14:sparklines>
            <x14:sparkline>
              <xm:f>SPARKLINE!C409:E409</xm:f>
              <xm:sqref>K409</xm:sqref>
            </x14:sparkline>
          </x14:sparklines>
        </x14:sparklineGroup>
        <x14:sparklineGroup type="column" displayEmptyCellsAs="gap">
          <x14:colorSeries rgb="FF000000"/>
          <x14:sparklines>
            <x14:sparkline>
              <xm:f>SPARKLINE!C410:E410</xm:f>
              <xm:sqref>K410</xm:sqref>
            </x14:sparkline>
          </x14:sparklines>
        </x14:sparklineGroup>
        <x14:sparklineGroup type="column" displayEmptyCellsAs="gap">
          <x14:colorSeries rgb="FF000000"/>
          <x14:sparklines>
            <x14:sparkline>
              <xm:f>SPARKLINE!C411:E411</xm:f>
              <xm:sqref>K411</xm:sqref>
            </x14:sparkline>
          </x14:sparklines>
        </x14:sparklineGroup>
        <x14:sparklineGroup type="column" displayEmptyCellsAs="gap">
          <x14:colorSeries rgb="FF000000"/>
          <x14:sparklines>
            <x14:sparkline>
              <xm:f>SPARKLINE!C412:E412</xm:f>
              <xm:sqref>K412</xm:sqref>
            </x14:sparkline>
          </x14:sparklines>
        </x14:sparklineGroup>
        <x14:sparklineGroup type="column" displayEmptyCellsAs="gap">
          <x14:colorSeries rgb="FF000000"/>
          <x14:sparklines>
            <x14:sparkline>
              <xm:f>SPARKLINE!C413:E413</xm:f>
              <xm:sqref>K413</xm:sqref>
            </x14:sparkline>
          </x14:sparklines>
        </x14:sparklineGroup>
        <x14:sparklineGroup type="column" displayEmptyCellsAs="gap">
          <x14:colorSeries rgb="FF000000"/>
          <x14:sparklines>
            <x14:sparkline>
              <xm:f>SPARKLINE!C414:E414</xm:f>
              <xm:sqref>K414</xm:sqref>
            </x14:sparkline>
          </x14:sparklines>
        </x14:sparklineGroup>
        <x14:sparklineGroup type="column" displayEmptyCellsAs="gap">
          <x14:colorSeries rgb="FF000000"/>
          <x14:sparklines>
            <x14:sparkline>
              <xm:f>SPARKLINE!C415:E415</xm:f>
              <xm:sqref>K415</xm:sqref>
            </x14:sparkline>
          </x14:sparklines>
        </x14:sparklineGroup>
        <x14:sparklineGroup type="column" displayEmptyCellsAs="gap">
          <x14:colorSeries rgb="FF000000"/>
          <x14:sparklines>
            <x14:sparkline>
              <xm:f>SPARKLINE!C416:E416</xm:f>
              <xm:sqref>K416</xm:sqref>
            </x14:sparkline>
          </x14:sparklines>
        </x14:sparklineGroup>
        <x14:sparklineGroup type="column" displayEmptyCellsAs="gap">
          <x14:colorSeries rgb="FF000000"/>
          <x14:sparklines>
            <x14:sparkline>
              <xm:f>SPARKLINE!C417:E417</xm:f>
              <xm:sqref>K417</xm:sqref>
            </x14:sparkline>
          </x14:sparklines>
        </x14:sparklineGroup>
        <x14:sparklineGroup type="column" displayEmptyCellsAs="gap">
          <x14:colorSeries rgb="FF000000"/>
          <x14:sparklines>
            <x14:sparkline>
              <xm:f>SPARKLINE!C418:E418</xm:f>
              <xm:sqref>K418</xm:sqref>
            </x14:sparkline>
          </x14:sparklines>
        </x14:sparklineGroup>
        <x14:sparklineGroup type="column" displayEmptyCellsAs="gap">
          <x14:colorSeries rgb="FF000000"/>
          <x14:sparklines>
            <x14:sparkline>
              <xm:f>SPARKLINE!C419:E419</xm:f>
              <xm:sqref>K419</xm:sqref>
            </x14:sparkline>
          </x14:sparklines>
        </x14:sparklineGroup>
        <x14:sparklineGroup type="column" displayEmptyCellsAs="gap">
          <x14:colorSeries rgb="FF000000"/>
          <x14:sparklines>
            <x14:sparkline>
              <xm:f>SPARKLINE!C420:E420</xm:f>
              <xm:sqref>K420</xm:sqref>
            </x14:sparkline>
          </x14:sparklines>
        </x14:sparklineGroup>
        <x14:sparklineGroup type="column" displayEmptyCellsAs="gap">
          <x14:colorSeries rgb="FF000000"/>
          <x14:sparklines>
            <x14:sparkline>
              <xm:f>SPARKLINE!C421:E421</xm:f>
              <xm:sqref>K421</xm:sqref>
            </x14:sparkline>
          </x14:sparklines>
        </x14:sparklineGroup>
        <x14:sparklineGroup type="column" displayEmptyCellsAs="gap">
          <x14:colorSeries rgb="FF000000"/>
          <x14:sparklines>
            <x14:sparkline>
              <xm:f>SPARKLINE!C422:E422</xm:f>
              <xm:sqref>K422</xm:sqref>
            </x14:sparkline>
          </x14:sparklines>
        </x14:sparklineGroup>
        <x14:sparklineGroup type="column" displayEmptyCellsAs="gap">
          <x14:colorSeries rgb="FF000000"/>
          <x14:sparklines>
            <x14:sparkline>
              <xm:f>SPARKLINE!C423:E423</xm:f>
              <xm:sqref>K423</xm:sqref>
            </x14:sparkline>
          </x14:sparklines>
        </x14:sparklineGroup>
        <x14:sparklineGroup type="column" displayEmptyCellsAs="gap">
          <x14:colorSeries rgb="FF000000"/>
          <x14:sparklines>
            <x14:sparkline>
              <xm:f>SPARKLINE!C424:E424</xm:f>
              <xm:sqref>K424</xm:sqref>
            </x14:sparkline>
          </x14:sparklines>
        </x14:sparklineGroup>
        <x14:sparklineGroup type="column" displayEmptyCellsAs="gap">
          <x14:colorSeries rgb="FF000000"/>
          <x14:sparklines>
            <x14:sparkline>
              <xm:f>SPARKLINE!C425:E425</xm:f>
              <xm:sqref>K425</xm:sqref>
            </x14:sparkline>
          </x14:sparklines>
        </x14:sparklineGroup>
        <x14:sparklineGroup type="column" displayEmptyCellsAs="gap">
          <x14:colorSeries rgb="FF000000"/>
          <x14:sparklines>
            <x14:sparkline>
              <xm:f>SPARKLINE!C426:E426</xm:f>
              <xm:sqref>K426</xm:sqref>
            </x14:sparkline>
          </x14:sparklines>
        </x14:sparklineGroup>
        <x14:sparklineGroup type="column" displayEmptyCellsAs="gap">
          <x14:colorSeries rgb="FF000000"/>
          <x14:sparklines>
            <x14:sparkline>
              <xm:f>SPARKLINE!C427:E427</xm:f>
              <xm:sqref>K427</xm:sqref>
            </x14:sparkline>
          </x14:sparklines>
        </x14:sparklineGroup>
        <x14:sparklineGroup type="column" displayEmptyCellsAs="gap">
          <x14:colorSeries rgb="FF000000"/>
          <x14:sparklines>
            <x14:sparkline>
              <xm:f>SPARKLINE!C428:E428</xm:f>
              <xm:sqref>K428</xm:sqref>
            </x14:sparkline>
          </x14:sparklines>
        </x14:sparklineGroup>
        <x14:sparklineGroup type="column" displayEmptyCellsAs="gap">
          <x14:colorSeries rgb="FF000000"/>
          <x14:sparklines>
            <x14:sparkline>
              <xm:f>SPARKLINE!C429:E429</xm:f>
              <xm:sqref>K429</xm:sqref>
            </x14:sparkline>
          </x14:sparklines>
        </x14:sparklineGroup>
        <x14:sparklineGroup type="column" displayEmptyCellsAs="gap">
          <x14:colorSeries rgb="FF000000"/>
          <x14:sparklines>
            <x14:sparkline>
              <xm:f>SPARKLINE!C430:E430</xm:f>
              <xm:sqref>K430</xm:sqref>
            </x14:sparkline>
          </x14:sparklines>
        </x14:sparklineGroup>
        <x14:sparklineGroup type="column" displayEmptyCellsAs="gap">
          <x14:colorSeries rgb="FF000000"/>
          <x14:sparklines>
            <x14:sparkline>
              <xm:f>SPARKLINE!C431:E431</xm:f>
              <xm:sqref>K431</xm:sqref>
            </x14:sparkline>
          </x14:sparklines>
        </x14:sparklineGroup>
        <x14:sparklineGroup type="column" displayEmptyCellsAs="gap">
          <x14:colorSeries rgb="FF000000"/>
          <x14:sparklines>
            <x14:sparkline>
              <xm:f>SPARKLINE!C432:E432</xm:f>
              <xm:sqref>K432</xm:sqref>
            </x14:sparkline>
          </x14:sparklines>
        </x14:sparklineGroup>
        <x14:sparklineGroup type="column" displayEmptyCellsAs="gap">
          <x14:colorSeries rgb="FF000000"/>
          <x14:sparklines>
            <x14:sparkline>
              <xm:f>SPARKLINE!C433:E433</xm:f>
              <xm:sqref>K433</xm:sqref>
            </x14:sparkline>
          </x14:sparklines>
        </x14:sparklineGroup>
        <x14:sparklineGroup type="column" displayEmptyCellsAs="gap">
          <x14:colorSeries rgb="FF000000"/>
          <x14:sparklines>
            <x14:sparkline>
              <xm:f>SPARKLINE!C434:E434</xm:f>
              <xm:sqref>K434</xm:sqref>
            </x14:sparkline>
          </x14:sparklines>
        </x14:sparklineGroup>
        <x14:sparklineGroup type="column" displayEmptyCellsAs="gap">
          <x14:colorSeries rgb="FF000000"/>
          <x14:sparklines>
            <x14:sparkline>
              <xm:f>SPARKLINE!C435:E435</xm:f>
              <xm:sqref>K435</xm:sqref>
            </x14:sparkline>
          </x14:sparklines>
        </x14:sparklineGroup>
        <x14:sparklineGroup type="column" displayEmptyCellsAs="gap">
          <x14:colorSeries rgb="FF000000"/>
          <x14:sparklines>
            <x14:sparkline>
              <xm:f>SPARKLINE!C436:E436</xm:f>
              <xm:sqref>K436</xm:sqref>
            </x14:sparkline>
          </x14:sparklines>
        </x14:sparklineGroup>
        <x14:sparklineGroup type="column" displayEmptyCellsAs="gap">
          <x14:colorSeries rgb="FF000000"/>
          <x14:sparklines>
            <x14:sparkline>
              <xm:f>SPARKLINE!C437:E437</xm:f>
              <xm:sqref>K437</xm:sqref>
            </x14:sparkline>
          </x14:sparklines>
        </x14:sparklineGroup>
        <x14:sparklineGroup type="column" displayEmptyCellsAs="gap">
          <x14:colorSeries rgb="FF000000"/>
          <x14:sparklines>
            <x14:sparkline>
              <xm:f>SPARKLINE!C438:E438</xm:f>
              <xm:sqref>K438</xm:sqref>
            </x14:sparkline>
          </x14:sparklines>
        </x14:sparklineGroup>
        <x14:sparklineGroup type="column" displayEmptyCellsAs="gap">
          <x14:colorSeries rgb="FF000000"/>
          <x14:sparklines>
            <x14:sparkline>
              <xm:f>SPARKLINE!C439:E439</xm:f>
              <xm:sqref>K439</xm:sqref>
            </x14:sparkline>
          </x14:sparklines>
        </x14:sparklineGroup>
        <x14:sparklineGroup type="column" displayEmptyCellsAs="gap">
          <x14:colorSeries rgb="FF000000"/>
          <x14:sparklines>
            <x14:sparkline>
              <xm:f>SPARKLINE!C440:E440</xm:f>
              <xm:sqref>K440</xm:sqref>
            </x14:sparkline>
          </x14:sparklines>
        </x14:sparklineGroup>
        <x14:sparklineGroup type="column" displayEmptyCellsAs="gap">
          <x14:colorSeries rgb="FF000000"/>
          <x14:sparklines>
            <x14:sparkline>
              <xm:f>SPARKLINE!C441:E441</xm:f>
              <xm:sqref>K441</xm:sqref>
            </x14:sparkline>
          </x14:sparklines>
        </x14:sparklineGroup>
        <x14:sparklineGroup type="column" displayEmptyCellsAs="gap">
          <x14:colorSeries rgb="FF000000"/>
          <x14:sparklines>
            <x14:sparkline>
              <xm:f>SPARKLINE!C442:E442</xm:f>
              <xm:sqref>K442</xm:sqref>
            </x14:sparkline>
          </x14:sparklines>
        </x14:sparklineGroup>
        <x14:sparklineGroup type="column" displayEmptyCellsAs="gap">
          <x14:colorSeries rgb="FF000000"/>
          <x14:sparklines>
            <x14:sparkline>
              <xm:f>SPARKLINE!C443:E443</xm:f>
              <xm:sqref>K443</xm:sqref>
            </x14:sparkline>
          </x14:sparklines>
        </x14:sparklineGroup>
        <x14:sparklineGroup type="column" displayEmptyCellsAs="gap">
          <x14:colorSeries rgb="FF000000"/>
          <x14:sparklines>
            <x14:sparkline>
              <xm:f>SPARKLINE!C444:E444</xm:f>
              <xm:sqref>K444</xm:sqref>
            </x14:sparkline>
          </x14:sparklines>
        </x14:sparklineGroup>
        <x14:sparklineGroup type="column" displayEmptyCellsAs="gap">
          <x14:colorSeries rgb="FF000000"/>
          <x14:sparklines>
            <x14:sparkline>
              <xm:f>SPARKLINE!C445:E445</xm:f>
              <xm:sqref>K445</xm:sqref>
            </x14:sparkline>
          </x14:sparklines>
        </x14:sparklineGroup>
        <x14:sparklineGroup type="column" displayEmptyCellsAs="gap">
          <x14:colorSeries rgb="FF000000"/>
          <x14:sparklines>
            <x14:sparkline>
              <xm:f>SPARKLINE!C446:E446</xm:f>
              <xm:sqref>K446</xm:sqref>
            </x14:sparkline>
          </x14:sparklines>
        </x14:sparklineGroup>
        <x14:sparklineGroup type="column" displayEmptyCellsAs="gap">
          <x14:colorSeries rgb="FF000000"/>
          <x14:sparklines>
            <x14:sparkline>
              <xm:f>SPARKLINE!C447:E447</xm:f>
              <xm:sqref>K447</xm:sqref>
            </x14:sparkline>
          </x14:sparklines>
        </x14:sparklineGroup>
        <x14:sparklineGroup type="column" displayEmptyCellsAs="gap">
          <x14:colorSeries rgb="FF000000"/>
          <x14:sparklines>
            <x14:sparkline>
              <xm:f>SPARKLINE!C448:E448</xm:f>
              <xm:sqref>K448</xm:sqref>
            </x14:sparkline>
          </x14:sparklines>
        </x14:sparklineGroup>
        <x14:sparklineGroup type="column" displayEmptyCellsAs="gap">
          <x14:colorSeries rgb="FF000000"/>
          <x14:sparklines>
            <x14:sparkline>
              <xm:f>SPARKLINE!C449:E449</xm:f>
              <xm:sqref>K449</xm:sqref>
            </x14:sparkline>
          </x14:sparklines>
        </x14:sparklineGroup>
        <x14:sparklineGroup type="column" displayEmptyCellsAs="gap">
          <x14:colorSeries rgb="FF000000"/>
          <x14:sparklines>
            <x14:sparkline>
              <xm:f>SPARKLINE!C450:E450</xm:f>
              <xm:sqref>K450</xm:sqref>
            </x14:sparkline>
          </x14:sparklines>
        </x14:sparklineGroup>
        <x14:sparklineGroup type="column" displayEmptyCellsAs="gap">
          <x14:colorSeries rgb="FF000000"/>
          <x14:sparklines>
            <x14:sparkline>
              <xm:f>SPARKLINE!C451:E451</xm:f>
              <xm:sqref>K451</xm:sqref>
            </x14:sparkline>
          </x14:sparklines>
        </x14:sparklineGroup>
        <x14:sparklineGroup type="column" displayEmptyCellsAs="gap">
          <x14:colorSeries rgb="FF000000"/>
          <x14:sparklines>
            <x14:sparkline>
              <xm:f>SPARKLINE!C452:E452</xm:f>
              <xm:sqref>K452</xm:sqref>
            </x14:sparkline>
          </x14:sparklines>
        </x14:sparklineGroup>
        <x14:sparklineGroup type="column" displayEmptyCellsAs="gap">
          <x14:colorSeries rgb="FF000000"/>
          <x14:sparklines>
            <x14:sparkline>
              <xm:f>SPARKLINE!C453:E453</xm:f>
              <xm:sqref>K453</xm:sqref>
            </x14:sparkline>
          </x14:sparklines>
        </x14:sparklineGroup>
        <x14:sparklineGroup type="column" displayEmptyCellsAs="gap">
          <x14:colorSeries rgb="FF000000"/>
          <x14:sparklines>
            <x14:sparkline>
              <xm:f>SPARKLINE!C454:E454</xm:f>
              <xm:sqref>K454</xm:sqref>
            </x14:sparkline>
          </x14:sparklines>
        </x14:sparklineGroup>
        <x14:sparklineGroup type="column" displayEmptyCellsAs="gap">
          <x14:colorSeries rgb="FF000000"/>
          <x14:sparklines>
            <x14:sparkline>
              <xm:f>SPARKLINE!C455:E455</xm:f>
              <xm:sqref>K455</xm:sqref>
            </x14:sparkline>
          </x14:sparklines>
        </x14:sparklineGroup>
        <x14:sparklineGroup type="column" displayEmptyCellsAs="gap">
          <x14:colorSeries rgb="FF000000"/>
          <x14:sparklines>
            <x14:sparkline>
              <xm:f>SPARKLINE!C456:E456</xm:f>
              <xm:sqref>K456</xm:sqref>
            </x14:sparkline>
          </x14:sparklines>
        </x14:sparklineGroup>
        <x14:sparklineGroup type="column" displayEmptyCellsAs="gap">
          <x14:colorSeries rgb="FF000000"/>
          <x14:sparklines>
            <x14:sparkline>
              <xm:f>SPARKLINE!C457:E457</xm:f>
              <xm:sqref>K457</xm:sqref>
            </x14:sparkline>
          </x14:sparklines>
        </x14:sparklineGroup>
        <x14:sparklineGroup type="column" displayEmptyCellsAs="gap">
          <x14:colorSeries rgb="FF000000"/>
          <x14:sparklines>
            <x14:sparkline>
              <xm:f>SPARKLINE!C458:E458</xm:f>
              <xm:sqref>K458</xm:sqref>
            </x14:sparkline>
          </x14:sparklines>
        </x14:sparklineGroup>
        <x14:sparklineGroup type="column" displayEmptyCellsAs="gap">
          <x14:colorSeries rgb="FF000000"/>
          <x14:sparklines>
            <x14:sparkline>
              <xm:f>SPARKLINE!C459:E459</xm:f>
              <xm:sqref>K459</xm:sqref>
            </x14:sparkline>
          </x14:sparklines>
        </x14:sparklineGroup>
        <x14:sparklineGroup type="column" displayEmptyCellsAs="gap">
          <x14:colorSeries rgb="FF000000"/>
          <x14:sparklines>
            <x14:sparkline>
              <xm:f>SPARKLINE!C460:E460</xm:f>
              <xm:sqref>K460</xm:sqref>
            </x14:sparkline>
          </x14:sparklines>
        </x14:sparklineGroup>
        <x14:sparklineGroup type="column" displayEmptyCellsAs="gap">
          <x14:colorSeries rgb="FF000000"/>
          <x14:sparklines>
            <x14:sparkline>
              <xm:f>SPARKLINE!C461:E461</xm:f>
              <xm:sqref>K461</xm:sqref>
            </x14:sparkline>
          </x14:sparklines>
        </x14:sparklineGroup>
        <x14:sparklineGroup type="column" displayEmptyCellsAs="gap">
          <x14:colorSeries rgb="FF000000"/>
          <x14:sparklines>
            <x14:sparkline>
              <xm:f>SPARKLINE!C462:E462</xm:f>
              <xm:sqref>K462</xm:sqref>
            </x14:sparkline>
          </x14:sparklines>
        </x14:sparklineGroup>
        <x14:sparklineGroup type="column" displayEmptyCellsAs="gap">
          <x14:colorSeries rgb="FF000000"/>
          <x14:sparklines>
            <x14:sparkline>
              <xm:f>SPARKLINE!C463:E463</xm:f>
              <xm:sqref>K463</xm:sqref>
            </x14:sparkline>
          </x14:sparklines>
        </x14:sparklineGroup>
        <x14:sparklineGroup type="column" displayEmptyCellsAs="gap">
          <x14:colorSeries rgb="FF000000"/>
          <x14:sparklines>
            <x14:sparkline>
              <xm:f>SPARKLINE!C464:E464</xm:f>
              <xm:sqref>K464</xm:sqref>
            </x14:sparkline>
          </x14:sparklines>
        </x14:sparklineGroup>
        <x14:sparklineGroup type="column" displayEmptyCellsAs="gap">
          <x14:colorSeries rgb="FF000000"/>
          <x14:sparklines>
            <x14:sparkline>
              <xm:f>SPARKLINE!C465:E465</xm:f>
              <xm:sqref>K465</xm:sqref>
            </x14:sparkline>
          </x14:sparklines>
        </x14:sparklineGroup>
        <x14:sparklineGroup type="column" displayEmptyCellsAs="gap">
          <x14:colorSeries rgb="FF000000"/>
          <x14:sparklines>
            <x14:sparkline>
              <xm:f>SPARKLINE!C466:E466</xm:f>
              <xm:sqref>K466</xm:sqref>
            </x14:sparkline>
          </x14:sparklines>
        </x14:sparklineGroup>
        <x14:sparklineGroup type="column" displayEmptyCellsAs="gap">
          <x14:colorSeries rgb="FF000000"/>
          <x14:sparklines>
            <x14:sparkline>
              <xm:f>SPARKLINE!C467:E467</xm:f>
              <xm:sqref>K467</xm:sqref>
            </x14:sparkline>
          </x14:sparklines>
        </x14:sparklineGroup>
        <x14:sparklineGroup type="column" displayEmptyCellsAs="gap">
          <x14:colorSeries rgb="FF000000"/>
          <x14:sparklines>
            <x14:sparkline>
              <xm:f>SPARKLINE!C468:E468</xm:f>
              <xm:sqref>K468</xm:sqref>
            </x14:sparkline>
          </x14:sparklines>
        </x14:sparklineGroup>
        <x14:sparklineGroup type="column" displayEmptyCellsAs="gap">
          <x14:colorSeries rgb="FF000000"/>
          <x14:sparklines>
            <x14:sparkline>
              <xm:f>SPARKLINE!C469:E469</xm:f>
              <xm:sqref>K469</xm:sqref>
            </x14:sparkline>
          </x14:sparklines>
        </x14:sparklineGroup>
        <x14:sparklineGroup type="column" displayEmptyCellsAs="gap">
          <x14:colorSeries rgb="FF000000"/>
          <x14:sparklines>
            <x14:sparkline>
              <xm:f>SPARKLINE!C470:E470</xm:f>
              <xm:sqref>K470</xm:sqref>
            </x14:sparkline>
          </x14:sparklines>
        </x14:sparklineGroup>
        <x14:sparklineGroup type="column" displayEmptyCellsAs="gap">
          <x14:colorSeries rgb="FF000000"/>
          <x14:sparklines>
            <x14:sparkline>
              <xm:f>SPARKLINE!C471:E471</xm:f>
              <xm:sqref>K471</xm:sqref>
            </x14:sparkline>
          </x14:sparklines>
        </x14:sparklineGroup>
        <x14:sparklineGroup type="column" displayEmptyCellsAs="gap">
          <x14:colorSeries rgb="FF000000"/>
          <x14:sparklines>
            <x14:sparkline>
              <xm:f>SPARKLINE!C472:E472</xm:f>
              <xm:sqref>K472</xm:sqref>
            </x14:sparkline>
          </x14:sparklines>
        </x14:sparklineGroup>
        <x14:sparklineGroup type="column" displayEmptyCellsAs="gap">
          <x14:colorSeries rgb="FF000000"/>
          <x14:sparklines>
            <x14:sparkline>
              <xm:f>SPARKLINE!C473:E473</xm:f>
              <xm:sqref>K473</xm:sqref>
            </x14:sparkline>
          </x14:sparklines>
        </x14:sparklineGroup>
        <x14:sparklineGroup type="column" displayEmptyCellsAs="gap">
          <x14:colorSeries rgb="FF000000"/>
          <x14:sparklines>
            <x14:sparkline>
              <xm:f>SPARKLINE!C474:E474</xm:f>
              <xm:sqref>K474</xm:sqref>
            </x14:sparkline>
          </x14:sparklines>
        </x14:sparklineGroup>
        <x14:sparklineGroup type="column" displayEmptyCellsAs="gap">
          <x14:colorSeries rgb="FF000000"/>
          <x14:sparklines>
            <x14:sparkline>
              <xm:f>SPARKLINE!C475:E475</xm:f>
              <xm:sqref>K475</xm:sqref>
            </x14:sparkline>
          </x14:sparklines>
        </x14:sparklineGroup>
        <x14:sparklineGroup type="column" displayEmptyCellsAs="gap">
          <x14:colorSeries rgb="FF000000"/>
          <x14:sparklines>
            <x14:sparkline>
              <xm:f>SPARKLINE!C476:E476</xm:f>
              <xm:sqref>K476</xm:sqref>
            </x14:sparkline>
          </x14:sparklines>
        </x14:sparklineGroup>
        <x14:sparklineGroup type="column" displayEmptyCellsAs="gap">
          <x14:colorSeries rgb="FF000000"/>
          <x14:sparklines>
            <x14:sparkline>
              <xm:f>SPARKLINE!C477:E477</xm:f>
              <xm:sqref>K477</xm:sqref>
            </x14:sparkline>
          </x14:sparklines>
        </x14:sparklineGroup>
        <x14:sparklineGroup type="column" displayEmptyCellsAs="gap">
          <x14:colorSeries rgb="FF000000"/>
          <x14:sparklines>
            <x14:sparkline>
              <xm:f>SPARKLINE!C478:E478</xm:f>
              <xm:sqref>K478</xm:sqref>
            </x14:sparkline>
          </x14:sparklines>
        </x14:sparklineGroup>
        <x14:sparklineGroup type="column" displayEmptyCellsAs="gap">
          <x14:colorSeries rgb="FF000000"/>
          <x14:sparklines>
            <x14:sparkline>
              <xm:f>SPARKLINE!C479:E479</xm:f>
              <xm:sqref>K479</xm:sqref>
            </x14:sparkline>
          </x14:sparklines>
        </x14:sparklineGroup>
        <x14:sparklineGroup type="column" displayEmptyCellsAs="gap">
          <x14:colorSeries rgb="FF000000"/>
          <x14:sparklines>
            <x14:sparkline>
              <xm:f>SPARKLINE!C480:E480</xm:f>
              <xm:sqref>K480</xm:sqref>
            </x14:sparkline>
          </x14:sparklines>
        </x14:sparklineGroup>
        <x14:sparklineGroup type="column" displayEmptyCellsAs="gap">
          <x14:colorSeries rgb="FF000000"/>
          <x14:sparklines>
            <x14:sparkline>
              <xm:f>SPARKLINE!C481:E481</xm:f>
              <xm:sqref>K481</xm:sqref>
            </x14:sparkline>
          </x14:sparklines>
        </x14:sparklineGroup>
        <x14:sparklineGroup type="column" displayEmptyCellsAs="gap">
          <x14:colorSeries rgb="FF000000"/>
          <x14:sparklines>
            <x14:sparkline>
              <xm:f>SPARKLINE!C482:E482</xm:f>
              <xm:sqref>K482</xm:sqref>
            </x14:sparkline>
          </x14:sparklines>
        </x14:sparklineGroup>
        <x14:sparklineGroup type="column" displayEmptyCellsAs="gap">
          <x14:colorSeries rgb="FF000000"/>
          <x14:sparklines>
            <x14:sparkline>
              <xm:f>SPARKLINE!C483:E483</xm:f>
              <xm:sqref>K483</xm:sqref>
            </x14:sparkline>
          </x14:sparklines>
        </x14:sparklineGroup>
        <x14:sparklineGroup type="column" displayEmptyCellsAs="gap">
          <x14:colorSeries rgb="FF000000"/>
          <x14:sparklines>
            <x14:sparkline>
              <xm:f>SPARKLINE!C484:E484</xm:f>
              <xm:sqref>K484</xm:sqref>
            </x14:sparkline>
          </x14:sparklines>
        </x14:sparklineGroup>
        <x14:sparklineGroup type="column" displayEmptyCellsAs="gap">
          <x14:colorSeries rgb="FF000000"/>
          <x14:sparklines>
            <x14:sparkline>
              <xm:f>SPARKLINE!C485:E485</xm:f>
              <xm:sqref>K485</xm:sqref>
            </x14:sparkline>
          </x14:sparklines>
        </x14:sparklineGroup>
        <x14:sparklineGroup type="column" displayEmptyCellsAs="gap">
          <x14:colorSeries rgb="FF000000"/>
          <x14:sparklines>
            <x14:sparkline>
              <xm:f>SPARKLINE!C486:E486</xm:f>
              <xm:sqref>K486</xm:sqref>
            </x14:sparkline>
          </x14:sparklines>
        </x14:sparklineGroup>
        <x14:sparklineGroup type="column" displayEmptyCellsAs="gap">
          <x14:colorSeries rgb="FF000000"/>
          <x14:sparklines>
            <x14:sparkline>
              <xm:f>SPARKLINE!C487:E487</xm:f>
              <xm:sqref>K487</xm:sqref>
            </x14:sparkline>
          </x14:sparklines>
        </x14:sparklineGroup>
        <x14:sparklineGroup type="column" displayEmptyCellsAs="gap">
          <x14:colorSeries rgb="FF000000"/>
          <x14:sparklines>
            <x14:sparkline>
              <xm:f>SPARKLINE!C488:E488</xm:f>
              <xm:sqref>K488</xm:sqref>
            </x14:sparkline>
          </x14:sparklines>
        </x14:sparklineGroup>
        <x14:sparklineGroup type="column" displayEmptyCellsAs="gap">
          <x14:colorSeries rgb="FF000000"/>
          <x14:sparklines>
            <x14:sparkline>
              <xm:f>SPARKLINE!C489:E489</xm:f>
              <xm:sqref>K489</xm:sqref>
            </x14:sparkline>
          </x14:sparklines>
        </x14:sparklineGroup>
        <x14:sparklineGroup type="column" displayEmptyCellsAs="gap">
          <x14:colorSeries rgb="FF000000"/>
          <x14:sparklines>
            <x14:sparkline>
              <xm:f>SPARKLINE!C490:E490</xm:f>
              <xm:sqref>K490</xm:sqref>
            </x14:sparkline>
          </x14:sparklines>
        </x14:sparklineGroup>
        <x14:sparklineGroup type="column" displayEmptyCellsAs="gap">
          <x14:colorSeries rgb="FF000000"/>
          <x14:sparklines>
            <x14:sparkline>
              <xm:f>SPARKLINE!C491:E491</xm:f>
              <xm:sqref>K491</xm:sqref>
            </x14:sparkline>
          </x14:sparklines>
        </x14:sparklineGroup>
        <x14:sparklineGroup type="column" displayEmptyCellsAs="gap">
          <x14:colorSeries rgb="FF000000"/>
          <x14:sparklines>
            <x14:sparkline>
              <xm:f>SPARKLINE!C492:E492</xm:f>
              <xm:sqref>K492</xm:sqref>
            </x14:sparkline>
          </x14:sparklines>
        </x14:sparklineGroup>
        <x14:sparklineGroup type="column" displayEmptyCellsAs="gap">
          <x14:colorSeries rgb="FF000000"/>
          <x14:sparklines>
            <x14:sparkline>
              <xm:f>SPARKLINE!C493:E493</xm:f>
              <xm:sqref>K493</xm:sqref>
            </x14:sparkline>
          </x14:sparklines>
        </x14:sparklineGroup>
        <x14:sparklineGroup type="column" displayEmptyCellsAs="gap">
          <x14:colorSeries rgb="FF000000"/>
          <x14:sparklines>
            <x14:sparkline>
              <xm:f>SPARKLINE!C494:E494</xm:f>
              <xm:sqref>K494</xm:sqref>
            </x14:sparkline>
          </x14:sparklines>
        </x14:sparklineGroup>
        <x14:sparklineGroup type="column" displayEmptyCellsAs="gap">
          <x14:colorSeries rgb="FF000000"/>
          <x14:sparklines>
            <x14:sparkline>
              <xm:f>SPARKLINE!C495:E495</xm:f>
              <xm:sqref>K495</xm:sqref>
            </x14:sparkline>
          </x14:sparklines>
        </x14:sparklineGroup>
        <x14:sparklineGroup type="column" displayEmptyCellsAs="gap">
          <x14:colorSeries rgb="FF000000"/>
          <x14:sparklines>
            <x14:sparkline>
              <xm:f>SPARKLINE!C496:E496</xm:f>
              <xm:sqref>K496</xm:sqref>
            </x14:sparkline>
          </x14:sparklines>
        </x14:sparklineGroup>
        <x14:sparklineGroup type="column" displayEmptyCellsAs="gap">
          <x14:colorSeries rgb="FF000000"/>
          <x14:sparklines>
            <x14:sparkline>
              <xm:f>SPARKLINE!C497:E497</xm:f>
              <xm:sqref>K497</xm:sqref>
            </x14:sparkline>
          </x14:sparklines>
        </x14:sparklineGroup>
        <x14:sparklineGroup type="column" displayEmptyCellsAs="gap">
          <x14:colorSeries rgb="FF000000"/>
          <x14:sparklines>
            <x14:sparkline>
              <xm:f>SPARKLINE!C498:E498</xm:f>
              <xm:sqref>K498</xm:sqref>
            </x14:sparkline>
          </x14:sparklines>
        </x14:sparklineGroup>
        <x14:sparklineGroup type="column" displayEmptyCellsAs="gap">
          <x14:colorSeries rgb="FF000000"/>
          <x14:sparklines>
            <x14:sparkline>
              <xm:f>SPARKLINE!C499:E499</xm:f>
              <xm:sqref>K499</xm:sqref>
            </x14:sparkline>
          </x14:sparklines>
        </x14:sparklineGroup>
        <x14:sparklineGroup type="column" displayEmptyCellsAs="gap">
          <x14:colorSeries rgb="FF000000"/>
          <x14:sparklines>
            <x14:sparkline>
              <xm:f>SPARKLINE!C500:E500</xm:f>
              <xm:sqref>K500</xm:sqref>
            </x14:sparkline>
          </x14:sparklines>
        </x14:sparklineGroup>
        <x14:sparklineGroup type="column" displayEmptyCellsAs="gap">
          <x14:colorSeries rgb="FF000000"/>
          <x14:sparklines>
            <x14:sparkline>
              <xm:f>SPARKLINE!C501:E501</xm:f>
              <xm:sqref>K501</xm:sqref>
            </x14:sparkline>
          </x14:sparklines>
        </x14:sparklineGroup>
        <x14:sparklineGroup type="column" displayEmptyCellsAs="gap">
          <x14:colorSeries rgb="FF000000"/>
          <x14:sparklines>
            <x14:sparkline>
              <xm:f>SPARKLINE!C502:E502</xm:f>
              <xm:sqref>K502</xm:sqref>
            </x14:sparkline>
          </x14:sparklines>
        </x14:sparklineGroup>
        <x14:sparklineGroup type="column" displayEmptyCellsAs="gap">
          <x14:colorSeries rgb="FF000000"/>
          <x14:sparklines>
            <x14:sparkline>
              <xm:f>SPARKLINE!C503:E503</xm:f>
              <xm:sqref>K503</xm:sqref>
            </x14:sparkline>
          </x14:sparklines>
        </x14:sparklineGroup>
        <x14:sparklineGroup type="column" displayEmptyCellsAs="gap">
          <x14:colorSeries rgb="FF000000"/>
          <x14:sparklines>
            <x14:sparkline>
              <xm:f>SPARKLINE!C504:E504</xm:f>
              <xm:sqref>K504</xm:sqref>
            </x14:sparkline>
          </x14:sparklines>
        </x14:sparklineGroup>
        <x14:sparklineGroup type="column" displayEmptyCellsAs="gap">
          <x14:colorSeries rgb="FF000000"/>
          <x14:sparklines>
            <x14:sparkline>
              <xm:f>SPARKLINE!C505:E505</xm:f>
              <xm:sqref>K505</xm:sqref>
            </x14:sparkline>
          </x14:sparklines>
        </x14:sparklineGroup>
        <x14:sparklineGroup type="column" displayEmptyCellsAs="gap">
          <x14:colorSeries rgb="FF000000"/>
          <x14:sparklines>
            <x14:sparkline>
              <xm:f>SPARKLINE!C506:E506</xm:f>
              <xm:sqref>K506</xm:sqref>
            </x14:sparkline>
          </x14:sparklines>
        </x14:sparklineGroup>
        <x14:sparklineGroup type="column" displayEmptyCellsAs="gap">
          <x14:colorSeries rgb="FF000000"/>
          <x14:sparklines>
            <x14:sparkline>
              <xm:f>SPARKLINE!C507:E507</xm:f>
              <xm:sqref>K507</xm:sqref>
            </x14:sparkline>
          </x14:sparklines>
        </x14:sparklineGroup>
        <x14:sparklineGroup type="column" displayEmptyCellsAs="gap">
          <x14:colorSeries rgb="FF000000"/>
          <x14:sparklines>
            <x14:sparkline>
              <xm:f>SPARKLINE!C508:E508</xm:f>
              <xm:sqref>K508</xm:sqref>
            </x14:sparkline>
          </x14:sparklines>
        </x14:sparklineGroup>
        <x14:sparklineGroup type="column" displayEmptyCellsAs="gap">
          <x14:colorSeries rgb="FF000000"/>
          <x14:sparklines>
            <x14:sparkline>
              <xm:f>SPARKLINE!C509:E509</xm:f>
              <xm:sqref>K509</xm:sqref>
            </x14:sparkline>
          </x14:sparklines>
        </x14:sparklineGroup>
        <x14:sparklineGroup type="column" displayEmptyCellsAs="gap">
          <x14:colorSeries rgb="FF000000"/>
          <x14:sparklines>
            <x14:sparkline>
              <xm:f>SPARKLINE!C510:E510</xm:f>
              <xm:sqref>K510</xm:sqref>
            </x14:sparkline>
          </x14:sparklines>
        </x14:sparklineGroup>
        <x14:sparklineGroup type="column" displayEmptyCellsAs="gap">
          <x14:colorSeries rgb="FF000000"/>
          <x14:sparklines>
            <x14:sparkline>
              <xm:f>SPARKLINE!C511:E511</xm:f>
              <xm:sqref>K511</xm:sqref>
            </x14:sparkline>
          </x14:sparklines>
        </x14:sparklineGroup>
        <x14:sparklineGroup type="column" displayEmptyCellsAs="gap">
          <x14:colorSeries rgb="FF000000"/>
          <x14:sparklines>
            <x14:sparkline>
              <xm:f>SPARKLINE!C512:E512</xm:f>
              <xm:sqref>K512</xm:sqref>
            </x14:sparkline>
          </x14:sparklines>
        </x14:sparklineGroup>
        <x14:sparklineGroup type="column" displayEmptyCellsAs="gap">
          <x14:colorSeries rgb="FF000000"/>
          <x14:sparklines>
            <x14:sparkline>
              <xm:f>SPARKLINE!C513:E513</xm:f>
              <xm:sqref>K513</xm:sqref>
            </x14:sparkline>
          </x14:sparklines>
        </x14:sparklineGroup>
        <x14:sparklineGroup type="column" displayEmptyCellsAs="gap">
          <x14:colorSeries rgb="FF000000"/>
          <x14:sparklines>
            <x14:sparkline>
              <xm:f>SPARKLINE!C514:E514</xm:f>
              <xm:sqref>K514</xm:sqref>
            </x14:sparkline>
          </x14:sparklines>
        </x14:sparklineGroup>
        <x14:sparklineGroup type="column" displayEmptyCellsAs="gap">
          <x14:colorSeries rgb="FF000000"/>
          <x14:sparklines>
            <x14:sparkline>
              <xm:f>SPARKLINE!C515:E515</xm:f>
              <xm:sqref>K515</xm:sqref>
            </x14:sparkline>
          </x14:sparklines>
        </x14:sparklineGroup>
        <x14:sparklineGroup type="column" displayEmptyCellsAs="gap">
          <x14:colorSeries rgb="FF000000"/>
          <x14:sparklines>
            <x14:sparkline>
              <xm:f>SPARKLINE!C516:E516</xm:f>
              <xm:sqref>K516</xm:sqref>
            </x14:sparkline>
          </x14:sparklines>
        </x14:sparklineGroup>
        <x14:sparklineGroup type="column" displayEmptyCellsAs="gap">
          <x14:colorSeries rgb="FF000000"/>
          <x14:sparklines>
            <x14:sparkline>
              <xm:f>SPARKLINE!C517:E517</xm:f>
              <xm:sqref>K517</xm:sqref>
            </x14:sparkline>
          </x14:sparklines>
        </x14:sparklineGroup>
        <x14:sparklineGroup type="column" displayEmptyCellsAs="gap">
          <x14:colorSeries rgb="FF000000"/>
          <x14:sparklines>
            <x14:sparkline>
              <xm:f>SPARKLINE!C518:E518</xm:f>
              <xm:sqref>K518</xm:sqref>
            </x14:sparkline>
          </x14:sparklines>
        </x14:sparklineGroup>
        <x14:sparklineGroup type="column" displayEmptyCellsAs="gap">
          <x14:colorSeries rgb="FF000000"/>
          <x14:sparklines>
            <x14:sparkline>
              <xm:f>SPARKLINE!C519:E519</xm:f>
              <xm:sqref>K519</xm:sqref>
            </x14:sparkline>
          </x14:sparklines>
        </x14:sparklineGroup>
        <x14:sparklineGroup type="column" displayEmptyCellsAs="gap">
          <x14:colorSeries rgb="FF000000"/>
          <x14:sparklines>
            <x14:sparkline>
              <xm:f>SPARKLINE!C520:E520</xm:f>
              <xm:sqref>K520</xm:sqref>
            </x14:sparkline>
          </x14:sparklines>
        </x14:sparklineGroup>
        <x14:sparklineGroup type="column" displayEmptyCellsAs="gap">
          <x14:colorSeries rgb="FF000000"/>
          <x14:sparklines>
            <x14:sparkline>
              <xm:f>SPARKLINE!C521:E521</xm:f>
              <xm:sqref>K521</xm:sqref>
            </x14:sparkline>
          </x14:sparklines>
        </x14:sparklineGroup>
        <x14:sparklineGroup type="column" displayEmptyCellsAs="gap">
          <x14:colorSeries rgb="FF000000"/>
          <x14:sparklines>
            <x14:sparkline>
              <xm:f>SPARKLINE!C522:E522</xm:f>
              <xm:sqref>K522</xm:sqref>
            </x14:sparkline>
          </x14:sparklines>
        </x14:sparklineGroup>
        <x14:sparklineGroup type="column" displayEmptyCellsAs="gap">
          <x14:colorSeries rgb="FF000000"/>
          <x14:sparklines>
            <x14:sparkline>
              <xm:f>SPARKLINE!C523:E523</xm:f>
              <xm:sqref>K523</xm:sqref>
            </x14:sparkline>
          </x14:sparklines>
        </x14:sparklineGroup>
        <x14:sparklineGroup type="column" displayEmptyCellsAs="gap">
          <x14:colorSeries rgb="FF000000"/>
          <x14:sparklines>
            <x14:sparkline>
              <xm:f>SPARKLINE!C524:E524</xm:f>
              <xm:sqref>K524</xm:sqref>
            </x14:sparkline>
          </x14:sparklines>
        </x14:sparklineGroup>
        <x14:sparklineGroup type="column" displayEmptyCellsAs="gap">
          <x14:colorSeries rgb="FF000000"/>
          <x14:sparklines>
            <x14:sparkline>
              <xm:f>SPARKLINE!C525:E525</xm:f>
              <xm:sqref>K525</xm:sqref>
            </x14:sparkline>
          </x14:sparklines>
        </x14:sparklineGroup>
        <x14:sparklineGroup type="column" displayEmptyCellsAs="gap">
          <x14:colorSeries rgb="FF000000"/>
          <x14:sparklines>
            <x14:sparkline>
              <xm:f>SPARKLINE!C526:E526</xm:f>
              <xm:sqref>K526</xm:sqref>
            </x14:sparkline>
          </x14:sparklines>
        </x14:sparklineGroup>
        <x14:sparklineGroup type="column" displayEmptyCellsAs="gap">
          <x14:colorSeries rgb="FF000000"/>
          <x14:sparklines>
            <x14:sparkline>
              <xm:f>SPARKLINE!C527:E527</xm:f>
              <xm:sqref>K527</xm:sqref>
            </x14:sparkline>
          </x14:sparklines>
        </x14:sparklineGroup>
        <x14:sparklineGroup type="column" displayEmptyCellsAs="gap">
          <x14:colorSeries rgb="FF000000"/>
          <x14:sparklines>
            <x14:sparkline>
              <xm:f>SPARKLINE!C528:E528</xm:f>
              <xm:sqref>K528</xm:sqref>
            </x14:sparkline>
          </x14:sparklines>
        </x14:sparklineGroup>
        <x14:sparklineGroup type="column" displayEmptyCellsAs="gap">
          <x14:colorSeries rgb="FF000000"/>
          <x14:sparklines>
            <x14:sparkline>
              <xm:f>SPARKLINE!C529:E529</xm:f>
              <xm:sqref>K529</xm:sqref>
            </x14:sparkline>
          </x14:sparklines>
        </x14:sparklineGroup>
        <x14:sparklineGroup type="column" displayEmptyCellsAs="gap">
          <x14:colorSeries rgb="FF000000"/>
          <x14:sparklines>
            <x14:sparkline>
              <xm:f>SPARKLINE!C530:E530</xm:f>
              <xm:sqref>K530</xm:sqref>
            </x14:sparkline>
          </x14:sparklines>
        </x14:sparklineGroup>
        <x14:sparklineGroup type="column" displayEmptyCellsAs="gap">
          <x14:colorSeries rgb="FF000000"/>
          <x14:sparklines>
            <x14:sparkline>
              <xm:f>SPARKLINE!C531:E531</xm:f>
              <xm:sqref>K531</xm:sqref>
            </x14:sparkline>
          </x14:sparklines>
        </x14:sparklineGroup>
        <x14:sparklineGroup type="column" displayEmptyCellsAs="gap">
          <x14:colorSeries rgb="FF000000"/>
          <x14:sparklines>
            <x14:sparkline>
              <xm:f>SPARKLINE!C532:E532</xm:f>
              <xm:sqref>K532</xm:sqref>
            </x14:sparkline>
          </x14:sparklines>
        </x14:sparklineGroup>
        <x14:sparklineGroup type="column" displayEmptyCellsAs="gap">
          <x14:colorSeries rgb="FF000000"/>
          <x14:sparklines>
            <x14:sparkline>
              <xm:f>SPARKLINE!C533:E533</xm:f>
              <xm:sqref>K533</xm:sqref>
            </x14:sparkline>
          </x14:sparklines>
        </x14:sparklineGroup>
        <x14:sparklineGroup type="column" displayEmptyCellsAs="gap">
          <x14:colorSeries rgb="FF000000"/>
          <x14:sparklines>
            <x14:sparkline>
              <xm:f>SPARKLINE!C534:E534</xm:f>
              <xm:sqref>K534</xm:sqref>
            </x14:sparkline>
          </x14:sparklines>
        </x14:sparklineGroup>
        <x14:sparklineGroup type="column" displayEmptyCellsAs="gap">
          <x14:colorSeries rgb="FF000000"/>
          <x14:sparklines>
            <x14:sparkline>
              <xm:f>SPARKLINE!C535:E535</xm:f>
              <xm:sqref>K535</xm:sqref>
            </x14:sparkline>
          </x14:sparklines>
        </x14:sparklineGroup>
        <x14:sparklineGroup type="column" displayEmptyCellsAs="gap">
          <x14:colorSeries rgb="FF000000"/>
          <x14:sparklines>
            <x14:sparkline>
              <xm:f>SPARKLINE!C536:E536</xm:f>
              <xm:sqref>K536</xm:sqref>
            </x14:sparkline>
          </x14:sparklines>
        </x14:sparklineGroup>
        <x14:sparklineGroup type="column" displayEmptyCellsAs="gap">
          <x14:colorSeries rgb="FF000000"/>
          <x14:sparklines>
            <x14:sparkline>
              <xm:f>SPARKLINE!C537:E537</xm:f>
              <xm:sqref>K537</xm:sqref>
            </x14:sparkline>
          </x14:sparklines>
        </x14:sparklineGroup>
        <x14:sparklineGroup type="column" displayEmptyCellsAs="gap">
          <x14:colorSeries rgb="FF000000"/>
          <x14:sparklines>
            <x14:sparkline>
              <xm:f>SPARKLINE!C538:E538</xm:f>
              <xm:sqref>K538</xm:sqref>
            </x14:sparkline>
          </x14:sparklines>
        </x14:sparklineGroup>
        <x14:sparklineGroup type="column" displayEmptyCellsAs="gap">
          <x14:colorSeries rgb="FF000000"/>
          <x14:sparklines>
            <x14:sparkline>
              <xm:f>SPARKLINE!C539:E539</xm:f>
              <xm:sqref>K539</xm:sqref>
            </x14:sparkline>
          </x14:sparklines>
        </x14:sparklineGroup>
        <x14:sparklineGroup type="column" displayEmptyCellsAs="gap">
          <x14:colorSeries rgb="FF000000"/>
          <x14:sparklines>
            <x14:sparkline>
              <xm:f>SPARKLINE!C540:E540</xm:f>
              <xm:sqref>K540</xm:sqref>
            </x14:sparkline>
          </x14:sparklines>
        </x14:sparklineGroup>
        <x14:sparklineGroup type="column" displayEmptyCellsAs="gap">
          <x14:colorSeries rgb="FF000000"/>
          <x14:sparklines>
            <x14:sparkline>
              <xm:f>SPARKLINE!C541:E541</xm:f>
              <xm:sqref>K541</xm:sqref>
            </x14:sparkline>
          </x14:sparklines>
        </x14:sparklineGroup>
        <x14:sparklineGroup type="column" displayEmptyCellsAs="gap">
          <x14:colorSeries rgb="FF000000"/>
          <x14:sparklines>
            <x14:sparkline>
              <xm:f>SPARKLINE!C542:E542</xm:f>
              <xm:sqref>K542</xm:sqref>
            </x14:sparkline>
          </x14:sparklines>
        </x14:sparklineGroup>
        <x14:sparklineGroup type="column" displayEmptyCellsAs="gap">
          <x14:colorSeries rgb="FF000000"/>
          <x14:sparklines>
            <x14:sparkline>
              <xm:f>SPARKLINE!C543:E543</xm:f>
              <xm:sqref>K543</xm:sqref>
            </x14:sparkline>
          </x14:sparklines>
        </x14:sparklineGroup>
        <x14:sparklineGroup type="column" displayEmptyCellsAs="gap">
          <x14:colorSeries rgb="FF000000"/>
          <x14:sparklines>
            <x14:sparkline>
              <xm:f>SPARKLINE!C544:E544</xm:f>
              <xm:sqref>K544</xm:sqref>
            </x14:sparkline>
          </x14:sparklines>
        </x14:sparklineGroup>
        <x14:sparklineGroup type="column" displayEmptyCellsAs="gap">
          <x14:colorSeries rgb="FF000000"/>
          <x14:sparklines>
            <x14:sparkline>
              <xm:f>SPARKLINE!C545:E545</xm:f>
              <xm:sqref>K545</xm:sqref>
            </x14:sparkline>
          </x14:sparklines>
        </x14:sparklineGroup>
        <x14:sparklineGroup type="column" displayEmptyCellsAs="gap">
          <x14:colorSeries rgb="FF000000"/>
          <x14:sparklines>
            <x14:sparkline>
              <xm:f>SPARKLINE!C546:E546</xm:f>
              <xm:sqref>K546</xm:sqref>
            </x14:sparkline>
          </x14:sparklines>
        </x14:sparklineGroup>
        <x14:sparklineGroup type="column" displayEmptyCellsAs="gap">
          <x14:colorSeries rgb="FF000000"/>
          <x14:sparklines>
            <x14:sparkline>
              <xm:f>SPARKLINE!C547:E547</xm:f>
              <xm:sqref>K547</xm:sqref>
            </x14:sparkline>
          </x14:sparklines>
        </x14:sparklineGroup>
        <x14:sparklineGroup type="column" displayEmptyCellsAs="gap">
          <x14:colorSeries rgb="FF000000"/>
          <x14:sparklines>
            <x14:sparkline>
              <xm:f>SPARKLINE!C548:E548</xm:f>
              <xm:sqref>K548</xm:sqref>
            </x14:sparkline>
          </x14:sparklines>
        </x14:sparklineGroup>
        <x14:sparklineGroup type="column" displayEmptyCellsAs="gap">
          <x14:colorSeries rgb="FF000000"/>
          <x14:sparklines>
            <x14:sparkline>
              <xm:f>SPARKLINE!C549:E549</xm:f>
              <xm:sqref>K549</xm:sqref>
            </x14:sparkline>
          </x14:sparklines>
        </x14:sparklineGroup>
        <x14:sparklineGroup type="column" displayEmptyCellsAs="gap">
          <x14:colorSeries rgb="FF000000"/>
          <x14:sparklines>
            <x14:sparkline>
              <xm:f>SPARKLINE!C550:E550</xm:f>
              <xm:sqref>K550</xm:sqref>
            </x14:sparkline>
          </x14:sparklines>
        </x14:sparklineGroup>
        <x14:sparklineGroup type="column" displayEmptyCellsAs="gap">
          <x14:colorSeries rgb="FF000000"/>
          <x14:sparklines>
            <x14:sparkline>
              <xm:f>SPARKLINE!C551:E551</xm:f>
              <xm:sqref>K551</xm:sqref>
            </x14:sparkline>
          </x14:sparklines>
        </x14:sparklineGroup>
        <x14:sparklineGroup type="column" displayEmptyCellsAs="gap">
          <x14:colorSeries rgb="FF000000"/>
          <x14:sparklines>
            <x14:sparkline>
              <xm:f>SPARKLINE!C552:E552</xm:f>
              <xm:sqref>K552</xm:sqref>
            </x14:sparkline>
          </x14:sparklines>
        </x14:sparklineGroup>
        <x14:sparklineGroup type="column" displayEmptyCellsAs="gap">
          <x14:colorSeries rgb="FF000000"/>
          <x14:sparklines>
            <x14:sparkline>
              <xm:f>SPARKLINE!C553:E553</xm:f>
              <xm:sqref>K553</xm:sqref>
            </x14:sparkline>
          </x14:sparklines>
        </x14:sparklineGroup>
        <x14:sparklineGroup type="column" displayEmptyCellsAs="gap">
          <x14:colorSeries rgb="FF000000"/>
          <x14:sparklines>
            <x14:sparkline>
              <xm:f>SPARKLINE!C554:E554</xm:f>
              <xm:sqref>K554</xm:sqref>
            </x14:sparkline>
          </x14:sparklines>
        </x14:sparklineGroup>
        <x14:sparklineGroup type="column" displayEmptyCellsAs="gap">
          <x14:colorSeries rgb="FF000000"/>
          <x14:sparklines>
            <x14:sparkline>
              <xm:f>SPARKLINE!C555:E555</xm:f>
              <xm:sqref>K555</xm:sqref>
            </x14:sparkline>
          </x14:sparklines>
        </x14:sparklineGroup>
        <x14:sparklineGroup type="column" displayEmptyCellsAs="gap">
          <x14:colorSeries rgb="FF000000"/>
          <x14:sparklines>
            <x14:sparkline>
              <xm:f>SPARKLINE!C556:E556</xm:f>
              <xm:sqref>K556</xm:sqref>
            </x14:sparkline>
          </x14:sparklines>
        </x14:sparklineGroup>
        <x14:sparklineGroup type="column" displayEmptyCellsAs="gap">
          <x14:colorSeries rgb="FF000000"/>
          <x14:sparklines>
            <x14:sparkline>
              <xm:f>SPARKLINE!C557:E557</xm:f>
              <xm:sqref>K557</xm:sqref>
            </x14:sparkline>
          </x14:sparklines>
        </x14:sparklineGroup>
        <x14:sparklineGroup type="column" displayEmptyCellsAs="gap">
          <x14:colorSeries rgb="FF000000"/>
          <x14:sparklines>
            <x14:sparkline>
              <xm:f>SPARKLINE!C558:E558</xm:f>
              <xm:sqref>K558</xm:sqref>
            </x14:sparkline>
          </x14:sparklines>
        </x14:sparklineGroup>
        <x14:sparklineGroup type="column" displayEmptyCellsAs="gap">
          <x14:colorSeries rgb="FF000000"/>
          <x14:sparklines>
            <x14:sparkline>
              <xm:f>SPARKLINE!C559:E559</xm:f>
              <xm:sqref>K559</xm:sqref>
            </x14:sparkline>
          </x14:sparklines>
        </x14:sparklineGroup>
        <x14:sparklineGroup type="column" displayEmptyCellsAs="gap">
          <x14:colorSeries rgb="FF000000"/>
          <x14:sparklines>
            <x14:sparkline>
              <xm:f>SPARKLINE!C560:E560</xm:f>
              <xm:sqref>K560</xm:sqref>
            </x14:sparkline>
          </x14:sparklines>
        </x14:sparklineGroup>
        <x14:sparklineGroup type="column" displayEmptyCellsAs="gap">
          <x14:colorSeries rgb="FF000000"/>
          <x14:sparklines>
            <x14:sparkline>
              <xm:f>SPARKLINE!C561:E561</xm:f>
              <xm:sqref>K561</xm:sqref>
            </x14:sparkline>
          </x14:sparklines>
        </x14:sparklineGroup>
        <x14:sparklineGroup type="column" displayEmptyCellsAs="gap">
          <x14:colorSeries rgb="FF000000"/>
          <x14:sparklines>
            <x14:sparkline>
              <xm:f>SPARKLINE!C562:E562</xm:f>
              <xm:sqref>K562</xm:sqref>
            </x14:sparkline>
          </x14:sparklines>
        </x14:sparklineGroup>
        <x14:sparklineGroup type="column" displayEmptyCellsAs="gap">
          <x14:colorSeries rgb="FF000000"/>
          <x14:sparklines>
            <x14:sparkline>
              <xm:f>SPARKLINE!C563:E563</xm:f>
              <xm:sqref>K563</xm:sqref>
            </x14:sparkline>
          </x14:sparklines>
        </x14:sparklineGroup>
        <x14:sparklineGroup type="column" displayEmptyCellsAs="gap">
          <x14:colorSeries rgb="FF000000"/>
          <x14:sparklines>
            <x14:sparkline>
              <xm:f>SPARKLINE!C564:E564</xm:f>
              <xm:sqref>K564</xm:sqref>
            </x14:sparkline>
          </x14:sparklines>
        </x14:sparklineGroup>
        <x14:sparklineGroup type="column" displayEmptyCellsAs="gap">
          <x14:colorSeries rgb="FF000000"/>
          <x14:sparklines>
            <x14:sparkline>
              <xm:f>SPARKLINE!C565:E565</xm:f>
              <xm:sqref>K565</xm:sqref>
            </x14:sparkline>
          </x14:sparklines>
        </x14:sparklineGroup>
        <x14:sparklineGroup type="column" displayEmptyCellsAs="gap">
          <x14:colorSeries rgb="FF000000"/>
          <x14:sparklines>
            <x14:sparkline>
              <xm:f>SPARKLINE!C566:E566</xm:f>
              <xm:sqref>K566</xm:sqref>
            </x14:sparkline>
          </x14:sparklines>
        </x14:sparklineGroup>
        <x14:sparklineGroup type="column" displayEmptyCellsAs="gap">
          <x14:colorSeries rgb="FF000000"/>
          <x14:sparklines>
            <x14:sparkline>
              <xm:f>SPARKLINE!C567:E567</xm:f>
              <xm:sqref>K567</xm:sqref>
            </x14:sparkline>
          </x14:sparklines>
        </x14:sparklineGroup>
        <x14:sparklineGroup type="column" displayEmptyCellsAs="gap">
          <x14:colorSeries rgb="FF000000"/>
          <x14:sparklines>
            <x14:sparkline>
              <xm:f>SPARKLINE!C568:E568</xm:f>
              <xm:sqref>K568</xm:sqref>
            </x14:sparkline>
          </x14:sparklines>
        </x14:sparklineGroup>
        <x14:sparklineGroup type="column" displayEmptyCellsAs="gap">
          <x14:colorSeries rgb="FF000000"/>
          <x14:sparklines>
            <x14:sparkline>
              <xm:f>SPARKLINE!C569:E569</xm:f>
              <xm:sqref>K569</xm:sqref>
            </x14:sparkline>
          </x14:sparklines>
        </x14:sparklineGroup>
        <x14:sparklineGroup type="column" displayEmptyCellsAs="gap">
          <x14:colorSeries rgb="FF000000"/>
          <x14:sparklines>
            <x14:sparkline>
              <xm:f>SPARKLINE!C570:E570</xm:f>
              <xm:sqref>K570</xm:sqref>
            </x14:sparkline>
          </x14:sparklines>
        </x14:sparklineGroup>
        <x14:sparklineGroup type="column" displayEmptyCellsAs="gap">
          <x14:colorSeries rgb="FF000000"/>
          <x14:sparklines>
            <x14:sparkline>
              <xm:f>SPARKLINE!C571:E571</xm:f>
              <xm:sqref>K571</xm:sqref>
            </x14:sparkline>
          </x14:sparklines>
        </x14:sparklineGroup>
        <x14:sparklineGroup type="column" displayEmptyCellsAs="gap">
          <x14:colorSeries rgb="FF000000"/>
          <x14:sparklines>
            <x14:sparkline>
              <xm:f>SPARKLINE!C572:E572</xm:f>
              <xm:sqref>K572</xm:sqref>
            </x14:sparkline>
          </x14:sparklines>
        </x14:sparklineGroup>
        <x14:sparklineGroup type="column" displayEmptyCellsAs="gap">
          <x14:colorSeries rgb="FF000000"/>
          <x14:sparklines>
            <x14:sparkline>
              <xm:f>SPARKLINE!C573:E573</xm:f>
              <xm:sqref>K573</xm:sqref>
            </x14:sparkline>
          </x14:sparklines>
        </x14:sparklineGroup>
        <x14:sparklineGroup type="column" displayEmptyCellsAs="gap">
          <x14:colorSeries rgb="FF000000"/>
          <x14:sparklines>
            <x14:sparkline>
              <xm:f>SPARKLINE!C574:E574</xm:f>
              <xm:sqref>K574</xm:sqref>
            </x14:sparkline>
          </x14:sparklines>
        </x14:sparklineGroup>
        <x14:sparklineGroup type="column" displayEmptyCellsAs="gap">
          <x14:colorSeries rgb="FF000000"/>
          <x14:sparklines>
            <x14:sparkline>
              <xm:f>SPARKLINE!C575:E575</xm:f>
              <xm:sqref>K575</xm:sqref>
            </x14:sparkline>
          </x14:sparklines>
        </x14:sparklineGroup>
        <x14:sparklineGroup type="column" displayEmptyCellsAs="gap">
          <x14:colorSeries rgb="FF000000"/>
          <x14:sparklines>
            <x14:sparkline>
              <xm:f>SPARKLINE!C576:E576</xm:f>
              <xm:sqref>K576</xm:sqref>
            </x14:sparkline>
          </x14:sparklines>
        </x14:sparklineGroup>
        <x14:sparklineGroup type="column" displayEmptyCellsAs="gap">
          <x14:colorSeries rgb="FF000000"/>
          <x14:sparklines>
            <x14:sparkline>
              <xm:f>SPARKLINE!C577:E577</xm:f>
              <xm:sqref>K577</xm:sqref>
            </x14:sparkline>
          </x14:sparklines>
        </x14:sparklineGroup>
        <x14:sparklineGroup type="column" displayEmptyCellsAs="gap">
          <x14:colorSeries rgb="FF000000"/>
          <x14:sparklines>
            <x14:sparkline>
              <xm:f>SPARKLINE!C578:E578</xm:f>
              <xm:sqref>K578</xm:sqref>
            </x14:sparkline>
          </x14:sparklines>
        </x14:sparklineGroup>
        <x14:sparklineGroup type="column" displayEmptyCellsAs="gap">
          <x14:colorSeries rgb="FF000000"/>
          <x14:sparklines>
            <x14:sparkline>
              <xm:f>SPARKLINE!C579:E579</xm:f>
              <xm:sqref>K579</xm:sqref>
            </x14:sparkline>
          </x14:sparklines>
        </x14:sparklineGroup>
        <x14:sparklineGroup type="column" displayEmptyCellsAs="gap">
          <x14:colorSeries rgb="FF000000"/>
          <x14:sparklines>
            <x14:sparkline>
              <xm:f>SPARKLINE!C580:E580</xm:f>
              <xm:sqref>K580</xm:sqref>
            </x14:sparkline>
          </x14:sparklines>
        </x14:sparklineGroup>
        <x14:sparklineGroup type="column" displayEmptyCellsAs="gap">
          <x14:colorSeries rgb="FF000000"/>
          <x14:sparklines>
            <x14:sparkline>
              <xm:f>SPARKLINE!C581:E581</xm:f>
              <xm:sqref>K581</xm:sqref>
            </x14:sparkline>
          </x14:sparklines>
        </x14:sparklineGroup>
        <x14:sparklineGroup type="column" displayEmptyCellsAs="gap">
          <x14:colorSeries rgb="FF000000"/>
          <x14:sparklines>
            <x14:sparkline>
              <xm:f>SPARKLINE!C582:E582</xm:f>
              <xm:sqref>K582</xm:sqref>
            </x14:sparkline>
          </x14:sparklines>
        </x14:sparklineGroup>
        <x14:sparklineGroup type="column" displayEmptyCellsAs="gap">
          <x14:colorSeries rgb="FF000000"/>
          <x14:sparklines>
            <x14:sparkline>
              <xm:f>SPARKLINE!C583:E583</xm:f>
              <xm:sqref>K583</xm:sqref>
            </x14:sparkline>
          </x14:sparklines>
        </x14:sparklineGroup>
        <x14:sparklineGroup type="column" displayEmptyCellsAs="gap">
          <x14:colorSeries rgb="FF000000"/>
          <x14:sparklines>
            <x14:sparkline>
              <xm:f>SPARKLINE!C584:E584</xm:f>
              <xm:sqref>K584</xm:sqref>
            </x14:sparkline>
          </x14:sparklines>
        </x14:sparklineGroup>
        <x14:sparklineGroup type="column" displayEmptyCellsAs="gap">
          <x14:colorSeries rgb="FF000000"/>
          <x14:sparklines>
            <x14:sparkline>
              <xm:f>SPARKLINE!C585:E585</xm:f>
              <xm:sqref>K585</xm:sqref>
            </x14:sparkline>
          </x14:sparklines>
        </x14:sparklineGroup>
        <x14:sparklineGroup type="column" displayEmptyCellsAs="gap">
          <x14:colorSeries rgb="FF000000"/>
          <x14:sparklines>
            <x14:sparkline>
              <xm:f>SPARKLINE!C586:E586</xm:f>
              <xm:sqref>K586</xm:sqref>
            </x14:sparkline>
          </x14:sparklines>
        </x14:sparklineGroup>
        <x14:sparklineGroup type="column" displayEmptyCellsAs="gap">
          <x14:colorSeries rgb="FF000000"/>
          <x14:sparklines>
            <x14:sparkline>
              <xm:f>SPARKLINE!C587:E587</xm:f>
              <xm:sqref>K587</xm:sqref>
            </x14:sparkline>
          </x14:sparklines>
        </x14:sparklineGroup>
        <x14:sparklineGroup type="column" displayEmptyCellsAs="gap">
          <x14:colorSeries rgb="FF000000"/>
          <x14:sparklines>
            <x14:sparkline>
              <xm:f>SPARKLINE!C588:E588</xm:f>
              <xm:sqref>K588</xm:sqref>
            </x14:sparkline>
          </x14:sparklines>
        </x14:sparklineGroup>
        <x14:sparklineGroup type="column" displayEmptyCellsAs="gap">
          <x14:colorSeries rgb="FF000000"/>
          <x14:sparklines>
            <x14:sparkline>
              <xm:f>SPARKLINE!C589:E589</xm:f>
              <xm:sqref>K589</xm:sqref>
            </x14:sparkline>
          </x14:sparklines>
        </x14:sparklineGroup>
        <x14:sparklineGroup type="column" displayEmptyCellsAs="gap">
          <x14:colorSeries rgb="FF000000"/>
          <x14:sparklines>
            <x14:sparkline>
              <xm:f>SPARKLINE!C590:E590</xm:f>
              <xm:sqref>K590</xm:sqref>
            </x14:sparkline>
          </x14:sparklines>
        </x14:sparklineGroup>
        <x14:sparklineGroup type="column" displayEmptyCellsAs="gap">
          <x14:colorSeries rgb="FF000000"/>
          <x14:sparklines>
            <x14:sparkline>
              <xm:f>SPARKLINE!C591:E591</xm:f>
              <xm:sqref>K591</xm:sqref>
            </x14:sparkline>
          </x14:sparklines>
        </x14:sparklineGroup>
        <x14:sparklineGroup type="column" displayEmptyCellsAs="gap">
          <x14:colorSeries rgb="FF000000"/>
          <x14:sparklines>
            <x14:sparkline>
              <xm:f>SPARKLINE!C592:E592</xm:f>
              <xm:sqref>K592</xm:sqref>
            </x14:sparkline>
          </x14:sparklines>
        </x14:sparklineGroup>
        <x14:sparklineGroup type="column" displayEmptyCellsAs="gap">
          <x14:colorSeries rgb="FF000000"/>
          <x14:sparklines>
            <x14:sparkline>
              <xm:f>SPARKLINE!C593:E593</xm:f>
              <xm:sqref>K593</xm:sqref>
            </x14:sparkline>
          </x14:sparklines>
        </x14:sparklineGroup>
        <x14:sparklineGroup type="column" displayEmptyCellsAs="gap">
          <x14:colorSeries rgb="FF000000"/>
          <x14:sparklines>
            <x14:sparkline>
              <xm:f>SPARKLINE!C594:E594</xm:f>
              <xm:sqref>K594</xm:sqref>
            </x14:sparkline>
          </x14:sparklines>
        </x14:sparklineGroup>
        <x14:sparklineGroup type="column" displayEmptyCellsAs="gap">
          <x14:colorSeries rgb="FF000000"/>
          <x14:sparklines>
            <x14:sparkline>
              <xm:f>SPARKLINE!C595:E595</xm:f>
              <xm:sqref>K595</xm:sqref>
            </x14:sparkline>
          </x14:sparklines>
        </x14:sparklineGroup>
        <x14:sparklineGroup type="column" displayEmptyCellsAs="gap">
          <x14:colorSeries rgb="FF000000"/>
          <x14:sparklines>
            <x14:sparkline>
              <xm:f>SPARKLINE!C596:E596</xm:f>
              <xm:sqref>K596</xm:sqref>
            </x14:sparkline>
          </x14:sparklines>
        </x14:sparklineGroup>
        <x14:sparklineGroup type="column" displayEmptyCellsAs="gap">
          <x14:colorSeries rgb="FF000000"/>
          <x14:sparklines>
            <x14:sparkline>
              <xm:f>SPARKLINE!C597:E597</xm:f>
              <xm:sqref>K597</xm:sqref>
            </x14:sparkline>
          </x14:sparklines>
        </x14:sparklineGroup>
        <x14:sparklineGroup type="column" displayEmptyCellsAs="gap">
          <x14:colorSeries rgb="FF000000"/>
          <x14:sparklines>
            <x14:sparkline>
              <xm:f>SPARKLINE!C598:E598</xm:f>
              <xm:sqref>K598</xm:sqref>
            </x14:sparkline>
          </x14:sparklines>
        </x14:sparklineGroup>
        <x14:sparklineGroup type="column" displayEmptyCellsAs="gap">
          <x14:colorSeries rgb="FF000000"/>
          <x14:sparklines>
            <x14:sparkline>
              <xm:f>SPARKLINE!C599:E599</xm:f>
              <xm:sqref>K599</xm:sqref>
            </x14:sparkline>
          </x14:sparklines>
        </x14:sparklineGroup>
        <x14:sparklineGroup type="column" displayEmptyCellsAs="gap">
          <x14:colorSeries rgb="FF000000"/>
          <x14:sparklines>
            <x14:sparkline>
              <xm:f>SPARKLINE!C600:E600</xm:f>
              <xm:sqref>K600</xm:sqref>
            </x14:sparkline>
          </x14:sparklines>
        </x14:sparklineGroup>
        <x14:sparklineGroup type="column" displayEmptyCellsAs="gap">
          <x14:colorSeries rgb="FF000000"/>
          <x14:sparklines>
            <x14:sparkline>
              <xm:f>SPARKLINE!C601:E601</xm:f>
              <xm:sqref>K601</xm:sqref>
            </x14:sparkline>
          </x14:sparklines>
        </x14:sparklineGroup>
        <x14:sparklineGroup type="column" displayEmptyCellsAs="gap">
          <x14:colorSeries rgb="FF000000"/>
          <x14:sparklines>
            <x14:sparkline>
              <xm:f>SPARKLINE!C602:E602</xm:f>
              <xm:sqref>K602</xm:sqref>
            </x14:sparkline>
          </x14:sparklines>
        </x14:sparklineGroup>
        <x14:sparklineGroup type="column" displayEmptyCellsAs="gap">
          <x14:colorSeries rgb="FF000000"/>
          <x14:sparklines>
            <x14:sparkline>
              <xm:f>SPARKLINE!C603:E603</xm:f>
              <xm:sqref>K603</xm:sqref>
            </x14:sparkline>
          </x14:sparklines>
        </x14:sparklineGroup>
        <x14:sparklineGroup type="column" displayEmptyCellsAs="gap">
          <x14:colorSeries rgb="FF000000"/>
          <x14:sparklines>
            <x14:sparkline>
              <xm:f>SPARKLINE!C604:E604</xm:f>
              <xm:sqref>K604</xm:sqref>
            </x14:sparkline>
          </x14:sparklines>
        </x14:sparklineGroup>
        <x14:sparklineGroup type="column" displayEmptyCellsAs="gap">
          <x14:colorSeries rgb="FF000000"/>
          <x14:sparklines>
            <x14:sparkline>
              <xm:f>SPARKLINE!C605:E605</xm:f>
              <xm:sqref>K605</xm:sqref>
            </x14:sparkline>
          </x14:sparklines>
        </x14:sparklineGroup>
        <x14:sparklineGroup type="column" displayEmptyCellsAs="gap">
          <x14:colorSeries rgb="FF000000"/>
          <x14:sparklines>
            <x14:sparkline>
              <xm:f>SPARKLINE!C606:E606</xm:f>
              <xm:sqref>K606</xm:sqref>
            </x14:sparkline>
          </x14:sparklines>
        </x14:sparklineGroup>
        <x14:sparklineGroup type="column" displayEmptyCellsAs="gap">
          <x14:colorSeries rgb="FF000000"/>
          <x14:sparklines>
            <x14:sparkline>
              <xm:f>SPARKLINE!C607:E607</xm:f>
              <xm:sqref>K607</xm:sqref>
            </x14:sparkline>
          </x14:sparklines>
        </x14:sparklineGroup>
        <x14:sparklineGroup type="column" displayEmptyCellsAs="gap">
          <x14:colorSeries rgb="FF000000"/>
          <x14:sparklines>
            <x14:sparkline>
              <xm:f>SPARKLINE!C608:E608</xm:f>
              <xm:sqref>K608</xm:sqref>
            </x14:sparkline>
          </x14:sparklines>
        </x14:sparklineGroup>
        <x14:sparklineGroup type="column" displayEmptyCellsAs="gap">
          <x14:colorSeries rgb="FF000000"/>
          <x14:sparklines>
            <x14:sparkline>
              <xm:f>SPARKLINE!C609:E609</xm:f>
              <xm:sqref>K609</xm:sqref>
            </x14:sparkline>
          </x14:sparklines>
        </x14:sparklineGroup>
        <x14:sparklineGroup type="column" displayEmptyCellsAs="gap">
          <x14:colorSeries rgb="FF000000"/>
          <x14:sparklines>
            <x14:sparkline>
              <xm:f>SPARKLINE!C610:E610</xm:f>
              <xm:sqref>K610</xm:sqref>
            </x14:sparkline>
          </x14:sparklines>
        </x14:sparklineGroup>
        <x14:sparklineGroup type="column" displayEmptyCellsAs="gap">
          <x14:colorSeries rgb="FF000000"/>
          <x14:sparklines>
            <x14:sparkline>
              <xm:f>SPARKLINE!C611:E611</xm:f>
              <xm:sqref>K611</xm:sqref>
            </x14:sparkline>
          </x14:sparklines>
        </x14:sparklineGroup>
        <x14:sparklineGroup type="column" displayEmptyCellsAs="gap">
          <x14:colorSeries rgb="FF000000"/>
          <x14:sparklines>
            <x14:sparkline>
              <xm:f>SPARKLINE!C612:E612</xm:f>
              <xm:sqref>K612</xm:sqref>
            </x14:sparkline>
          </x14:sparklines>
        </x14:sparklineGroup>
        <x14:sparklineGroup type="column" displayEmptyCellsAs="gap">
          <x14:colorSeries rgb="FF000000"/>
          <x14:sparklines>
            <x14:sparkline>
              <xm:f>SPARKLINE!C613:E613</xm:f>
              <xm:sqref>K613</xm:sqref>
            </x14:sparkline>
          </x14:sparklines>
        </x14:sparklineGroup>
        <x14:sparklineGroup type="column" displayEmptyCellsAs="gap">
          <x14:colorSeries rgb="FF000000"/>
          <x14:sparklines>
            <x14:sparkline>
              <xm:f>SPARKLINE!C614:E614</xm:f>
              <xm:sqref>K614</xm:sqref>
            </x14:sparkline>
          </x14:sparklines>
        </x14:sparklineGroup>
        <x14:sparklineGroup type="column" displayEmptyCellsAs="gap">
          <x14:colorSeries rgb="FF000000"/>
          <x14:sparklines>
            <x14:sparkline>
              <xm:f>SPARKLINE!C615:E615</xm:f>
              <xm:sqref>K615</xm:sqref>
            </x14:sparkline>
          </x14:sparklines>
        </x14:sparklineGroup>
        <x14:sparklineGroup type="column" displayEmptyCellsAs="gap">
          <x14:colorSeries rgb="FF000000"/>
          <x14:sparklines>
            <x14:sparkline>
              <xm:f>SPARKLINE!C616:E616</xm:f>
              <xm:sqref>K616</xm:sqref>
            </x14:sparkline>
          </x14:sparklines>
        </x14:sparklineGroup>
        <x14:sparklineGroup type="column" displayEmptyCellsAs="gap">
          <x14:colorSeries rgb="FF000000"/>
          <x14:sparklines>
            <x14:sparkline>
              <xm:f>SPARKLINE!C617:E617</xm:f>
              <xm:sqref>K617</xm:sqref>
            </x14:sparkline>
          </x14:sparklines>
        </x14:sparklineGroup>
        <x14:sparklineGroup type="column" displayEmptyCellsAs="gap">
          <x14:colorSeries rgb="FF000000"/>
          <x14:sparklines>
            <x14:sparkline>
              <xm:f>SPARKLINE!C618:E618</xm:f>
              <xm:sqref>K618</xm:sqref>
            </x14:sparkline>
          </x14:sparklines>
        </x14:sparklineGroup>
        <x14:sparklineGroup type="column" displayEmptyCellsAs="gap">
          <x14:colorSeries rgb="FF000000"/>
          <x14:sparklines>
            <x14:sparkline>
              <xm:f>SPARKLINE!C619:E619</xm:f>
              <xm:sqref>K619</xm:sqref>
            </x14:sparkline>
          </x14:sparklines>
        </x14:sparklineGroup>
        <x14:sparklineGroup type="column" displayEmptyCellsAs="gap">
          <x14:colorSeries rgb="FF000000"/>
          <x14:sparklines>
            <x14:sparkline>
              <xm:f>SPARKLINE!C620:E620</xm:f>
              <xm:sqref>K620</xm:sqref>
            </x14:sparkline>
          </x14:sparklines>
        </x14:sparklineGroup>
        <x14:sparklineGroup type="column" displayEmptyCellsAs="gap">
          <x14:colorSeries rgb="FF000000"/>
          <x14:sparklines>
            <x14:sparkline>
              <xm:f>SPARKLINE!C621:E621</xm:f>
              <xm:sqref>K621</xm:sqref>
            </x14:sparkline>
          </x14:sparklines>
        </x14:sparklineGroup>
        <x14:sparklineGroup type="column" displayEmptyCellsAs="gap">
          <x14:colorSeries rgb="FF000000"/>
          <x14:sparklines>
            <x14:sparkline>
              <xm:f>SPARKLINE!C622:E622</xm:f>
              <xm:sqref>K622</xm:sqref>
            </x14:sparkline>
          </x14:sparklines>
        </x14:sparklineGroup>
        <x14:sparklineGroup type="column" displayEmptyCellsAs="gap">
          <x14:colorSeries rgb="FF000000"/>
          <x14:sparklines>
            <x14:sparkline>
              <xm:f>SPARKLINE!C623:E623</xm:f>
              <xm:sqref>K623</xm:sqref>
            </x14:sparkline>
          </x14:sparklines>
        </x14:sparklineGroup>
        <x14:sparklineGroup type="column" displayEmptyCellsAs="gap">
          <x14:colorSeries rgb="FF000000"/>
          <x14:sparklines>
            <x14:sparkline>
              <xm:f>SPARKLINE!C624:E624</xm:f>
              <xm:sqref>K624</xm:sqref>
            </x14:sparkline>
          </x14:sparklines>
        </x14:sparklineGroup>
        <x14:sparklineGroup type="column" displayEmptyCellsAs="gap">
          <x14:colorSeries rgb="FF000000"/>
          <x14:sparklines>
            <x14:sparkline>
              <xm:f>SPARKLINE!C625:E625</xm:f>
              <xm:sqref>K625</xm:sqref>
            </x14:sparkline>
          </x14:sparklines>
        </x14:sparklineGroup>
        <x14:sparklineGroup type="column" displayEmptyCellsAs="gap">
          <x14:colorSeries rgb="FF000000"/>
          <x14:sparklines>
            <x14:sparkline>
              <xm:f>SPARKLINE!C626:E626</xm:f>
              <xm:sqref>K626</xm:sqref>
            </x14:sparkline>
          </x14:sparklines>
        </x14:sparklineGroup>
        <x14:sparklineGroup type="column" displayEmptyCellsAs="gap">
          <x14:colorSeries rgb="FF000000"/>
          <x14:sparklines>
            <x14:sparkline>
              <xm:f>SPARKLINE!C627:E627</xm:f>
              <xm:sqref>K627</xm:sqref>
            </x14:sparkline>
          </x14:sparklines>
        </x14:sparklineGroup>
        <x14:sparklineGroup type="column" displayEmptyCellsAs="gap">
          <x14:colorSeries rgb="FF000000"/>
          <x14:sparklines>
            <x14:sparkline>
              <xm:f>SPARKLINE!C628:E628</xm:f>
              <xm:sqref>K628</xm:sqref>
            </x14:sparkline>
          </x14:sparklines>
        </x14:sparklineGroup>
        <x14:sparklineGroup type="column" displayEmptyCellsAs="gap">
          <x14:colorSeries rgb="FF000000"/>
          <x14:sparklines>
            <x14:sparkline>
              <xm:f>SPARKLINE!C629:E629</xm:f>
              <xm:sqref>K629</xm:sqref>
            </x14:sparkline>
          </x14:sparklines>
        </x14:sparklineGroup>
        <x14:sparklineGroup type="column" displayEmptyCellsAs="gap">
          <x14:colorSeries rgb="FF000000"/>
          <x14:sparklines>
            <x14:sparkline>
              <xm:f>SPARKLINE!C630:E630</xm:f>
              <xm:sqref>K630</xm:sqref>
            </x14:sparkline>
          </x14:sparklines>
        </x14:sparklineGroup>
        <x14:sparklineGroup type="column" displayEmptyCellsAs="gap">
          <x14:colorSeries rgb="FF000000"/>
          <x14:sparklines>
            <x14:sparkline>
              <xm:f>SPARKLINE!C631:E631</xm:f>
              <xm:sqref>K631</xm:sqref>
            </x14:sparkline>
          </x14:sparklines>
        </x14:sparklineGroup>
        <x14:sparklineGroup type="column" displayEmptyCellsAs="gap">
          <x14:colorSeries rgb="FF000000"/>
          <x14:sparklines>
            <x14:sparkline>
              <xm:f>SPARKLINE!C632:E632</xm:f>
              <xm:sqref>K632</xm:sqref>
            </x14:sparkline>
          </x14:sparklines>
        </x14:sparklineGroup>
        <x14:sparklineGroup type="column" displayEmptyCellsAs="gap">
          <x14:colorSeries rgb="FF000000"/>
          <x14:sparklines>
            <x14:sparkline>
              <xm:f>SPARKLINE!C633:E633</xm:f>
              <xm:sqref>K633</xm:sqref>
            </x14:sparkline>
          </x14:sparklines>
        </x14:sparklineGroup>
        <x14:sparklineGroup type="column" displayEmptyCellsAs="gap">
          <x14:colorSeries rgb="FF000000"/>
          <x14:sparklines>
            <x14:sparkline>
              <xm:f>SPARKLINE!C634:E634</xm:f>
              <xm:sqref>K634</xm:sqref>
            </x14:sparkline>
          </x14:sparklines>
        </x14:sparklineGroup>
        <x14:sparklineGroup type="column" displayEmptyCellsAs="gap">
          <x14:colorSeries rgb="FF000000"/>
          <x14:sparklines>
            <x14:sparkline>
              <xm:f>SPARKLINE!C635:E635</xm:f>
              <xm:sqref>K635</xm:sqref>
            </x14:sparkline>
          </x14:sparklines>
        </x14:sparklineGroup>
        <x14:sparklineGroup type="column" displayEmptyCellsAs="gap">
          <x14:colorSeries rgb="FF000000"/>
          <x14:sparklines>
            <x14:sparkline>
              <xm:f>SPARKLINE!C636:E636</xm:f>
              <xm:sqref>K636</xm:sqref>
            </x14:sparkline>
          </x14:sparklines>
        </x14:sparklineGroup>
        <x14:sparklineGroup type="column" displayEmptyCellsAs="gap">
          <x14:colorSeries rgb="FF000000"/>
          <x14:sparklines>
            <x14:sparkline>
              <xm:f>SPARKLINE!C637:E637</xm:f>
              <xm:sqref>K637</xm:sqref>
            </x14:sparkline>
          </x14:sparklines>
        </x14:sparklineGroup>
        <x14:sparklineGroup type="column" displayEmptyCellsAs="gap">
          <x14:colorSeries rgb="FF000000"/>
          <x14:sparklines>
            <x14:sparkline>
              <xm:f>SPARKLINE!C638:E638</xm:f>
              <xm:sqref>K638</xm:sqref>
            </x14:sparkline>
          </x14:sparklines>
        </x14:sparklineGroup>
        <x14:sparklineGroup type="column" displayEmptyCellsAs="gap">
          <x14:colorSeries rgb="FF000000"/>
          <x14:sparklines>
            <x14:sparkline>
              <xm:f>SPARKLINE!C639:E639</xm:f>
              <xm:sqref>K639</xm:sqref>
            </x14:sparkline>
          </x14:sparklines>
        </x14:sparklineGroup>
        <x14:sparklineGroup type="column" displayEmptyCellsAs="gap">
          <x14:colorSeries rgb="FF000000"/>
          <x14:sparklines>
            <x14:sparkline>
              <xm:f>SPARKLINE!C640:E640</xm:f>
              <xm:sqref>K640</xm:sqref>
            </x14:sparkline>
          </x14:sparklines>
        </x14:sparklineGroup>
        <x14:sparklineGroup type="column" displayEmptyCellsAs="gap">
          <x14:colorSeries rgb="FF000000"/>
          <x14:sparklines>
            <x14:sparkline>
              <xm:f>SPARKLINE!C641:E641</xm:f>
              <xm:sqref>K641</xm:sqref>
            </x14:sparkline>
          </x14:sparklines>
        </x14:sparklineGroup>
        <x14:sparklineGroup type="column" displayEmptyCellsAs="gap">
          <x14:colorSeries rgb="FF000000"/>
          <x14:sparklines>
            <x14:sparkline>
              <xm:f>SPARKLINE!C642:E642</xm:f>
              <xm:sqref>K642</xm:sqref>
            </x14:sparkline>
          </x14:sparklines>
        </x14:sparklineGroup>
        <x14:sparklineGroup type="column" displayEmptyCellsAs="gap">
          <x14:colorSeries rgb="FF000000"/>
          <x14:sparklines>
            <x14:sparkline>
              <xm:f>SPARKLINE!C643:E643</xm:f>
              <xm:sqref>K643</xm:sqref>
            </x14:sparkline>
          </x14:sparklines>
        </x14:sparklineGroup>
        <x14:sparklineGroup type="column" displayEmptyCellsAs="gap">
          <x14:colorSeries rgb="FF000000"/>
          <x14:sparklines>
            <x14:sparkline>
              <xm:f>SPARKLINE!C644:E644</xm:f>
              <xm:sqref>K644</xm:sqref>
            </x14:sparkline>
          </x14:sparklines>
        </x14:sparklineGroup>
        <x14:sparklineGroup type="column" displayEmptyCellsAs="gap">
          <x14:colorSeries rgb="FF000000"/>
          <x14:sparklines>
            <x14:sparkline>
              <xm:f>SPARKLINE!C645:E645</xm:f>
              <xm:sqref>K645</xm:sqref>
            </x14:sparkline>
          </x14:sparklines>
        </x14:sparklineGroup>
        <x14:sparklineGroup type="column" displayEmptyCellsAs="gap">
          <x14:colorSeries rgb="FF000000"/>
          <x14:sparklines>
            <x14:sparkline>
              <xm:f>SPARKLINE!C646:E646</xm:f>
              <xm:sqref>K646</xm:sqref>
            </x14:sparkline>
          </x14:sparklines>
        </x14:sparklineGroup>
        <x14:sparklineGroup type="column" displayEmptyCellsAs="gap">
          <x14:colorSeries rgb="FF000000"/>
          <x14:sparklines>
            <x14:sparkline>
              <xm:f>SPARKLINE!C647:E647</xm:f>
              <xm:sqref>K647</xm:sqref>
            </x14:sparkline>
          </x14:sparklines>
        </x14:sparklineGroup>
        <x14:sparklineGroup type="column" displayEmptyCellsAs="gap">
          <x14:colorSeries rgb="FF000000"/>
          <x14:sparklines>
            <x14:sparkline>
              <xm:f>SPARKLINE!C648:E648</xm:f>
              <xm:sqref>K648</xm:sqref>
            </x14:sparkline>
          </x14:sparklines>
        </x14:sparklineGroup>
        <x14:sparklineGroup type="column" displayEmptyCellsAs="gap">
          <x14:colorSeries rgb="FF000000"/>
          <x14:sparklines>
            <x14:sparkline>
              <xm:f>SPARKLINE!C649:E649</xm:f>
              <xm:sqref>K649</xm:sqref>
            </x14:sparkline>
          </x14:sparklines>
        </x14:sparklineGroup>
        <x14:sparklineGroup type="column" displayEmptyCellsAs="gap">
          <x14:colorSeries rgb="FF000000"/>
          <x14:sparklines>
            <x14:sparkline>
              <xm:f>SPARKLINE!C650:E650</xm:f>
              <xm:sqref>K650</xm:sqref>
            </x14:sparkline>
          </x14:sparklines>
        </x14:sparklineGroup>
        <x14:sparklineGroup type="column" displayEmptyCellsAs="gap">
          <x14:colorSeries rgb="FF000000"/>
          <x14:sparklines>
            <x14:sparkline>
              <xm:f>SPARKLINE!C651:E651</xm:f>
              <xm:sqref>K651</xm:sqref>
            </x14:sparkline>
          </x14:sparklines>
        </x14:sparklineGroup>
        <x14:sparklineGroup type="column" displayEmptyCellsAs="gap">
          <x14:colorSeries rgb="FF000000"/>
          <x14:sparklines>
            <x14:sparkline>
              <xm:f>SPARKLINE!C652:E652</xm:f>
              <xm:sqref>K652</xm:sqref>
            </x14:sparkline>
          </x14:sparklines>
        </x14:sparklineGroup>
        <x14:sparklineGroup type="column" displayEmptyCellsAs="gap">
          <x14:colorSeries rgb="FF000000"/>
          <x14:sparklines>
            <x14:sparkline>
              <xm:f>SPARKLINE!C653:E653</xm:f>
              <xm:sqref>K653</xm:sqref>
            </x14:sparkline>
          </x14:sparklines>
        </x14:sparklineGroup>
        <x14:sparklineGroup type="column" displayEmptyCellsAs="gap">
          <x14:colorSeries rgb="FF000000"/>
          <x14:sparklines>
            <x14:sparkline>
              <xm:f>SPARKLINE!C654:E654</xm:f>
              <xm:sqref>K654</xm:sqref>
            </x14:sparkline>
          </x14:sparklines>
        </x14:sparklineGroup>
        <x14:sparklineGroup type="column" displayEmptyCellsAs="gap">
          <x14:colorSeries rgb="FF000000"/>
          <x14:sparklines>
            <x14:sparkline>
              <xm:f>SPARKLINE!C655:E655</xm:f>
              <xm:sqref>K655</xm:sqref>
            </x14:sparkline>
          </x14:sparklines>
        </x14:sparklineGroup>
        <x14:sparklineGroup type="column" displayEmptyCellsAs="gap">
          <x14:colorSeries rgb="FF000000"/>
          <x14:sparklines>
            <x14:sparkline>
              <xm:f>SPARKLINE!C656:E656</xm:f>
              <xm:sqref>K656</xm:sqref>
            </x14:sparkline>
          </x14:sparklines>
        </x14:sparklineGroup>
        <x14:sparklineGroup type="column" displayEmptyCellsAs="gap">
          <x14:colorSeries rgb="FF000000"/>
          <x14:sparklines>
            <x14:sparkline>
              <xm:f>SPARKLINE!C657:E657</xm:f>
              <xm:sqref>K657</xm:sqref>
            </x14:sparkline>
          </x14:sparklines>
        </x14:sparklineGroup>
        <x14:sparklineGroup type="column" displayEmptyCellsAs="gap">
          <x14:colorSeries rgb="FF000000"/>
          <x14:sparklines>
            <x14:sparkline>
              <xm:f>SPARKLINE!C658:E658</xm:f>
              <xm:sqref>K658</xm:sqref>
            </x14:sparkline>
          </x14:sparklines>
        </x14:sparklineGroup>
        <x14:sparklineGroup type="column" displayEmptyCellsAs="gap">
          <x14:colorSeries rgb="FF000000"/>
          <x14:sparklines>
            <x14:sparkline>
              <xm:f>SPARKLINE!C659:E659</xm:f>
              <xm:sqref>K659</xm:sqref>
            </x14:sparkline>
          </x14:sparklines>
        </x14:sparklineGroup>
        <x14:sparklineGroup type="column" displayEmptyCellsAs="gap">
          <x14:colorSeries rgb="FF000000"/>
          <x14:sparklines>
            <x14:sparkline>
              <xm:f>SPARKLINE!C660:E660</xm:f>
              <xm:sqref>K660</xm:sqref>
            </x14:sparkline>
          </x14:sparklines>
        </x14:sparklineGroup>
        <x14:sparklineGroup type="column" displayEmptyCellsAs="gap">
          <x14:colorSeries rgb="FF000000"/>
          <x14:sparklines>
            <x14:sparkline>
              <xm:f>SPARKLINE!C661:E661</xm:f>
              <xm:sqref>K661</xm:sqref>
            </x14:sparkline>
          </x14:sparklines>
        </x14:sparklineGroup>
        <x14:sparklineGroup type="column" displayEmptyCellsAs="gap">
          <x14:colorSeries rgb="FF000000"/>
          <x14:sparklines>
            <x14:sparkline>
              <xm:f>SPARKLINE!C662:E662</xm:f>
              <xm:sqref>K662</xm:sqref>
            </x14:sparkline>
          </x14:sparklines>
        </x14:sparklineGroup>
        <x14:sparklineGroup type="column" displayEmptyCellsAs="gap">
          <x14:colorSeries rgb="FF000000"/>
          <x14:sparklines>
            <x14:sparkline>
              <xm:f>SPARKLINE!C663:E663</xm:f>
              <xm:sqref>K663</xm:sqref>
            </x14:sparkline>
          </x14:sparklines>
        </x14:sparklineGroup>
        <x14:sparklineGroup type="column" displayEmptyCellsAs="gap">
          <x14:colorSeries rgb="FF000000"/>
          <x14:sparklines>
            <x14:sparkline>
              <xm:f>SPARKLINE!C664:E664</xm:f>
              <xm:sqref>K664</xm:sqref>
            </x14:sparkline>
          </x14:sparklines>
        </x14:sparklineGroup>
        <x14:sparklineGroup type="column" displayEmptyCellsAs="gap">
          <x14:colorSeries rgb="FF000000"/>
          <x14:sparklines>
            <x14:sparkline>
              <xm:f>SPARKLINE!C665:E665</xm:f>
              <xm:sqref>K665</xm:sqref>
            </x14:sparkline>
          </x14:sparklines>
        </x14:sparklineGroup>
        <x14:sparklineGroup type="column" displayEmptyCellsAs="gap">
          <x14:colorSeries rgb="FF000000"/>
          <x14:sparklines>
            <x14:sparkline>
              <xm:f>SPARKLINE!C666:E666</xm:f>
              <xm:sqref>K666</xm:sqref>
            </x14:sparkline>
          </x14:sparklines>
        </x14:sparklineGroup>
        <x14:sparklineGroup type="column" displayEmptyCellsAs="gap">
          <x14:colorSeries rgb="FF000000"/>
          <x14:sparklines>
            <x14:sparkline>
              <xm:f>SPARKLINE!C667:E667</xm:f>
              <xm:sqref>K667</xm:sqref>
            </x14:sparkline>
          </x14:sparklines>
        </x14:sparklineGroup>
        <x14:sparklineGroup type="column" displayEmptyCellsAs="gap">
          <x14:colorSeries rgb="FF000000"/>
          <x14:sparklines>
            <x14:sparkline>
              <xm:f>SPARKLINE!C668:E668</xm:f>
              <xm:sqref>K668</xm:sqref>
            </x14:sparkline>
          </x14:sparklines>
        </x14:sparklineGroup>
        <x14:sparklineGroup type="column" displayEmptyCellsAs="gap">
          <x14:colorSeries rgb="FF000000"/>
          <x14:sparklines>
            <x14:sparkline>
              <xm:f>SPARKLINE!C669:E669</xm:f>
              <xm:sqref>K669</xm:sqref>
            </x14:sparkline>
          </x14:sparklines>
        </x14:sparklineGroup>
        <x14:sparklineGroup type="column" displayEmptyCellsAs="gap">
          <x14:colorSeries rgb="FF000000"/>
          <x14:sparklines>
            <x14:sparkline>
              <xm:f>SPARKLINE!C670:E670</xm:f>
              <xm:sqref>K670</xm:sqref>
            </x14:sparkline>
          </x14:sparklines>
        </x14:sparklineGroup>
        <x14:sparklineGroup type="column" displayEmptyCellsAs="gap">
          <x14:colorSeries rgb="FF000000"/>
          <x14:sparklines>
            <x14:sparkline>
              <xm:f>SPARKLINE!C671:E671</xm:f>
              <xm:sqref>K671</xm:sqref>
            </x14:sparkline>
          </x14:sparklines>
        </x14:sparklineGroup>
        <x14:sparklineGroup type="column" displayEmptyCellsAs="gap">
          <x14:colorSeries rgb="FF000000"/>
          <x14:sparklines>
            <x14:sparkline>
              <xm:f>SPARKLINE!C672:E672</xm:f>
              <xm:sqref>K672</xm:sqref>
            </x14:sparkline>
          </x14:sparklines>
        </x14:sparklineGroup>
        <x14:sparklineGroup type="column" displayEmptyCellsAs="gap">
          <x14:colorSeries rgb="FF000000"/>
          <x14:sparklines>
            <x14:sparkline>
              <xm:f>SPARKLINE!C673:E673</xm:f>
              <xm:sqref>K673</xm:sqref>
            </x14:sparkline>
          </x14:sparklines>
        </x14:sparklineGroup>
        <x14:sparklineGroup type="column" displayEmptyCellsAs="gap">
          <x14:colorSeries rgb="FF000000"/>
          <x14:sparklines>
            <x14:sparkline>
              <xm:f>SPARKLINE!C674:E674</xm:f>
              <xm:sqref>K674</xm:sqref>
            </x14:sparkline>
          </x14:sparklines>
        </x14:sparklineGroup>
        <x14:sparklineGroup type="column" displayEmptyCellsAs="gap">
          <x14:colorSeries rgb="FF000000"/>
          <x14:sparklines>
            <x14:sparkline>
              <xm:f>SPARKLINE!C675:E675</xm:f>
              <xm:sqref>K675</xm:sqref>
            </x14:sparkline>
          </x14:sparklines>
        </x14:sparklineGroup>
        <x14:sparklineGroup type="column" displayEmptyCellsAs="gap">
          <x14:colorSeries rgb="FF000000"/>
          <x14:sparklines>
            <x14:sparkline>
              <xm:f>SPARKLINE!C676:E676</xm:f>
              <xm:sqref>K676</xm:sqref>
            </x14:sparkline>
          </x14:sparklines>
        </x14:sparklineGroup>
        <x14:sparklineGroup type="column" displayEmptyCellsAs="gap">
          <x14:colorSeries rgb="FF000000"/>
          <x14:sparklines>
            <x14:sparkline>
              <xm:f>SPARKLINE!C677:E677</xm:f>
              <xm:sqref>K677</xm:sqref>
            </x14:sparkline>
          </x14:sparklines>
        </x14:sparklineGroup>
        <x14:sparklineGroup type="column" displayEmptyCellsAs="gap">
          <x14:colorSeries rgb="FF000000"/>
          <x14:sparklines>
            <x14:sparkline>
              <xm:f>SPARKLINE!C678:E678</xm:f>
              <xm:sqref>K678</xm:sqref>
            </x14:sparkline>
          </x14:sparklines>
        </x14:sparklineGroup>
        <x14:sparklineGroup type="column" displayEmptyCellsAs="gap">
          <x14:colorSeries rgb="FF000000"/>
          <x14:sparklines>
            <x14:sparkline>
              <xm:f>SPARKLINE!C679:E679</xm:f>
              <xm:sqref>K679</xm:sqref>
            </x14:sparkline>
          </x14:sparklines>
        </x14:sparklineGroup>
        <x14:sparklineGroup type="column" displayEmptyCellsAs="gap">
          <x14:colorSeries rgb="FF000000"/>
          <x14:sparklines>
            <x14:sparkline>
              <xm:f>SPARKLINE!C680:E680</xm:f>
              <xm:sqref>K680</xm:sqref>
            </x14:sparkline>
          </x14:sparklines>
        </x14:sparklineGroup>
        <x14:sparklineGroup type="column" displayEmptyCellsAs="gap">
          <x14:colorSeries rgb="FF000000"/>
          <x14:sparklines>
            <x14:sparkline>
              <xm:f>SPARKLINE!C681:E681</xm:f>
              <xm:sqref>K681</xm:sqref>
            </x14:sparkline>
          </x14:sparklines>
        </x14:sparklineGroup>
        <x14:sparklineGroup type="column" displayEmptyCellsAs="gap">
          <x14:colorSeries rgb="FF000000"/>
          <x14:sparklines>
            <x14:sparkline>
              <xm:f>SPARKLINE!C682:E682</xm:f>
              <xm:sqref>K682</xm:sqref>
            </x14:sparkline>
          </x14:sparklines>
        </x14:sparklineGroup>
        <x14:sparklineGroup type="column" displayEmptyCellsAs="gap">
          <x14:colorSeries rgb="FF000000"/>
          <x14:sparklines>
            <x14:sparkline>
              <xm:f>SPARKLINE!C683:E683</xm:f>
              <xm:sqref>K683</xm:sqref>
            </x14:sparkline>
          </x14:sparklines>
        </x14:sparklineGroup>
        <x14:sparklineGroup type="column" displayEmptyCellsAs="gap">
          <x14:colorSeries rgb="FF000000"/>
          <x14:sparklines>
            <x14:sparkline>
              <xm:f>SPARKLINE!C684:E684</xm:f>
              <xm:sqref>K684</xm:sqref>
            </x14:sparkline>
          </x14:sparklines>
        </x14:sparklineGroup>
        <x14:sparklineGroup type="column" displayEmptyCellsAs="gap">
          <x14:colorSeries rgb="FF000000"/>
          <x14:sparklines>
            <x14:sparkline>
              <xm:f>SPARKLINE!C685:E685</xm:f>
              <xm:sqref>K685</xm:sqref>
            </x14:sparkline>
          </x14:sparklines>
        </x14:sparklineGroup>
        <x14:sparklineGroup type="column" displayEmptyCellsAs="gap">
          <x14:colorSeries rgb="FF000000"/>
          <x14:sparklines>
            <x14:sparkline>
              <xm:f>SPARKLINE!C686:E686</xm:f>
              <xm:sqref>K686</xm:sqref>
            </x14:sparkline>
          </x14:sparklines>
        </x14:sparklineGroup>
        <x14:sparklineGroup type="column" displayEmptyCellsAs="gap">
          <x14:colorSeries rgb="FF000000"/>
          <x14:sparklines>
            <x14:sparkline>
              <xm:f>SPARKLINE!C687:E687</xm:f>
              <xm:sqref>K687</xm:sqref>
            </x14:sparkline>
          </x14:sparklines>
        </x14:sparklineGroup>
        <x14:sparklineGroup type="column" displayEmptyCellsAs="gap">
          <x14:colorSeries rgb="FF000000"/>
          <x14:sparklines>
            <x14:sparkline>
              <xm:f>SPARKLINE!C688:E688</xm:f>
              <xm:sqref>K688</xm:sqref>
            </x14:sparkline>
          </x14:sparklines>
        </x14:sparklineGroup>
        <x14:sparklineGroup type="column" displayEmptyCellsAs="gap">
          <x14:colorSeries rgb="FF000000"/>
          <x14:sparklines>
            <x14:sparkline>
              <xm:f>SPARKLINE!C689:E689</xm:f>
              <xm:sqref>K689</xm:sqref>
            </x14:sparkline>
          </x14:sparklines>
        </x14:sparklineGroup>
        <x14:sparklineGroup type="column" displayEmptyCellsAs="gap">
          <x14:colorSeries rgb="FF000000"/>
          <x14:sparklines>
            <x14:sparkline>
              <xm:f>SPARKLINE!C690:E690</xm:f>
              <xm:sqref>K690</xm:sqref>
            </x14:sparkline>
          </x14:sparklines>
        </x14:sparklineGroup>
        <x14:sparklineGroup type="column" displayEmptyCellsAs="gap">
          <x14:colorSeries rgb="FF000000"/>
          <x14:sparklines>
            <x14:sparkline>
              <xm:f>SPARKLINE!C691:E691</xm:f>
              <xm:sqref>K691</xm:sqref>
            </x14:sparkline>
          </x14:sparklines>
        </x14:sparklineGroup>
        <x14:sparklineGroup type="column" displayEmptyCellsAs="gap">
          <x14:colorSeries rgb="FF000000"/>
          <x14:sparklines>
            <x14:sparkline>
              <xm:f>SPARKLINE!C692:E692</xm:f>
              <xm:sqref>K692</xm:sqref>
            </x14:sparkline>
          </x14:sparklines>
        </x14:sparklineGroup>
        <x14:sparklineGroup type="column" displayEmptyCellsAs="gap">
          <x14:colorSeries rgb="FF000000"/>
          <x14:sparklines>
            <x14:sparkline>
              <xm:f>SPARKLINE!C693:E693</xm:f>
              <xm:sqref>K693</xm:sqref>
            </x14:sparkline>
          </x14:sparklines>
        </x14:sparklineGroup>
        <x14:sparklineGroup type="column" displayEmptyCellsAs="gap">
          <x14:colorSeries rgb="FF000000"/>
          <x14:sparklines>
            <x14:sparkline>
              <xm:f>SPARKLINE!C694:E694</xm:f>
              <xm:sqref>K694</xm:sqref>
            </x14:sparkline>
          </x14:sparklines>
        </x14:sparklineGroup>
        <x14:sparklineGroup type="column" displayEmptyCellsAs="gap">
          <x14:colorSeries rgb="FF000000"/>
          <x14:sparklines>
            <x14:sparkline>
              <xm:f>SPARKLINE!C695:E695</xm:f>
              <xm:sqref>K695</xm:sqref>
            </x14:sparkline>
          </x14:sparklines>
        </x14:sparklineGroup>
        <x14:sparklineGroup type="column" displayEmptyCellsAs="gap">
          <x14:colorSeries rgb="FF000000"/>
          <x14:sparklines>
            <x14:sparkline>
              <xm:f>SPARKLINE!C696:E696</xm:f>
              <xm:sqref>K696</xm:sqref>
            </x14:sparkline>
          </x14:sparklines>
        </x14:sparklineGroup>
        <x14:sparklineGroup type="column" displayEmptyCellsAs="gap">
          <x14:colorSeries rgb="FF000000"/>
          <x14:sparklines>
            <x14:sparkline>
              <xm:f>SPARKLINE!C697:E697</xm:f>
              <xm:sqref>K697</xm:sqref>
            </x14:sparkline>
          </x14:sparklines>
        </x14:sparklineGroup>
        <x14:sparklineGroup type="column" displayEmptyCellsAs="gap">
          <x14:colorSeries rgb="FF000000"/>
          <x14:sparklines>
            <x14:sparkline>
              <xm:f>SPARKLINE!C698:E698</xm:f>
              <xm:sqref>K698</xm:sqref>
            </x14:sparkline>
          </x14:sparklines>
        </x14:sparklineGroup>
        <x14:sparklineGroup type="column" displayEmptyCellsAs="gap">
          <x14:colorSeries rgb="FF000000"/>
          <x14:sparklines>
            <x14:sparkline>
              <xm:f>SPARKLINE!C699:E699</xm:f>
              <xm:sqref>K699</xm:sqref>
            </x14:sparkline>
          </x14:sparklines>
        </x14:sparklineGroup>
        <x14:sparklineGroup type="column" displayEmptyCellsAs="gap">
          <x14:colorSeries rgb="FF000000"/>
          <x14:sparklines>
            <x14:sparkline>
              <xm:f>SPARKLINE!C700:E700</xm:f>
              <xm:sqref>K700</xm:sqref>
            </x14:sparkline>
          </x14:sparklines>
        </x14:sparklineGroup>
        <x14:sparklineGroup type="column" displayEmptyCellsAs="gap">
          <x14:colorSeries rgb="FF000000"/>
          <x14:sparklines>
            <x14:sparkline>
              <xm:f>SPARKLINE!C701:E701</xm:f>
              <xm:sqref>K701</xm:sqref>
            </x14:sparkline>
          </x14:sparklines>
        </x14:sparklineGroup>
        <x14:sparklineGroup type="column" displayEmptyCellsAs="gap">
          <x14:colorSeries rgb="FF000000"/>
          <x14:sparklines>
            <x14:sparkline>
              <xm:f>SPARKLINE!C702:E702</xm:f>
              <xm:sqref>K702</xm:sqref>
            </x14:sparkline>
          </x14:sparklines>
        </x14:sparklineGroup>
        <x14:sparklineGroup type="column" displayEmptyCellsAs="gap">
          <x14:colorSeries rgb="FF000000"/>
          <x14:sparklines>
            <x14:sparkline>
              <xm:f>SPARKLINE!C703:E703</xm:f>
              <xm:sqref>K703</xm:sqref>
            </x14:sparkline>
          </x14:sparklines>
        </x14:sparklineGroup>
        <x14:sparklineGroup type="column" displayEmptyCellsAs="gap">
          <x14:colorSeries rgb="FF000000"/>
          <x14:sparklines>
            <x14:sparkline>
              <xm:f>SPARKLINE!C704:E704</xm:f>
              <xm:sqref>K704</xm:sqref>
            </x14:sparkline>
          </x14:sparklines>
        </x14:sparklineGroup>
        <x14:sparklineGroup type="column" displayEmptyCellsAs="gap">
          <x14:colorSeries rgb="FF000000"/>
          <x14:sparklines>
            <x14:sparkline>
              <xm:f>SPARKLINE!C705:E705</xm:f>
              <xm:sqref>K705</xm:sqref>
            </x14:sparkline>
          </x14:sparklines>
        </x14:sparklineGroup>
        <x14:sparklineGroup type="column" displayEmptyCellsAs="gap">
          <x14:colorSeries rgb="FF000000"/>
          <x14:sparklines>
            <x14:sparkline>
              <xm:f>SPARKLINE!C706:E706</xm:f>
              <xm:sqref>K706</xm:sqref>
            </x14:sparkline>
          </x14:sparklines>
        </x14:sparklineGroup>
        <x14:sparklineGroup type="column" displayEmptyCellsAs="gap">
          <x14:colorSeries rgb="FF000000"/>
          <x14:sparklines>
            <x14:sparkline>
              <xm:f>SPARKLINE!C707:E707</xm:f>
              <xm:sqref>K707</xm:sqref>
            </x14:sparkline>
          </x14:sparklines>
        </x14:sparklineGroup>
        <x14:sparklineGroup type="column" displayEmptyCellsAs="gap">
          <x14:colorSeries rgb="FF000000"/>
          <x14:sparklines>
            <x14:sparkline>
              <xm:f>SPARKLINE!C708:E708</xm:f>
              <xm:sqref>K708</xm:sqref>
            </x14:sparkline>
          </x14:sparklines>
        </x14:sparklineGroup>
        <x14:sparklineGroup type="column" displayEmptyCellsAs="gap">
          <x14:colorSeries rgb="FF000000"/>
          <x14:sparklines>
            <x14:sparkline>
              <xm:f>SPARKLINE!C709:E709</xm:f>
              <xm:sqref>K709</xm:sqref>
            </x14:sparkline>
          </x14:sparklines>
        </x14:sparklineGroup>
        <x14:sparklineGroup type="column" displayEmptyCellsAs="gap">
          <x14:colorSeries rgb="FF000000"/>
          <x14:sparklines>
            <x14:sparkline>
              <xm:f>SPARKLINE!C710:E710</xm:f>
              <xm:sqref>K710</xm:sqref>
            </x14:sparkline>
          </x14:sparklines>
        </x14:sparklineGroup>
        <x14:sparklineGroup type="column" displayEmptyCellsAs="gap">
          <x14:colorSeries rgb="FF000000"/>
          <x14:sparklines>
            <x14:sparkline>
              <xm:f>SPARKLINE!C711:E711</xm:f>
              <xm:sqref>K711</xm:sqref>
            </x14:sparkline>
          </x14:sparklines>
        </x14:sparklineGroup>
        <x14:sparklineGroup type="column" displayEmptyCellsAs="gap">
          <x14:colorSeries rgb="FF000000"/>
          <x14:sparklines>
            <x14:sparkline>
              <xm:f>SPARKLINE!C712:E712</xm:f>
              <xm:sqref>K712</xm:sqref>
            </x14:sparkline>
          </x14:sparklines>
        </x14:sparklineGroup>
        <x14:sparklineGroup type="column" displayEmptyCellsAs="gap">
          <x14:colorSeries rgb="FF000000"/>
          <x14:sparklines>
            <x14:sparkline>
              <xm:f>SPARKLINE!C713:E713</xm:f>
              <xm:sqref>K713</xm:sqref>
            </x14:sparkline>
          </x14:sparklines>
        </x14:sparklineGroup>
        <x14:sparklineGroup type="column" displayEmptyCellsAs="gap">
          <x14:colorSeries rgb="FF000000"/>
          <x14:sparklines>
            <x14:sparkline>
              <xm:f>SPARKLINE!C714:E714</xm:f>
              <xm:sqref>K714</xm:sqref>
            </x14:sparkline>
          </x14:sparklines>
        </x14:sparklineGroup>
        <x14:sparklineGroup type="column" displayEmptyCellsAs="gap">
          <x14:colorSeries rgb="FF000000"/>
          <x14:sparklines>
            <x14:sparkline>
              <xm:f>SPARKLINE!C715:E715</xm:f>
              <xm:sqref>K715</xm:sqref>
            </x14:sparkline>
          </x14:sparklines>
        </x14:sparklineGroup>
        <x14:sparklineGroup type="column" displayEmptyCellsAs="gap">
          <x14:colorSeries rgb="FF000000"/>
          <x14:sparklines>
            <x14:sparkline>
              <xm:f>SPARKLINE!C716:E716</xm:f>
              <xm:sqref>K716</xm:sqref>
            </x14:sparkline>
          </x14:sparklines>
        </x14:sparklineGroup>
        <x14:sparklineGroup type="column" displayEmptyCellsAs="gap">
          <x14:colorSeries rgb="FF000000"/>
          <x14:sparklines>
            <x14:sparkline>
              <xm:f>SPARKLINE!C717:E717</xm:f>
              <xm:sqref>K717</xm:sqref>
            </x14:sparkline>
          </x14:sparklines>
        </x14:sparklineGroup>
        <x14:sparklineGroup type="column" displayEmptyCellsAs="gap">
          <x14:colorSeries rgb="FF000000"/>
          <x14:sparklines>
            <x14:sparkline>
              <xm:f>SPARKLINE!C718:E718</xm:f>
              <xm:sqref>K718</xm:sqref>
            </x14:sparkline>
          </x14:sparklines>
        </x14:sparklineGroup>
        <x14:sparklineGroup type="column" displayEmptyCellsAs="gap">
          <x14:colorSeries rgb="FF000000"/>
          <x14:sparklines>
            <x14:sparkline>
              <xm:f>SPARKLINE!C719:E719</xm:f>
              <xm:sqref>K719</xm:sqref>
            </x14:sparkline>
          </x14:sparklines>
        </x14:sparklineGroup>
        <x14:sparklineGroup type="column" displayEmptyCellsAs="gap">
          <x14:colorSeries rgb="FF000000"/>
          <x14:sparklines>
            <x14:sparkline>
              <xm:f>SPARKLINE!C720:E720</xm:f>
              <xm:sqref>K720</xm:sqref>
            </x14:sparkline>
          </x14:sparklines>
        </x14:sparklineGroup>
        <x14:sparklineGroup type="column" displayEmptyCellsAs="gap">
          <x14:colorSeries rgb="FF000000"/>
          <x14:sparklines>
            <x14:sparkline>
              <xm:f>SPARKLINE!C721:E721</xm:f>
              <xm:sqref>K721</xm:sqref>
            </x14:sparkline>
          </x14:sparklines>
        </x14:sparklineGroup>
        <x14:sparklineGroup type="column" displayEmptyCellsAs="gap">
          <x14:colorSeries rgb="FF000000"/>
          <x14:sparklines>
            <x14:sparkline>
              <xm:f>SPARKLINE!C722:E722</xm:f>
              <xm:sqref>K722</xm:sqref>
            </x14:sparkline>
          </x14:sparklines>
        </x14:sparklineGroup>
        <x14:sparklineGroup type="column" displayEmptyCellsAs="gap">
          <x14:colorSeries rgb="FF000000"/>
          <x14:sparklines>
            <x14:sparkline>
              <xm:f>SPARKLINE!C723:E723</xm:f>
              <xm:sqref>K723</xm:sqref>
            </x14:sparkline>
          </x14:sparklines>
        </x14:sparklineGroup>
        <x14:sparklineGroup type="column" displayEmptyCellsAs="gap">
          <x14:colorSeries rgb="FF000000"/>
          <x14:sparklines>
            <x14:sparkline>
              <xm:f>SPARKLINE!C724:E724</xm:f>
              <xm:sqref>K724</xm:sqref>
            </x14:sparkline>
          </x14:sparklines>
        </x14:sparklineGroup>
        <x14:sparklineGroup type="column" displayEmptyCellsAs="gap">
          <x14:colorSeries rgb="FF000000"/>
          <x14:sparklines>
            <x14:sparkline>
              <xm:f>SPARKLINE!C725:E725</xm:f>
              <xm:sqref>K725</xm:sqref>
            </x14:sparkline>
          </x14:sparklines>
        </x14:sparklineGroup>
        <x14:sparklineGroup type="column" displayEmptyCellsAs="gap">
          <x14:colorSeries rgb="FF000000"/>
          <x14:sparklines>
            <x14:sparkline>
              <xm:f>SPARKLINE!C726:E726</xm:f>
              <xm:sqref>K726</xm:sqref>
            </x14:sparkline>
          </x14:sparklines>
        </x14:sparklineGroup>
        <x14:sparklineGroup type="column" displayEmptyCellsAs="gap">
          <x14:colorSeries rgb="FF000000"/>
          <x14:sparklines>
            <x14:sparkline>
              <xm:f>SPARKLINE!C727:E727</xm:f>
              <xm:sqref>K727</xm:sqref>
            </x14:sparkline>
          </x14:sparklines>
        </x14:sparklineGroup>
        <x14:sparklineGroup type="column" displayEmptyCellsAs="gap">
          <x14:colorSeries rgb="FF000000"/>
          <x14:sparklines>
            <x14:sparkline>
              <xm:f>SPARKLINE!C728:E728</xm:f>
              <xm:sqref>K728</xm:sqref>
            </x14:sparkline>
          </x14:sparklines>
        </x14:sparklineGroup>
        <x14:sparklineGroup type="column" displayEmptyCellsAs="gap">
          <x14:colorSeries rgb="FF000000"/>
          <x14:sparklines>
            <x14:sparkline>
              <xm:f>SPARKLINE!C729:E729</xm:f>
              <xm:sqref>K729</xm:sqref>
            </x14:sparkline>
          </x14:sparklines>
        </x14:sparklineGroup>
        <x14:sparklineGroup type="column" displayEmptyCellsAs="gap">
          <x14:colorSeries rgb="FF000000"/>
          <x14:sparklines>
            <x14:sparkline>
              <xm:f>SPARKLINE!C730:E730</xm:f>
              <xm:sqref>K730</xm:sqref>
            </x14:sparkline>
          </x14:sparklines>
        </x14:sparklineGroup>
        <x14:sparklineGroup type="column" displayEmptyCellsAs="gap">
          <x14:colorSeries rgb="FF000000"/>
          <x14:sparklines>
            <x14:sparkline>
              <xm:f>SPARKLINE!C731:E731</xm:f>
              <xm:sqref>K731</xm:sqref>
            </x14:sparkline>
          </x14:sparklines>
        </x14:sparklineGroup>
        <x14:sparklineGroup type="column" displayEmptyCellsAs="gap">
          <x14:colorSeries rgb="FF000000"/>
          <x14:sparklines>
            <x14:sparkline>
              <xm:f>SPARKLINE!C732:E732</xm:f>
              <xm:sqref>K732</xm:sqref>
            </x14:sparkline>
          </x14:sparklines>
        </x14:sparklineGroup>
        <x14:sparklineGroup type="column" displayEmptyCellsAs="gap">
          <x14:colorSeries rgb="FF000000"/>
          <x14:sparklines>
            <x14:sparkline>
              <xm:f>SPARKLINE!C733:E733</xm:f>
              <xm:sqref>K733</xm:sqref>
            </x14:sparkline>
          </x14:sparklines>
        </x14:sparklineGroup>
        <x14:sparklineGroup type="column" displayEmptyCellsAs="gap">
          <x14:colorSeries rgb="FF000000"/>
          <x14:sparklines>
            <x14:sparkline>
              <xm:f>SPARKLINE!C734:E734</xm:f>
              <xm:sqref>K734</xm:sqref>
            </x14:sparkline>
          </x14:sparklines>
        </x14:sparklineGroup>
        <x14:sparklineGroup type="column" displayEmptyCellsAs="gap">
          <x14:colorSeries rgb="FF000000"/>
          <x14:sparklines>
            <x14:sparkline>
              <xm:f>SPARKLINE!C735:E735</xm:f>
              <xm:sqref>K735</xm:sqref>
            </x14:sparkline>
          </x14:sparklines>
        </x14:sparklineGroup>
        <x14:sparklineGroup type="column" displayEmptyCellsAs="gap">
          <x14:colorSeries rgb="FF000000"/>
          <x14:sparklines>
            <x14:sparkline>
              <xm:f>SPARKLINE!C736:E736</xm:f>
              <xm:sqref>K736</xm:sqref>
            </x14:sparkline>
          </x14:sparklines>
        </x14:sparklineGroup>
        <x14:sparklineGroup type="column" displayEmptyCellsAs="gap">
          <x14:colorSeries rgb="FF000000"/>
          <x14:sparklines>
            <x14:sparkline>
              <xm:f>SPARKLINE!C737:E737</xm:f>
              <xm:sqref>K737</xm:sqref>
            </x14:sparkline>
          </x14:sparklines>
        </x14:sparklineGroup>
        <x14:sparklineGroup type="column" displayEmptyCellsAs="gap">
          <x14:colorSeries rgb="FF000000"/>
          <x14:sparklines>
            <x14:sparkline>
              <xm:f>SPARKLINE!C738:E738</xm:f>
              <xm:sqref>K738</xm:sqref>
            </x14:sparkline>
          </x14:sparklines>
        </x14:sparklineGroup>
        <x14:sparklineGroup type="column" displayEmptyCellsAs="gap">
          <x14:colorSeries rgb="FF000000"/>
          <x14:sparklines>
            <x14:sparkline>
              <xm:f>SPARKLINE!C739:E739</xm:f>
              <xm:sqref>K739</xm:sqref>
            </x14:sparkline>
          </x14:sparklines>
        </x14:sparklineGroup>
        <x14:sparklineGroup type="column" displayEmptyCellsAs="gap">
          <x14:colorSeries rgb="FF000000"/>
          <x14:sparklines>
            <x14:sparkline>
              <xm:f>SPARKLINE!C740:E740</xm:f>
              <xm:sqref>K740</xm:sqref>
            </x14:sparkline>
          </x14:sparklines>
        </x14:sparklineGroup>
        <x14:sparklineGroup type="column" displayEmptyCellsAs="gap">
          <x14:colorSeries rgb="FF000000"/>
          <x14:sparklines>
            <x14:sparkline>
              <xm:f>SPARKLINE!C741:E741</xm:f>
              <xm:sqref>K741</xm:sqref>
            </x14:sparkline>
          </x14:sparklines>
        </x14:sparklineGroup>
        <x14:sparklineGroup type="column" displayEmptyCellsAs="gap">
          <x14:colorSeries rgb="FF000000"/>
          <x14:sparklines>
            <x14:sparkline>
              <xm:f>SPARKLINE!C742:E742</xm:f>
              <xm:sqref>K742</xm:sqref>
            </x14:sparkline>
          </x14:sparklines>
        </x14:sparklineGroup>
        <x14:sparklineGroup type="column" displayEmptyCellsAs="gap">
          <x14:colorSeries rgb="FF000000"/>
          <x14:sparklines>
            <x14:sparkline>
              <xm:f>SPARKLINE!C743:E743</xm:f>
              <xm:sqref>K743</xm:sqref>
            </x14:sparkline>
          </x14:sparklines>
        </x14:sparklineGroup>
        <x14:sparklineGroup type="column" displayEmptyCellsAs="gap">
          <x14:colorSeries rgb="FF000000"/>
          <x14:sparklines>
            <x14:sparkline>
              <xm:f>SPARKLINE!C744:E744</xm:f>
              <xm:sqref>K744</xm:sqref>
            </x14:sparkline>
          </x14:sparklines>
        </x14:sparklineGroup>
        <x14:sparklineGroup type="column" displayEmptyCellsAs="gap">
          <x14:colorSeries rgb="FF000000"/>
          <x14:sparklines>
            <x14:sparkline>
              <xm:f>SPARKLINE!C745:E745</xm:f>
              <xm:sqref>K745</xm:sqref>
            </x14:sparkline>
          </x14:sparklines>
        </x14:sparklineGroup>
        <x14:sparklineGroup type="column" displayEmptyCellsAs="gap">
          <x14:colorSeries rgb="FF000000"/>
          <x14:sparklines>
            <x14:sparkline>
              <xm:f>SPARKLINE!C746:E746</xm:f>
              <xm:sqref>K746</xm:sqref>
            </x14:sparkline>
          </x14:sparklines>
        </x14:sparklineGroup>
        <x14:sparklineGroup type="column" displayEmptyCellsAs="gap">
          <x14:colorSeries rgb="FF000000"/>
          <x14:sparklines>
            <x14:sparkline>
              <xm:f>SPARKLINE!C747:E747</xm:f>
              <xm:sqref>K747</xm:sqref>
            </x14:sparkline>
          </x14:sparklines>
        </x14:sparklineGroup>
        <x14:sparklineGroup type="column" displayEmptyCellsAs="gap">
          <x14:colorSeries rgb="FF000000"/>
          <x14:sparklines>
            <x14:sparkline>
              <xm:f>SPARKLINE!C748:E748</xm:f>
              <xm:sqref>K748</xm:sqref>
            </x14:sparkline>
          </x14:sparklines>
        </x14:sparklineGroup>
        <x14:sparklineGroup type="column" displayEmptyCellsAs="gap">
          <x14:colorSeries rgb="FF000000"/>
          <x14:sparklines>
            <x14:sparkline>
              <xm:f>SPARKLINE!C749:E749</xm:f>
              <xm:sqref>K749</xm:sqref>
            </x14:sparkline>
          </x14:sparklines>
        </x14:sparklineGroup>
        <x14:sparklineGroup type="column" displayEmptyCellsAs="gap">
          <x14:colorSeries rgb="FF000000"/>
          <x14:sparklines>
            <x14:sparkline>
              <xm:f>SPARKLINE!C750:E750</xm:f>
              <xm:sqref>K750</xm:sqref>
            </x14:sparkline>
          </x14:sparklines>
        </x14:sparklineGroup>
        <x14:sparklineGroup type="column" displayEmptyCellsAs="gap">
          <x14:colorSeries rgb="FF000000"/>
          <x14:sparklines>
            <x14:sparkline>
              <xm:f>SPARKLINE!C751:E751</xm:f>
              <xm:sqref>K751</xm:sqref>
            </x14:sparkline>
          </x14:sparklines>
        </x14:sparklineGroup>
        <x14:sparklineGroup type="column" displayEmptyCellsAs="gap">
          <x14:colorSeries rgb="FF000000"/>
          <x14:sparklines>
            <x14:sparkline>
              <xm:f>SPARKLINE!C752:E752</xm:f>
              <xm:sqref>K752</xm:sqref>
            </x14:sparkline>
          </x14:sparklines>
        </x14:sparklineGroup>
        <x14:sparklineGroup type="column" displayEmptyCellsAs="gap">
          <x14:colorSeries rgb="FF000000"/>
          <x14:sparklines>
            <x14:sparkline>
              <xm:f>SPARKLINE!C753:E753</xm:f>
              <xm:sqref>K753</xm:sqref>
            </x14:sparkline>
          </x14:sparklines>
        </x14:sparklineGroup>
        <x14:sparklineGroup type="column" displayEmptyCellsAs="gap">
          <x14:colorSeries rgb="FF000000"/>
          <x14:sparklines>
            <x14:sparkline>
              <xm:f>SPARKLINE!C754:E754</xm:f>
              <xm:sqref>K754</xm:sqref>
            </x14:sparkline>
          </x14:sparklines>
        </x14:sparklineGroup>
        <x14:sparklineGroup type="column" displayEmptyCellsAs="gap">
          <x14:colorSeries rgb="FF000000"/>
          <x14:sparklines>
            <x14:sparkline>
              <xm:f>SPARKLINE!C755:E755</xm:f>
              <xm:sqref>K755</xm:sqref>
            </x14:sparkline>
          </x14:sparklines>
        </x14:sparklineGroup>
        <x14:sparklineGroup type="column" displayEmptyCellsAs="gap">
          <x14:colorSeries rgb="FF000000"/>
          <x14:sparklines>
            <x14:sparkline>
              <xm:f>SPARKLINE!C756:E756</xm:f>
              <xm:sqref>K756</xm:sqref>
            </x14:sparkline>
          </x14:sparklines>
        </x14:sparklineGroup>
        <x14:sparklineGroup type="column" displayEmptyCellsAs="gap">
          <x14:colorSeries rgb="FF000000"/>
          <x14:sparklines>
            <x14:sparkline>
              <xm:f>SPARKLINE!C757:E757</xm:f>
              <xm:sqref>K757</xm:sqref>
            </x14:sparkline>
          </x14:sparklines>
        </x14:sparklineGroup>
        <x14:sparklineGroup type="column" displayEmptyCellsAs="gap">
          <x14:colorSeries rgb="FF000000"/>
          <x14:sparklines>
            <x14:sparkline>
              <xm:f>SPARKLINE!C758:E758</xm:f>
              <xm:sqref>K758</xm:sqref>
            </x14:sparkline>
          </x14:sparklines>
        </x14:sparklineGroup>
        <x14:sparklineGroup type="column" displayEmptyCellsAs="gap">
          <x14:colorSeries rgb="FF000000"/>
          <x14:sparklines>
            <x14:sparkline>
              <xm:f>SPARKLINE!C759:E759</xm:f>
              <xm:sqref>K759</xm:sqref>
            </x14:sparkline>
          </x14:sparklines>
        </x14:sparklineGroup>
        <x14:sparklineGroup type="column" displayEmptyCellsAs="gap">
          <x14:colorSeries rgb="FF000000"/>
          <x14:sparklines>
            <x14:sparkline>
              <xm:f>SPARKLINE!C760:E760</xm:f>
              <xm:sqref>K760</xm:sqref>
            </x14:sparkline>
          </x14:sparklines>
        </x14:sparklineGroup>
        <x14:sparklineGroup type="column" displayEmptyCellsAs="gap">
          <x14:colorSeries rgb="FF000000"/>
          <x14:sparklines>
            <x14:sparkline>
              <xm:f>SPARKLINE!C761:E761</xm:f>
              <xm:sqref>K761</xm:sqref>
            </x14:sparkline>
          </x14:sparklines>
        </x14:sparklineGroup>
        <x14:sparklineGroup type="column" displayEmptyCellsAs="gap">
          <x14:colorSeries rgb="FF000000"/>
          <x14:sparklines>
            <x14:sparkline>
              <xm:f>SPARKLINE!C762:E762</xm:f>
              <xm:sqref>K762</xm:sqref>
            </x14:sparkline>
          </x14:sparklines>
        </x14:sparklineGroup>
        <x14:sparklineGroup type="column" displayEmptyCellsAs="gap">
          <x14:colorSeries rgb="FF000000"/>
          <x14:sparklines>
            <x14:sparkline>
              <xm:f>SPARKLINE!C763:E763</xm:f>
              <xm:sqref>K763</xm:sqref>
            </x14:sparkline>
          </x14:sparklines>
        </x14:sparklineGroup>
        <x14:sparklineGroup type="column" displayEmptyCellsAs="gap">
          <x14:colorSeries rgb="FF000000"/>
          <x14:sparklines>
            <x14:sparkline>
              <xm:f>SPARKLINE!C764:E764</xm:f>
              <xm:sqref>K764</xm:sqref>
            </x14:sparkline>
          </x14:sparklines>
        </x14:sparklineGroup>
        <x14:sparklineGroup type="column" displayEmptyCellsAs="gap">
          <x14:colorSeries rgb="FF000000"/>
          <x14:sparklines>
            <x14:sparkline>
              <xm:f>SPARKLINE!C765:E765</xm:f>
              <xm:sqref>K765</xm:sqref>
            </x14:sparkline>
          </x14:sparklines>
        </x14:sparklineGroup>
        <x14:sparklineGroup type="column" displayEmptyCellsAs="gap">
          <x14:colorSeries rgb="FF000000"/>
          <x14:sparklines>
            <x14:sparkline>
              <xm:f>SPARKLINE!C766:E766</xm:f>
              <xm:sqref>K766</xm:sqref>
            </x14:sparkline>
          </x14:sparklines>
        </x14:sparklineGroup>
        <x14:sparklineGroup type="column" displayEmptyCellsAs="gap">
          <x14:colorSeries rgb="FF000000"/>
          <x14:sparklines>
            <x14:sparkline>
              <xm:f>SPARKLINE!C767:E767</xm:f>
              <xm:sqref>K767</xm:sqref>
            </x14:sparkline>
          </x14:sparklines>
        </x14:sparklineGroup>
        <x14:sparklineGroup type="column" displayEmptyCellsAs="gap">
          <x14:colorSeries rgb="FF000000"/>
          <x14:sparklines>
            <x14:sparkline>
              <xm:f>SPARKLINE!C768:E768</xm:f>
              <xm:sqref>K768</xm:sqref>
            </x14:sparkline>
          </x14:sparklines>
        </x14:sparklineGroup>
        <x14:sparklineGroup type="column" displayEmptyCellsAs="gap">
          <x14:colorSeries rgb="FF000000"/>
          <x14:sparklines>
            <x14:sparkline>
              <xm:f>SPARKLINE!C769:E769</xm:f>
              <xm:sqref>K769</xm:sqref>
            </x14:sparkline>
          </x14:sparklines>
        </x14:sparklineGroup>
        <x14:sparklineGroup type="column" displayEmptyCellsAs="gap">
          <x14:colorSeries rgb="FF000000"/>
          <x14:sparklines>
            <x14:sparkline>
              <xm:f>SPARKLINE!C770:E770</xm:f>
              <xm:sqref>K770</xm:sqref>
            </x14:sparkline>
          </x14:sparklines>
        </x14:sparklineGroup>
        <x14:sparklineGroup type="column" displayEmptyCellsAs="gap">
          <x14:colorSeries rgb="FF000000"/>
          <x14:sparklines>
            <x14:sparkline>
              <xm:f>SPARKLINE!C771:E771</xm:f>
              <xm:sqref>K771</xm:sqref>
            </x14:sparkline>
          </x14:sparklines>
        </x14:sparklineGroup>
        <x14:sparklineGroup type="column" displayEmptyCellsAs="gap">
          <x14:colorSeries rgb="FF000000"/>
          <x14:sparklines>
            <x14:sparkline>
              <xm:f>SPARKLINE!C772:E772</xm:f>
              <xm:sqref>K772</xm:sqref>
            </x14:sparkline>
          </x14:sparklines>
        </x14:sparklineGroup>
        <x14:sparklineGroup type="column" displayEmptyCellsAs="gap">
          <x14:colorSeries rgb="FF000000"/>
          <x14:sparklines>
            <x14:sparkline>
              <xm:f>SPARKLINE!C773:E773</xm:f>
              <xm:sqref>K773</xm:sqref>
            </x14:sparkline>
          </x14:sparklines>
        </x14:sparklineGroup>
        <x14:sparklineGroup type="column" displayEmptyCellsAs="gap">
          <x14:colorSeries rgb="FF000000"/>
          <x14:sparklines>
            <x14:sparkline>
              <xm:f>SPARKLINE!C774:E774</xm:f>
              <xm:sqref>K774</xm:sqref>
            </x14:sparkline>
          </x14:sparklines>
        </x14:sparklineGroup>
        <x14:sparklineGroup type="column" displayEmptyCellsAs="gap">
          <x14:colorSeries rgb="FF000000"/>
          <x14:sparklines>
            <x14:sparkline>
              <xm:f>SPARKLINE!C775:E775</xm:f>
              <xm:sqref>K775</xm:sqref>
            </x14:sparkline>
          </x14:sparklines>
        </x14:sparklineGroup>
        <x14:sparklineGroup type="column" displayEmptyCellsAs="gap">
          <x14:colorSeries rgb="FF000000"/>
          <x14:sparklines>
            <x14:sparkline>
              <xm:f>SPARKLINE!C776:E776</xm:f>
              <xm:sqref>K776</xm:sqref>
            </x14:sparkline>
          </x14:sparklines>
        </x14:sparklineGroup>
        <x14:sparklineGroup type="column" displayEmptyCellsAs="gap">
          <x14:colorSeries rgb="FF000000"/>
          <x14:sparklines>
            <x14:sparkline>
              <xm:f>SPARKLINE!C777:E777</xm:f>
              <xm:sqref>K777</xm:sqref>
            </x14:sparkline>
          </x14:sparklines>
        </x14:sparklineGroup>
        <x14:sparklineGroup type="column" displayEmptyCellsAs="gap">
          <x14:colorSeries rgb="FF000000"/>
          <x14:sparklines>
            <x14:sparkline>
              <xm:f>SPARKLINE!C778:E778</xm:f>
              <xm:sqref>K778</xm:sqref>
            </x14:sparkline>
          </x14:sparklines>
        </x14:sparklineGroup>
        <x14:sparklineGroup type="column" displayEmptyCellsAs="gap">
          <x14:colorSeries rgb="FF000000"/>
          <x14:sparklines>
            <x14:sparkline>
              <xm:f>SPARKLINE!C779:E779</xm:f>
              <xm:sqref>K779</xm:sqref>
            </x14:sparkline>
          </x14:sparklines>
        </x14:sparklineGroup>
        <x14:sparklineGroup type="column" displayEmptyCellsAs="gap">
          <x14:colorSeries rgb="FF000000"/>
          <x14:sparklines>
            <x14:sparkline>
              <xm:f>SPARKLINE!C780:E780</xm:f>
              <xm:sqref>K780</xm:sqref>
            </x14:sparkline>
          </x14:sparklines>
        </x14:sparklineGroup>
        <x14:sparklineGroup type="column" displayEmptyCellsAs="gap">
          <x14:colorSeries rgb="FF000000"/>
          <x14:sparklines>
            <x14:sparkline>
              <xm:f>SPARKLINE!C781:E781</xm:f>
              <xm:sqref>K781</xm:sqref>
            </x14:sparkline>
          </x14:sparklines>
        </x14:sparklineGroup>
        <x14:sparklineGroup type="column" displayEmptyCellsAs="gap">
          <x14:colorSeries rgb="FF000000"/>
          <x14:sparklines>
            <x14:sparkline>
              <xm:f>SPARKLINE!C782:E782</xm:f>
              <xm:sqref>K782</xm:sqref>
            </x14:sparkline>
          </x14:sparklines>
        </x14:sparklineGroup>
        <x14:sparklineGroup type="column" displayEmptyCellsAs="gap">
          <x14:colorSeries rgb="FF000000"/>
          <x14:sparklines>
            <x14:sparkline>
              <xm:f>SPARKLINE!C783:E783</xm:f>
              <xm:sqref>K783</xm:sqref>
            </x14:sparkline>
          </x14:sparklines>
        </x14:sparklineGroup>
        <x14:sparklineGroup type="column" displayEmptyCellsAs="gap">
          <x14:colorSeries rgb="FF000000"/>
          <x14:sparklines>
            <x14:sparkline>
              <xm:f>SPARKLINE!C784:E784</xm:f>
              <xm:sqref>K784</xm:sqref>
            </x14:sparkline>
          </x14:sparklines>
        </x14:sparklineGroup>
        <x14:sparklineGroup type="column" displayEmptyCellsAs="gap">
          <x14:colorSeries rgb="FF000000"/>
          <x14:sparklines>
            <x14:sparkline>
              <xm:f>SPARKLINE!C785:E785</xm:f>
              <xm:sqref>K785</xm:sqref>
            </x14:sparkline>
          </x14:sparklines>
        </x14:sparklineGroup>
        <x14:sparklineGroup type="column" displayEmptyCellsAs="gap">
          <x14:colorSeries rgb="FF000000"/>
          <x14:sparklines>
            <x14:sparkline>
              <xm:f>SPARKLINE!C786:E786</xm:f>
              <xm:sqref>K786</xm:sqref>
            </x14:sparkline>
          </x14:sparklines>
        </x14:sparklineGroup>
        <x14:sparklineGroup type="column" displayEmptyCellsAs="gap">
          <x14:colorSeries rgb="FF000000"/>
          <x14:sparklines>
            <x14:sparkline>
              <xm:f>SPARKLINE!C787:E787</xm:f>
              <xm:sqref>K787</xm:sqref>
            </x14:sparkline>
          </x14:sparklines>
        </x14:sparklineGroup>
        <x14:sparklineGroup type="column" displayEmptyCellsAs="gap">
          <x14:colorSeries rgb="FF000000"/>
          <x14:sparklines>
            <x14:sparkline>
              <xm:f>SPARKLINE!C788:E788</xm:f>
              <xm:sqref>K788</xm:sqref>
            </x14:sparkline>
          </x14:sparklines>
        </x14:sparklineGroup>
        <x14:sparklineGroup type="column" displayEmptyCellsAs="gap">
          <x14:colorSeries rgb="FF000000"/>
          <x14:sparklines>
            <x14:sparkline>
              <xm:f>SPARKLINE!C789:E789</xm:f>
              <xm:sqref>K789</xm:sqref>
            </x14:sparkline>
          </x14:sparklines>
        </x14:sparklineGroup>
        <x14:sparklineGroup type="column" displayEmptyCellsAs="gap">
          <x14:colorSeries rgb="FF000000"/>
          <x14:sparklines>
            <x14:sparkline>
              <xm:f>SPARKLINE!C790:E790</xm:f>
              <xm:sqref>K790</xm:sqref>
            </x14:sparkline>
          </x14:sparklines>
        </x14:sparklineGroup>
        <x14:sparklineGroup type="column" displayEmptyCellsAs="gap">
          <x14:colorSeries rgb="FF000000"/>
          <x14:sparklines>
            <x14:sparkline>
              <xm:f>SPARKLINE!C791:E791</xm:f>
              <xm:sqref>K791</xm:sqref>
            </x14:sparkline>
          </x14:sparklines>
        </x14:sparklineGroup>
        <x14:sparklineGroup type="column" displayEmptyCellsAs="gap">
          <x14:colorSeries rgb="FF000000"/>
          <x14:sparklines>
            <x14:sparkline>
              <xm:f>SPARKLINE!C792:E792</xm:f>
              <xm:sqref>K792</xm:sqref>
            </x14:sparkline>
          </x14:sparklines>
        </x14:sparklineGroup>
        <x14:sparklineGroup type="column" displayEmptyCellsAs="gap">
          <x14:colorSeries rgb="FF000000"/>
          <x14:sparklines>
            <x14:sparkline>
              <xm:f>SPARKLINE!C793:E793</xm:f>
              <xm:sqref>K793</xm:sqref>
            </x14:sparkline>
          </x14:sparklines>
        </x14:sparklineGroup>
        <x14:sparklineGroup type="column" displayEmptyCellsAs="gap">
          <x14:colorSeries rgb="FF000000"/>
          <x14:sparklines>
            <x14:sparkline>
              <xm:f>SPARKLINE!C794:E794</xm:f>
              <xm:sqref>K794</xm:sqref>
            </x14:sparkline>
          </x14:sparklines>
        </x14:sparklineGroup>
        <x14:sparklineGroup type="column" displayEmptyCellsAs="gap">
          <x14:colorSeries rgb="FF000000"/>
          <x14:sparklines>
            <x14:sparkline>
              <xm:f>SPARKLINE!C795:E795</xm:f>
              <xm:sqref>K795</xm:sqref>
            </x14:sparkline>
          </x14:sparklines>
        </x14:sparklineGroup>
        <x14:sparklineGroup type="column" displayEmptyCellsAs="gap">
          <x14:colorSeries rgb="FF000000"/>
          <x14:sparklines>
            <x14:sparkline>
              <xm:f>SPARKLINE!C796:E796</xm:f>
              <xm:sqref>K796</xm:sqref>
            </x14:sparkline>
          </x14:sparklines>
        </x14:sparklineGroup>
        <x14:sparklineGroup type="column" displayEmptyCellsAs="gap">
          <x14:colorSeries rgb="FF000000"/>
          <x14:sparklines>
            <x14:sparkline>
              <xm:f>SPARKLINE!C797:E797</xm:f>
              <xm:sqref>K797</xm:sqref>
            </x14:sparkline>
          </x14:sparklines>
        </x14:sparklineGroup>
        <x14:sparklineGroup type="column" displayEmptyCellsAs="gap">
          <x14:colorSeries rgb="FF000000"/>
          <x14:sparklines>
            <x14:sparkline>
              <xm:f>SPARKLINE!C798:E798</xm:f>
              <xm:sqref>K798</xm:sqref>
            </x14:sparkline>
          </x14:sparklines>
        </x14:sparklineGroup>
        <x14:sparklineGroup type="column" displayEmptyCellsAs="gap">
          <x14:colorSeries rgb="FF000000"/>
          <x14:sparklines>
            <x14:sparkline>
              <xm:f>SPARKLINE!C799:E799</xm:f>
              <xm:sqref>K799</xm:sqref>
            </x14:sparkline>
          </x14:sparklines>
        </x14:sparklineGroup>
        <x14:sparklineGroup type="column" displayEmptyCellsAs="gap">
          <x14:colorSeries rgb="FF000000"/>
          <x14:sparklines>
            <x14:sparkline>
              <xm:f>SPARKLINE!C800:E800</xm:f>
              <xm:sqref>K800</xm:sqref>
            </x14:sparkline>
          </x14:sparklines>
        </x14:sparklineGroup>
        <x14:sparklineGroup type="column" displayEmptyCellsAs="gap">
          <x14:colorSeries rgb="FF000000"/>
          <x14:sparklines>
            <x14:sparkline>
              <xm:f>SPARKLINE!C801:E801</xm:f>
              <xm:sqref>K801</xm:sqref>
            </x14:sparkline>
          </x14:sparklines>
        </x14:sparklineGroup>
        <x14:sparklineGroup type="column" displayEmptyCellsAs="gap">
          <x14:colorSeries rgb="FF000000"/>
          <x14:sparklines>
            <x14:sparkline>
              <xm:f>SPARKLINE!C802:E802</xm:f>
              <xm:sqref>K802</xm:sqref>
            </x14:sparkline>
          </x14:sparklines>
        </x14:sparklineGroup>
        <x14:sparklineGroup type="column" displayEmptyCellsAs="gap">
          <x14:colorSeries rgb="FF000000"/>
          <x14:sparklines>
            <x14:sparkline>
              <xm:f>SPARKLINE!C803:E803</xm:f>
              <xm:sqref>K803</xm:sqref>
            </x14:sparkline>
          </x14:sparklines>
        </x14:sparklineGroup>
        <x14:sparklineGroup type="column" displayEmptyCellsAs="gap">
          <x14:colorSeries rgb="FF000000"/>
          <x14:sparklines>
            <x14:sparkline>
              <xm:f>SPARKLINE!C804:E804</xm:f>
              <xm:sqref>K804</xm:sqref>
            </x14:sparkline>
          </x14:sparklines>
        </x14:sparklineGroup>
        <x14:sparklineGroup type="column" displayEmptyCellsAs="gap">
          <x14:colorSeries rgb="FF000000"/>
          <x14:sparklines>
            <x14:sparkline>
              <xm:f>SPARKLINE!C805:E805</xm:f>
              <xm:sqref>K805</xm:sqref>
            </x14:sparkline>
          </x14:sparklines>
        </x14:sparklineGroup>
        <x14:sparklineGroup type="column" displayEmptyCellsAs="gap">
          <x14:colorSeries rgb="FF000000"/>
          <x14:sparklines>
            <x14:sparkline>
              <xm:f>SPARKLINE!C806:E806</xm:f>
              <xm:sqref>K806</xm:sqref>
            </x14:sparkline>
          </x14:sparklines>
        </x14:sparklineGroup>
        <x14:sparklineGroup type="column" displayEmptyCellsAs="gap">
          <x14:colorSeries rgb="FF000000"/>
          <x14:sparklines>
            <x14:sparkline>
              <xm:f>SPARKLINE!C807:E807</xm:f>
              <xm:sqref>K807</xm:sqref>
            </x14:sparkline>
          </x14:sparklines>
        </x14:sparklineGroup>
        <x14:sparklineGroup type="column" displayEmptyCellsAs="gap">
          <x14:colorSeries rgb="FF000000"/>
          <x14:sparklines>
            <x14:sparkline>
              <xm:f>SPARKLINE!C808:E808</xm:f>
              <xm:sqref>K808</xm:sqref>
            </x14:sparkline>
          </x14:sparklines>
        </x14:sparklineGroup>
        <x14:sparklineGroup type="column" displayEmptyCellsAs="gap">
          <x14:colorSeries rgb="FF000000"/>
          <x14:sparklines>
            <x14:sparkline>
              <xm:f>SPARKLINE!C809:E809</xm:f>
              <xm:sqref>K809</xm:sqref>
            </x14:sparkline>
          </x14:sparklines>
        </x14:sparklineGroup>
        <x14:sparklineGroup type="column" displayEmptyCellsAs="gap">
          <x14:colorSeries rgb="FF000000"/>
          <x14:sparklines>
            <x14:sparkline>
              <xm:f>SPARKLINE!C810:E810</xm:f>
              <xm:sqref>K810</xm:sqref>
            </x14:sparkline>
          </x14:sparklines>
        </x14:sparklineGroup>
        <x14:sparklineGroup type="column" displayEmptyCellsAs="gap">
          <x14:colorSeries rgb="FF000000"/>
          <x14:sparklines>
            <x14:sparkline>
              <xm:f>SPARKLINE!C811:E811</xm:f>
              <xm:sqref>K811</xm:sqref>
            </x14:sparkline>
          </x14:sparklines>
        </x14:sparklineGroup>
        <x14:sparklineGroup type="column" displayEmptyCellsAs="gap">
          <x14:colorSeries rgb="FF000000"/>
          <x14:sparklines>
            <x14:sparkline>
              <xm:f>SPARKLINE!C812:E812</xm:f>
              <xm:sqref>K812</xm:sqref>
            </x14:sparkline>
          </x14:sparklines>
        </x14:sparklineGroup>
        <x14:sparklineGroup type="column" displayEmptyCellsAs="gap">
          <x14:colorSeries rgb="FF000000"/>
          <x14:sparklines>
            <x14:sparkline>
              <xm:f>SPARKLINE!C813:E813</xm:f>
              <xm:sqref>K813</xm:sqref>
            </x14:sparkline>
          </x14:sparklines>
        </x14:sparklineGroup>
        <x14:sparklineGroup type="column" displayEmptyCellsAs="gap">
          <x14:colorSeries rgb="FF000000"/>
          <x14:sparklines>
            <x14:sparkline>
              <xm:f>SPARKLINE!C814:E814</xm:f>
              <xm:sqref>K814</xm:sqref>
            </x14:sparkline>
          </x14:sparklines>
        </x14:sparklineGroup>
        <x14:sparklineGroup type="column" displayEmptyCellsAs="gap">
          <x14:colorSeries rgb="FF000000"/>
          <x14:sparklines>
            <x14:sparkline>
              <xm:f>SPARKLINE!C815:E815</xm:f>
              <xm:sqref>K815</xm:sqref>
            </x14:sparkline>
          </x14:sparklines>
        </x14:sparklineGroup>
        <x14:sparklineGroup type="column" displayEmptyCellsAs="gap">
          <x14:colorSeries rgb="FF000000"/>
          <x14:sparklines>
            <x14:sparkline>
              <xm:f>SPARKLINE!C816:E816</xm:f>
              <xm:sqref>K816</xm:sqref>
            </x14:sparkline>
          </x14:sparklines>
        </x14:sparklineGroup>
        <x14:sparklineGroup type="column" displayEmptyCellsAs="gap">
          <x14:colorSeries rgb="FF000000"/>
          <x14:sparklines>
            <x14:sparkline>
              <xm:f>SPARKLINE!C817:E817</xm:f>
              <xm:sqref>K817</xm:sqref>
            </x14:sparkline>
          </x14:sparklines>
        </x14:sparklineGroup>
        <x14:sparklineGroup type="column" displayEmptyCellsAs="gap">
          <x14:colorSeries rgb="FF000000"/>
          <x14:sparklines>
            <x14:sparkline>
              <xm:f>SPARKLINE!C818:E818</xm:f>
              <xm:sqref>K818</xm:sqref>
            </x14:sparkline>
          </x14:sparklines>
        </x14:sparklineGroup>
        <x14:sparklineGroup type="column" displayEmptyCellsAs="gap">
          <x14:colorSeries rgb="FF000000"/>
          <x14:sparklines>
            <x14:sparkline>
              <xm:f>SPARKLINE!C819:E819</xm:f>
              <xm:sqref>K819</xm:sqref>
            </x14:sparkline>
          </x14:sparklines>
        </x14:sparklineGroup>
        <x14:sparklineGroup type="column" displayEmptyCellsAs="gap">
          <x14:colorSeries rgb="FF000000"/>
          <x14:sparklines>
            <x14:sparkline>
              <xm:f>SPARKLINE!C820:E820</xm:f>
              <xm:sqref>K820</xm:sqref>
            </x14:sparkline>
          </x14:sparklines>
        </x14:sparklineGroup>
        <x14:sparklineGroup type="column" displayEmptyCellsAs="gap">
          <x14:colorSeries rgb="FF000000"/>
          <x14:sparklines>
            <x14:sparkline>
              <xm:f>SPARKLINE!C821:E821</xm:f>
              <xm:sqref>K821</xm:sqref>
            </x14:sparkline>
          </x14:sparklines>
        </x14:sparklineGroup>
        <x14:sparklineGroup type="column" displayEmptyCellsAs="gap">
          <x14:colorSeries rgb="FF000000"/>
          <x14:sparklines>
            <x14:sparkline>
              <xm:f>SPARKLINE!C822:E822</xm:f>
              <xm:sqref>K822</xm:sqref>
            </x14:sparkline>
          </x14:sparklines>
        </x14:sparklineGroup>
        <x14:sparklineGroup type="column" displayEmptyCellsAs="gap">
          <x14:colorSeries rgb="FF000000"/>
          <x14:sparklines>
            <x14:sparkline>
              <xm:f>SPARKLINE!C823:E823</xm:f>
              <xm:sqref>K823</xm:sqref>
            </x14:sparkline>
          </x14:sparklines>
        </x14:sparklineGroup>
        <x14:sparklineGroup type="column" displayEmptyCellsAs="gap">
          <x14:colorSeries rgb="FF000000"/>
          <x14:sparklines>
            <x14:sparkline>
              <xm:f>SPARKLINE!C824:E824</xm:f>
              <xm:sqref>K824</xm:sqref>
            </x14:sparkline>
          </x14:sparklines>
        </x14:sparklineGroup>
        <x14:sparklineGroup type="column" displayEmptyCellsAs="gap">
          <x14:colorSeries rgb="FF000000"/>
          <x14:sparklines>
            <x14:sparkline>
              <xm:f>SPARKLINE!C825:E825</xm:f>
              <xm:sqref>K825</xm:sqref>
            </x14:sparkline>
          </x14:sparklines>
        </x14:sparklineGroup>
        <x14:sparklineGroup type="column" displayEmptyCellsAs="gap">
          <x14:colorSeries rgb="FF000000"/>
          <x14:sparklines>
            <x14:sparkline>
              <xm:f>SPARKLINE!C826:E826</xm:f>
              <xm:sqref>K826</xm:sqref>
            </x14:sparkline>
          </x14:sparklines>
        </x14:sparklineGroup>
        <x14:sparklineGroup type="column" displayEmptyCellsAs="gap">
          <x14:colorSeries rgb="FF000000"/>
          <x14:sparklines>
            <x14:sparkline>
              <xm:f>SPARKLINE!C827:E827</xm:f>
              <xm:sqref>K827</xm:sqref>
            </x14:sparkline>
          </x14:sparklines>
        </x14:sparklineGroup>
        <x14:sparklineGroup type="column" displayEmptyCellsAs="gap">
          <x14:colorSeries rgb="FF000000"/>
          <x14:sparklines>
            <x14:sparkline>
              <xm:f>SPARKLINE!C828:E828</xm:f>
              <xm:sqref>K828</xm:sqref>
            </x14:sparkline>
          </x14:sparklines>
        </x14:sparklineGroup>
        <x14:sparklineGroup type="column" displayEmptyCellsAs="gap">
          <x14:colorSeries rgb="FF000000"/>
          <x14:sparklines>
            <x14:sparkline>
              <xm:f>SPARKLINE!C829:E829</xm:f>
              <xm:sqref>K829</xm:sqref>
            </x14:sparkline>
          </x14:sparklines>
        </x14:sparklineGroup>
        <x14:sparklineGroup type="column" displayEmptyCellsAs="gap">
          <x14:colorSeries rgb="FF000000"/>
          <x14:sparklines>
            <x14:sparkline>
              <xm:f>SPARKLINE!C830:E830</xm:f>
              <xm:sqref>K830</xm:sqref>
            </x14:sparkline>
          </x14:sparklines>
        </x14:sparklineGroup>
        <x14:sparklineGroup type="column" displayEmptyCellsAs="gap">
          <x14:colorSeries rgb="FF000000"/>
          <x14:sparklines>
            <x14:sparkline>
              <xm:f>SPARKLINE!C831:E831</xm:f>
              <xm:sqref>K831</xm:sqref>
            </x14:sparkline>
          </x14:sparklines>
        </x14:sparklineGroup>
        <x14:sparklineGroup type="column" displayEmptyCellsAs="gap">
          <x14:colorSeries rgb="FF000000"/>
          <x14:sparklines>
            <x14:sparkline>
              <xm:f>SPARKLINE!C832:E832</xm:f>
              <xm:sqref>K832</xm:sqref>
            </x14:sparkline>
          </x14:sparklines>
        </x14:sparklineGroup>
        <x14:sparklineGroup type="column" displayEmptyCellsAs="gap">
          <x14:colorSeries rgb="FF000000"/>
          <x14:sparklines>
            <x14:sparkline>
              <xm:f>SPARKLINE!C833:E833</xm:f>
              <xm:sqref>K833</xm:sqref>
            </x14:sparkline>
          </x14:sparklines>
        </x14:sparklineGroup>
        <x14:sparklineGroup type="column" displayEmptyCellsAs="gap">
          <x14:colorSeries rgb="FF000000"/>
          <x14:sparklines>
            <x14:sparkline>
              <xm:f>SPARKLINE!C834:E834</xm:f>
              <xm:sqref>K834</xm:sqref>
            </x14:sparkline>
          </x14:sparklines>
        </x14:sparklineGroup>
        <x14:sparklineGroup type="column" displayEmptyCellsAs="gap">
          <x14:colorSeries rgb="FF000000"/>
          <x14:sparklines>
            <x14:sparkline>
              <xm:f>SPARKLINE!C835:E835</xm:f>
              <xm:sqref>K835</xm:sqref>
            </x14:sparkline>
          </x14:sparklines>
        </x14:sparklineGroup>
        <x14:sparklineGroup type="column" displayEmptyCellsAs="gap">
          <x14:colorSeries rgb="FF000000"/>
          <x14:sparklines>
            <x14:sparkline>
              <xm:f>SPARKLINE!C836:E836</xm:f>
              <xm:sqref>K836</xm:sqref>
            </x14:sparkline>
          </x14:sparklines>
        </x14:sparklineGroup>
        <x14:sparklineGroup type="column" displayEmptyCellsAs="gap">
          <x14:colorSeries rgb="FF000000"/>
          <x14:sparklines>
            <x14:sparkline>
              <xm:f>SPARKLINE!C837:E837</xm:f>
              <xm:sqref>K837</xm:sqref>
            </x14:sparkline>
          </x14:sparklines>
        </x14:sparklineGroup>
        <x14:sparklineGroup type="column" displayEmptyCellsAs="gap">
          <x14:colorSeries rgb="FF000000"/>
          <x14:sparklines>
            <x14:sparkline>
              <xm:f>SPARKLINE!C838:E838</xm:f>
              <xm:sqref>K838</xm:sqref>
            </x14:sparkline>
          </x14:sparklines>
        </x14:sparklineGroup>
        <x14:sparklineGroup type="column" displayEmptyCellsAs="gap">
          <x14:colorSeries rgb="FF000000"/>
          <x14:sparklines>
            <x14:sparkline>
              <xm:f>SPARKLINE!C839:E839</xm:f>
              <xm:sqref>K839</xm:sqref>
            </x14:sparkline>
          </x14:sparklines>
        </x14:sparklineGroup>
        <x14:sparklineGroup type="column" displayEmptyCellsAs="gap">
          <x14:colorSeries rgb="FF000000"/>
          <x14:sparklines>
            <x14:sparkline>
              <xm:f>SPARKLINE!C840:E840</xm:f>
              <xm:sqref>K840</xm:sqref>
            </x14:sparkline>
          </x14:sparklines>
        </x14:sparklineGroup>
        <x14:sparklineGroup type="column" displayEmptyCellsAs="gap">
          <x14:colorSeries rgb="FF000000"/>
          <x14:sparklines>
            <x14:sparkline>
              <xm:f>SPARKLINE!C841:E841</xm:f>
              <xm:sqref>K841</xm:sqref>
            </x14:sparkline>
          </x14:sparklines>
        </x14:sparklineGroup>
        <x14:sparklineGroup type="column" displayEmptyCellsAs="gap">
          <x14:colorSeries rgb="FF000000"/>
          <x14:sparklines>
            <x14:sparkline>
              <xm:f>SPARKLINE!C842:E842</xm:f>
              <xm:sqref>K842</xm:sqref>
            </x14:sparkline>
          </x14:sparklines>
        </x14:sparklineGroup>
        <x14:sparklineGroup type="column" displayEmptyCellsAs="gap">
          <x14:colorSeries rgb="FF000000"/>
          <x14:sparklines>
            <x14:sparkline>
              <xm:f>SPARKLINE!C843:E843</xm:f>
              <xm:sqref>K843</xm:sqref>
            </x14:sparkline>
          </x14:sparklines>
        </x14:sparklineGroup>
        <x14:sparklineGroup type="column" displayEmptyCellsAs="gap">
          <x14:colorSeries rgb="FF000000"/>
          <x14:sparklines>
            <x14:sparkline>
              <xm:f>SPARKLINE!C844:E844</xm:f>
              <xm:sqref>K844</xm:sqref>
            </x14:sparkline>
          </x14:sparklines>
        </x14:sparklineGroup>
        <x14:sparklineGroup type="column" displayEmptyCellsAs="gap">
          <x14:colorSeries rgb="FF000000"/>
          <x14:sparklines>
            <x14:sparkline>
              <xm:f>SPARKLINE!C845:E845</xm:f>
              <xm:sqref>K845</xm:sqref>
            </x14:sparkline>
          </x14:sparklines>
        </x14:sparklineGroup>
        <x14:sparklineGroup type="column" displayEmptyCellsAs="gap">
          <x14:colorSeries rgb="FF000000"/>
          <x14:sparklines>
            <x14:sparkline>
              <xm:f>SPARKLINE!C846:E846</xm:f>
              <xm:sqref>K846</xm:sqref>
            </x14:sparkline>
          </x14:sparklines>
        </x14:sparklineGroup>
        <x14:sparklineGroup type="column" displayEmptyCellsAs="gap">
          <x14:colorSeries rgb="FF000000"/>
          <x14:sparklines>
            <x14:sparkline>
              <xm:f>SPARKLINE!C847:E847</xm:f>
              <xm:sqref>K847</xm:sqref>
            </x14:sparkline>
          </x14:sparklines>
        </x14:sparklineGroup>
        <x14:sparklineGroup type="column" displayEmptyCellsAs="gap">
          <x14:colorSeries rgb="FF000000"/>
          <x14:sparklines>
            <x14:sparkline>
              <xm:f>SPARKLINE!C848:E848</xm:f>
              <xm:sqref>K848</xm:sqref>
            </x14:sparkline>
          </x14:sparklines>
        </x14:sparklineGroup>
        <x14:sparklineGroup type="column" displayEmptyCellsAs="gap">
          <x14:colorSeries rgb="FF000000"/>
          <x14:sparklines>
            <x14:sparkline>
              <xm:f>SPARKLINE!C849:E849</xm:f>
              <xm:sqref>K849</xm:sqref>
            </x14:sparkline>
          </x14:sparklines>
        </x14:sparklineGroup>
        <x14:sparklineGroup type="column" displayEmptyCellsAs="gap">
          <x14:colorSeries rgb="FF000000"/>
          <x14:sparklines>
            <x14:sparkline>
              <xm:f>SPARKLINE!C850:E850</xm:f>
              <xm:sqref>K850</xm:sqref>
            </x14:sparkline>
          </x14:sparklines>
        </x14:sparklineGroup>
        <x14:sparklineGroup type="column" displayEmptyCellsAs="gap">
          <x14:colorSeries rgb="FF000000"/>
          <x14:sparklines>
            <x14:sparkline>
              <xm:f>SPARKLINE!C851:E851</xm:f>
              <xm:sqref>K851</xm:sqref>
            </x14:sparkline>
          </x14:sparklines>
        </x14:sparklineGroup>
        <x14:sparklineGroup type="column" displayEmptyCellsAs="gap">
          <x14:colorSeries rgb="FF000000"/>
          <x14:sparklines>
            <x14:sparkline>
              <xm:f>SPARKLINE!C852:E852</xm:f>
              <xm:sqref>K852</xm:sqref>
            </x14:sparkline>
          </x14:sparklines>
        </x14:sparklineGroup>
        <x14:sparklineGroup type="column" displayEmptyCellsAs="gap">
          <x14:colorSeries rgb="FF000000"/>
          <x14:sparklines>
            <x14:sparkline>
              <xm:f>SPARKLINE!C853:E853</xm:f>
              <xm:sqref>K853</xm:sqref>
            </x14:sparkline>
          </x14:sparklines>
        </x14:sparklineGroup>
        <x14:sparklineGroup type="column" displayEmptyCellsAs="gap">
          <x14:colorSeries rgb="FF000000"/>
          <x14:sparklines>
            <x14:sparkline>
              <xm:f>SPARKLINE!C854:E854</xm:f>
              <xm:sqref>K854</xm:sqref>
            </x14:sparkline>
          </x14:sparklines>
        </x14:sparklineGroup>
        <x14:sparklineGroup type="column" displayEmptyCellsAs="gap">
          <x14:colorSeries rgb="FF000000"/>
          <x14:sparklines>
            <x14:sparkline>
              <xm:f>SPARKLINE!C855:E855</xm:f>
              <xm:sqref>K855</xm:sqref>
            </x14:sparkline>
          </x14:sparklines>
        </x14:sparklineGroup>
        <x14:sparklineGroup type="column" displayEmptyCellsAs="gap">
          <x14:colorSeries rgb="FF000000"/>
          <x14:sparklines>
            <x14:sparkline>
              <xm:f>SPARKLINE!C856:E856</xm:f>
              <xm:sqref>K856</xm:sqref>
            </x14:sparkline>
          </x14:sparklines>
        </x14:sparklineGroup>
        <x14:sparklineGroup type="column" displayEmptyCellsAs="gap">
          <x14:colorSeries rgb="FF000000"/>
          <x14:sparklines>
            <x14:sparkline>
              <xm:f>SPARKLINE!C857:E857</xm:f>
              <xm:sqref>K857</xm:sqref>
            </x14:sparkline>
          </x14:sparklines>
        </x14:sparklineGroup>
        <x14:sparklineGroup type="column" displayEmptyCellsAs="gap">
          <x14:colorSeries rgb="FF000000"/>
          <x14:sparklines>
            <x14:sparkline>
              <xm:f>SPARKLINE!C858:E858</xm:f>
              <xm:sqref>K858</xm:sqref>
            </x14:sparkline>
          </x14:sparklines>
        </x14:sparklineGroup>
        <x14:sparklineGroup type="column" displayEmptyCellsAs="gap">
          <x14:colorSeries rgb="FF000000"/>
          <x14:sparklines>
            <x14:sparkline>
              <xm:f>SPARKLINE!C859:E859</xm:f>
              <xm:sqref>K859</xm:sqref>
            </x14:sparkline>
          </x14:sparklines>
        </x14:sparklineGroup>
        <x14:sparklineGroup type="column" displayEmptyCellsAs="gap">
          <x14:colorSeries rgb="FF000000"/>
          <x14:sparklines>
            <x14:sparkline>
              <xm:f>SPARKLINE!C860:E860</xm:f>
              <xm:sqref>K860</xm:sqref>
            </x14:sparkline>
          </x14:sparklines>
        </x14:sparklineGroup>
        <x14:sparklineGroup type="column" displayEmptyCellsAs="gap">
          <x14:colorSeries rgb="FF000000"/>
          <x14:sparklines>
            <x14:sparkline>
              <xm:f>SPARKLINE!C861:E861</xm:f>
              <xm:sqref>K861</xm:sqref>
            </x14:sparkline>
          </x14:sparklines>
        </x14:sparklineGroup>
        <x14:sparklineGroup type="column" displayEmptyCellsAs="gap">
          <x14:colorSeries rgb="FF000000"/>
          <x14:sparklines>
            <x14:sparkline>
              <xm:f>SPARKLINE!C862:E862</xm:f>
              <xm:sqref>K862</xm:sqref>
            </x14:sparkline>
          </x14:sparklines>
        </x14:sparklineGroup>
        <x14:sparklineGroup type="column" displayEmptyCellsAs="gap">
          <x14:colorSeries rgb="FF000000"/>
          <x14:sparklines>
            <x14:sparkline>
              <xm:f>SPARKLINE!C863:E863</xm:f>
              <xm:sqref>K863</xm:sqref>
            </x14:sparkline>
          </x14:sparklines>
        </x14:sparklineGroup>
        <x14:sparklineGroup type="column" displayEmptyCellsAs="gap">
          <x14:colorSeries rgb="FF000000"/>
          <x14:sparklines>
            <x14:sparkline>
              <xm:f>SPARKLINE!C864:E864</xm:f>
              <xm:sqref>K864</xm:sqref>
            </x14:sparkline>
          </x14:sparklines>
        </x14:sparklineGroup>
        <x14:sparklineGroup type="column" displayEmptyCellsAs="gap">
          <x14:colorSeries rgb="FF000000"/>
          <x14:sparklines>
            <x14:sparkline>
              <xm:f>SPARKLINE!C865:E865</xm:f>
              <xm:sqref>K865</xm:sqref>
            </x14:sparkline>
          </x14:sparklines>
        </x14:sparklineGroup>
        <x14:sparklineGroup type="column" displayEmptyCellsAs="gap">
          <x14:colorSeries rgb="FF000000"/>
          <x14:sparklines>
            <x14:sparkline>
              <xm:f>SPARKLINE!C866:E866</xm:f>
              <xm:sqref>K866</xm:sqref>
            </x14:sparkline>
          </x14:sparklines>
        </x14:sparklineGroup>
        <x14:sparklineGroup type="column" displayEmptyCellsAs="gap">
          <x14:colorSeries rgb="FF000000"/>
          <x14:sparklines>
            <x14:sparkline>
              <xm:f>SPARKLINE!C867:E867</xm:f>
              <xm:sqref>K867</xm:sqref>
            </x14:sparkline>
          </x14:sparklines>
        </x14:sparklineGroup>
        <x14:sparklineGroup type="column" displayEmptyCellsAs="gap">
          <x14:colorSeries rgb="FF000000"/>
          <x14:sparklines>
            <x14:sparkline>
              <xm:f>SPARKLINE!C868:E868</xm:f>
              <xm:sqref>K868</xm:sqref>
            </x14:sparkline>
          </x14:sparklines>
        </x14:sparklineGroup>
        <x14:sparklineGroup type="column" displayEmptyCellsAs="gap">
          <x14:colorSeries rgb="FF000000"/>
          <x14:sparklines>
            <x14:sparkline>
              <xm:f>SPARKLINE!C869:E869</xm:f>
              <xm:sqref>K869</xm:sqref>
            </x14:sparkline>
          </x14:sparklines>
        </x14:sparklineGroup>
        <x14:sparklineGroup type="column" displayEmptyCellsAs="gap">
          <x14:colorSeries rgb="FF000000"/>
          <x14:sparklines>
            <x14:sparkline>
              <xm:f>SPARKLINE!C870:E870</xm:f>
              <xm:sqref>K870</xm:sqref>
            </x14:sparkline>
          </x14:sparklines>
        </x14:sparklineGroup>
        <x14:sparklineGroup type="column" displayEmptyCellsAs="gap">
          <x14:colorSeries rgb="FF000000"/>
          <x14:sparklines>
            <x14:sparkline>
              <xm:f>SPARKLINE!C871:E871</xm:f>
              <xm:sqref>K871</xm:sqref>
            </x14:sparkline>
          </x14:sparklines>
        </x14:sparklineGroup>
        <x14:sparklineGroup type="column" displayEmptyCellsAs="gap">
          <x14:colorSeries rgb="FF000000"/>
          <x14:sparklines>
            <x14:sparkline>
              <xm:f>SPARKLINE!C872:E872</xm:f>
              <xm:sqref>K872</xm:sqref>
            </x14:sparkline>
          </x14:sparklines>
        </x14:sparklineGroup>
        <x14:sparklineGroup type="column" displayEmptyCellsAs="gap">
          <x14:colorSeries rgb="FF000000"/>
          <x14:sparklines>
            <x14:sparkline>
              <xm:f>SPARKLINE!C873:E873</xm:f>
              <xm:sqref>K873</xm:sqref>
            </x14:sparkline>
          </x14:sparklines>
        </x14:sparklineGroup>
        <x14:sparklineGroup type="column" displayEmptyCellsAs="gap">
          <x14:colorSeries rgb="FF000000"/>
          <x14:sparklines>
            <x14:sparkline>
              <xm:f>SPARKLINE!C874:E874</xm:f>
              <xm:sqref>K874</xm:sqref>
            </x14:sparkline>
          </x14:sparklines>
        </x14:sparklineGroup>
        <x14:sparklineGroup type="column" displayEmptyCellsAs="gap">
          <x14:colorSeries rgb="FF000000"/>
          <x14:sparklines>
            <x14:sparkline>
              <xm:f>SPARKLINE!C875:E875</xm:f>
              <xm:sqref>K875</xm:sqref>
            </x14:sparkline>
          </x14:sparklines>
        </x14:sparklineGroup>
        <x14:sparklineGroup type="column" displayEmptyCellsAs="gap">
          <x14:colorSeries rgb="FF000000"/>
          <x14:sparklines>
            <x14:sparkline>
              <xm:f>SPARKLINE!C876:E876</xm:f>
              <xm:sqref>K876</xm:sqref>
            </x14:sparkline>
          </x14:sparklines>
        </x14:sparklineGroup>
        <x14:sparklineGroup type="column" displayEmptyCellsAs="gap">
          <x14:colorSeries rgb="FF000000"/>
          <x14:sparklines>
            <x14:sparkline>
              <xm:f>SPARKLINE!C877:E877</xm:f>
              <xm:sqref>K877</xm:sqref>
            </x14:sparkline>
          </x14:sparklines>
        </x14:sparklineGroup>
        <x14:sparklineGroup type="column" displayEmptyCellsAs="gap">
          <x14:colorSeries rgb="FF000000"/>
          <x14:sparklines>
            <x14:sparkline>
              <xm:f>SPARKLINE!C878:E878</xm:f>
              <xm:sqref>K878</xm:sqref>
            </x14:sparkline>
          </x14:sparklines>
        </x14:sparklineGroup>
        <x14:sparklineGroup type="column" displayEmptyCellsAs="gap">
          <x14:colorSeries rgb="FF000000"/>
          <x14:sparklines>
            <x14:sparkline>
              <xm:f>SPARKLINE!C879:E879</xm:f>
              <xm:sqref>K879</xm:sqref>
            </x14:sparkline>
          </x14:sparklines>
        </x14:sparklineGroup>
        <x14:sparklineGroup type="column" displayEmptyCellsAs="gap">
          <x14:colorSeries rgb="FF000000"/>
          <x14:sparklines>
            <x14:sparkline>
              <xm:f>SPARKLINE!C880:E880</xm:f>
              <xm:sqref>K880</xm:sqref>
            </x14:sparkline>
          </x14:sparklines>
        </x14:sparklineGroup>
        <x14:sparklineGroup type="column" displayEmptyCellsAs="gap">
          <x14:colorSeries rgb="FF000000"/>
          <x14:sparklines>
            <x14:sparkline>
              <xm:f>SPARKLINE!C881:E881</xm:f>
              <xm:sqref>K881</xm:sqref>
            </x14:sparkline>
          </x14:sparklines>
        </x14:sparklineGroup>
        <x14:sparklineGroup type="column" displayEmptyCellsAs="gap">
          <x14:colorSeries rgb="FF000000"/>
          <x14:sparklines>
            <x14:sparkline>
              <xm:f>SPARKLINE!C882:E882</xm:f>
              <xm:sqref>K882</xm:sqref>
            </x14:sparkline>
          </x14:sparklines>
        </x14:sparklineGroup>
        <x14:sparklineGroup type="column" displayEmptyCellsAs="gap">
          <x14:colorSeries rgb="FF000000"/>
          <x14:sparklines>
            <x14:sparkline>
              <xm:f>SPARKLINE!C883:E883</xm:f>
              <xm:sqref>K883</xm:sqref>
            </x14:sparkline>
          </x14:sparklines>
        </x14:sparklineGroup>
        <x14:sparklineGroup type="column" displayEmptyCellsAs="gap">
          <x14:colorSeries rgb="FF000000"/>
          <x14:sparklines>
            <x14:sparkline>
              <xm:f>SPARKLINE!C884:E884</xm:f>
              <xm:sqref>K884</xm:sqref>
            </x14:sparkline>
          </x14:sparklines>
        </x14:sparklineGroup>
        <x14:sparklineGroup type="column" displayEmptyCellsAs="gap">
          <x14:colorSeries rgb="FF000000"/>
          <x14:sparklines>
            <x14:sparkline>
              <xm:f>SPARKLINE!C885:E885</xm:f>
              <xm:sqref>K885</xm:sqref>
            </x14:sparkline>
          </x14:sparklines>
        </x14:sparklineGroup>
        <x14:sparklineGroup type="column" displayEmptyCellsAs="gap">
          <x14:colorSeries rgb="FF000000"/>
          <x14:sparklines>
            <x14:sparkline>
              <xm:f>SPARKLINE!C886:E886</xm:f>
              <xm:sqref>K886</xm:sqref>
            </x14:sparkline>
          </x14:sparklines>
        </x14:sparklineGroup>
        <x14:sparklineGroup type="column" displayEmptyCellsAs="gap">
          <x14:colorSeries rgb="FF000000"/>
          <x14:sparklines>
            <x14:sparkline>
              <xm:f>SPARKLINE!C887:E887</xm:f>
              <xm:sqref>K887</xm:sqref>
            </x14:sparkline>
          </x14:sparklines>
        </x14:sparklineGroup>
        <x14:sparklineGroup type="column" displayEmptyCellsAs="gap">
          <x14:colorSeries rgb="FF000000"/>
          <x14:sparklines>
            <x14:sparkline>
              <xm:f>SPARKLINE!C888:E888</xm:f>
              <xm:sqref>K888</xm:sqref>
            </x14:sparkline>
          </x14:sparklines>
        </x14:sparklineGroup>
        <x14:sparklineGroup type="column" displayEmptyCellsAs="gap">
          <x14:colorSeries rgb="FF000000"/>
          <x14:sparklines>
            <x14:sparkline>
              <xm:f>SPARKLINE!C889:E889</xm:f>
              <xm:sqref>K889</xm:sqref>
            </x14:sparkline>
          </x14:sparklines>
        </x14:sparklineGroup>
        <x14:sparklineGroup type="column" displayEmptyCellsAs="gap">
          <x14:colorSeries rgb="FF000000"/>
          <x14:sparklines>
            <x14:sparkline>
              <xm:f>SPARKLINE!C890:E890</xm:f>
              <xm:sqref>K890</xm:sqref>
            </x14:sparkline>
          </x14:sparklines>
        </x14:sparklineGroup>
        <x14:sparklineGroup type="column" displayEmptyCellsAs="gap">
          <x14:colorSeries rgb="FF000000"/>
          <x14:sparklines>
            <x14:sparkline>
              <xm:f>SPARKLINE!C891:E891</xm:f>
              <xm:sqref>K891</xm:sqref>
            </x14:sparkline>
          </x14:sparklines>
        </x14:sparklineGroup>
        <x14:sparklineGroup type="column" displayEmptyCellsAs="gap">
          <x14:colorSeries rgb="FF000000"/>
          <x14:sparklines>
            <x14:sparkline>
              <xm:f>SPARKLINE!C892:E892</xm:f>
              <xm:sqref>K892</xm:sqref>
            </x14:sparkline>
          </x14:sparklines>
        </x14:sparklineGroup>
        <x14:sparklineGroup type="column" displayEmptyCellsAs="gap">
          <x14:colorSeries rgb="FF000000"/>
          <x14:sparklines>
            <x14:sparkline>
              <xm:f>SPARKLINE!C893:E893</xm:f>
              <xm:sqref>K893</xm:sqref>
            </x14:sparkline>
          </x14:sparklines>
        </x14:sparklineGroup>
        <x14:sparklineGroup type="column" displayEmptyCellsAs="gap">
          <x14:colorSeries rgb="FF000000"/>
          <x14:sparklines>
            <x14:sparkline>
              <xm:f>SPARKLINE!C894:E894</xm:f>
              <xm:sqref>K894</xm:sqref>
            </x14:sparkline>
          </x14:sparklines>
        </x14:sparklineGroup>
        <x14:sparklineGroup type="column" displayEmptyCellsAs="gap">
          <x14:colorSeries rgb="FF000000"/>
          <x14:sparklines>
            <x14:sparkline>
              <xm:f>SPARKLINE!C895:E895</xm:f>
              <xm:sqref>K895</xm:sqref>
            </x14:sparkline>
          </x14:sparklines>
        </x14:sparklineGroup>
        <x14:sparklineGroup type="column" displayEmptyCellsAs="gap">
          <x14:colorSeries rgb="FF000000"/>
          <x14:sparklines>
            <x14:sparkline>
              <xm:f>SPARKLINE!C896:E896</xm:f>
              <xm:sqref>K896</xm:sqref>
            </x14:sparkline>
          </x14:sparklines>
        </x14:sparklineGroup>
        <x14:sparklineGroup type="column" displayEmptyCellsAs="gap">
          <x14:colorSeries rgb="FF000000"/>
          <x14:sparklines>
            <x14:sparkline>
              <xm:f>SPARKLINE!C897:E897</xm:f>
              <xm:sqref>K897</xm:sqref>
            </x14:sparkline>
          </x14:sparklines>
        </x14:sparklineGroup>
        <x14:sparklineGroup type="column" displayEmptyCellsAs="gap">
          <x14:colorSeries rgb="FF000000"/>
          <x14:sparklines>
            <x14:sparkline>
              <xm:f>SPARKLINE!C898:E898</xm:f>
              <xm:sqref>K898</xm:sqref>
            </x14:sparkline>
          </x14:sparklines>
        </x14:sparklineGroup>
        <x14:sparklineGroup type="column" displayEmptyCellsAs="gap">
          <x14:colorSeries rgb="FF000000"/>
          <x14:sparklines>
            <x14:sparkline>
              <xm:f>SPARKLINE!C899:E899</xm:f>
              <xm:sqref>K899</xm:sqref>
            </x14:sparkline>
          </x14:sparklines>
        </x14:sparklineGroup>
        <x14:sparklineGroup type="column" displayEmptyCellsAs="gap">
          <x14:colorSeries rgb="FF000000"/>
          <x14:sparklines>
            <x14:sparkline>
              <xm:f>SPARKLINE!C900:E900</xm:f>
              <xm:sqref>K900</xm:sqref>
            </x14:sparkline>
          </x14:sparklines>
        </x14:sparklineGroup>
        <x14:sparklineGroup type="column" displayEmptyCellsAs="gap">
          <x14:colorSeries rgb="FF000000"/>
          <x14:sparklines>
            <x14:sparkline>
              <xm:f>SPARKLINE!C901:E901</xm:f>
              <xm:sqref>K901</xm:sqref>
            </x14:sparkline>
          </x14:sparklines>
        </x14:sparklineGroup>
        <x14:sparklineGroup type="column" displayEmptyCellsAs="gap">
          <x14:colorSeries rgb="FF000000"/>
          <x14:sparklines>
            <x14:sparkline>
              <xm:f>SPARKLINE!C902:E902</xm:f>
              <xm:sqref>K902</xm:sqref>
            </x14:sparkline>
          </x14:sparklines>
        </x14:sparklineGroup>
        <x14:sparklineGroup type="column" displayEmptyCellsAs="gap">
          <x14:colorSeries rgb="FF000000"/>
          <x14:sparklines>
            <x14:sparkline>
              <xm:f>SPARKLINE!C903:E903</xm:f>
              <xm:sqref>K903</xm:sqref>
            </x14:sparkline>
          </x14:sparklines>
        </x14:sparklineGroup>
        <x14:sparklineGroup type="column" displayEmptyCellsAs="gap">
          <x14:colorSeries rgb="FF000000"/>
          <x14:sparklines>
            <x14:sparkline>
              <xm:f>SPARKLINE!C904:E904</xm:f>
              <xm:sqref>K904</xm:sqref>
            </x14:sparkline>
          </x14:sparklines>
        </x14:sparklineGroup>
        <x14:sparklineGroup type="column" displayEmptyCellsAs="gap">
          <x14:colorSeries rgb="FF000000"/>
          <x14:sparklines>
            <x14:sparkline>
              <xm:f>SPARKLINE!C905:E905</xm:f>
              <xm:sqref>K905</xm:sqref>
            </x14:sparkline>
          </x14:sparklines>
        </x14:sparklineGroup>
        <x14:sparklineGroup type="column" displayEmptyCellsAs="gap">
          <x14:colorSeries rgb="FF000000"/>
          <x14:sparklines>
            <x14:sparkline>
              <xm:f>SPARKLINE!C906:E906</xm:f>
              <xm:sqref>K906</xm:sqref>
            </x14:sparkline>
          </x14:sparklines>
        </x14:sparklineGroup>
        <x14:sparklineGroup type="column" displayEmptyCellsAs="gap">
          <x14:colorSeries rgb="FF000000"/>
          <x14:sparklines>
            <x14:sparkline>
              <xm:f>SPARKLINE!C907:E907</xm:f>
              <xm:sqref>K907</xm:sqref>
            </x14:sparkline>
          </x14:sparklines>
        </x14:sparklineGroup>
        <x14:sparklineGroup type="column" displayEmptyCellsAs="gap">
          <x14:colorSeries rgb="FF000000"/>
          <x14:sparklines>
            <x14:sparkline>
              <xm:f>SPARKLINE!C908:E908</xm:f>
              <xm:sqref>K908</xm:sqref>
            </x14:sparkline>
          </x14:sparklines>
        </x14:sparklineGroup>
        <x14:sparklineGroup type="column" displayEmptyCellsAs="gap">
          <x14:colorSeries rgb="FF000000"/>
          <x14:sparklines>
            <x14:sparkline>
              <xm:f>SPARKLINE!C909:E909</xm:f>
              <xm:sqref>K909</xm:sqref>
            </x14:sparkline>
          </x14:sparklines>
        </x14:sparklineGroup>
        <x14:sparklineGroup type="column" displayEmptyCellsAs="gap">
          <x14:colorSeries rgb="FF000000"/>
          <x14:sparklines>
            <x14:sparkline>
              <xm:f>SPARKLINE!C910:E910</xm:f>
              <xm:sqref>K910</xm:sqref>
            </x14:sparkline>
          </x14:sparklines>
        </x14:sparklineGroup>
        <x14:sparklineGroup type="column" displayEmptyCellsAs="gap">
          <x14:colorSeries rgb="FF000000"/>
          <x14:sparklines>
            <x14:sparkline>
              <xm:f>SPARKLINE!C911:E911</xm:f>
              <xm:sqref>K911</xm:sqref>
            </x14:sparkline>
          </x14:sparklines>
        </x14:sparklineGroup>
        <x14:sparklineGroup type="column" displayEmptyCellsAs="gap">
          <x14:colorSeries rgb="FF000000"/>
          <x14:sparklines>
            <x14:sparkline>
              <xm:f>SPARKLINE!C912:E912</xm:f>
              <xm:sqref>K912</xm:sqref>
            </x14:sparkline>
          </x14:sparklines>
        </x14:sparklineGroup>
        <x14:sparklineGroup type="column" displayEmptyCellsAs="gap">
          <x14:colorSeries rgb="FF000000"/>
          <x14:sparklines>
            <x14:sparkline>
              <xm:f>SPARKLINE!C913:E913</xm:f>
              <xm:sqref>K913</xm:sqref>
            </x14:sparkline>
          </x14:sparklines>
        </x14:sparklineGroup>
        <x14:sparklineGroup type="column" displayEmptyCellsAs="gap">
          <x14:colorSeries rgb="FF000000"/>
          <x14:sparklines>
            <x14:sparkline>
              <xm:f>SPARKLINE!C914:E914</xm:f>
              <xm:sqref>K914</xm:sqref>
            </x14:sparkline>
          </x14:sparklines>
        </x14:sparklineGroup>
        <x14:sparklineGroup type="column" displayEmptyCellsAs="gap">
          <x14:colorSeries rgb="FF000000"/>
          <x14:sparklines>
            <x14:sparkline>
              <xm:f>SPARKLINE!C915:E915</xm:f>
              <xm:sqref>K915</xm:sqref>
            </x14:sparkline>
          </x14:sparklines>
        </x14:sparklineGroup>
        <x14:sparklineGroup type="column" displayEmptyCellsAs="gap">
          <x14:colorSeries rgb="FF000000"/>
          <x14:sparklines>
            <x14:sparkline>
              <xm:f>SPARKLINE!C916:E916</xm:f>
              <xm:sqref>K916</xm:sqref>
            </x14:sparkline>
          </x14:sparklines>
        </x14:sparklineGroup>
        <x14:sparklineGroup type="column" displayEmptyCellsAs="gap">
          <x14:colorSeries rgb="FF000000"/>
          <x14:sparklines>
            <x14:sparkline>
              <xm:f>SPARKLINE!C917:E917</xm:f>
              <xm:sqref>K917</xm:sqref>
            </x14:sparkline>
          </x14:sparklines>
        </x14:sparklineGroup>
        <x14:sparklineGroup type="column" displayEmptyCellsAs="gap">
          <x14:colorSeries rgb="FF000000"/>
          <x14:sparklines>
            <x14:sparkline>
              <xm:f>SPARKLINE!C918:E918</xm:f>
              <xm:sqref>K918</xm:sqref>
            </x14:sparkline>
          </x14:sparklines>
        </x14:sparklineGroup>
        <x14:sparklineGroup type="column" displayEmptyCellsAs="gap">
          <x14:colorSeries rgb="FF000000"/>
          <x14:sparklines>
            <x14:sparkline>
              <xm:f>SPARKLINE!C919:E919</xm:f>
              <xm:sqref>K919</xm:sqref>
            </x14:sparkline>
          </x14:sparklines>
        </x14:sparklineGroup>
        <x14:sparklineGroup type="column" displayEmptyCellsAs="gap">
          <x14:colorSeries rgb="FF000000"/>
          <x14:sparklines>
            <x14:sparkline>
              <xm:f>SPARKLINE!C920:E920</xm:f>
              <xm:sqref>K920</xm:sqref>
            </x14:sparkline>
          </x14:sparklines>
        </x14:sparklineGroup>
        <x14:sparklineGroup type="column" displayEmptyCellsAs="gap">
          <x14:colorSeries rgb="FF000000"/>
          <x14:sparklines>
            <x14:sparkline>
              <xm:f>SPARKLINE!C921:E921</xm:f>
              <xm:sqref>K921</xm:sqref>
            </x14:sparkline>
          </x14:sparklines>
        </x14:sparklineGroup>
        <x14:sparklineGroup type="column" displayEmptyCellsAs="gap">
          <x14:colorSeries rgb="FF000000"/>
          <x14:sparklines>
            <x14:sparkline>
              <xm:f>SPARKLINE!C922:E922</xm:f>
              <xm:sqref>K922</xm:sqref>
            </x14:sparkline>
          </x14:sparklines>
        </x14:sparklineGroup>
        <x14:sparklineGroup type="column" displayEmptyCellsAs="gap">
          <x14:colorSeries rgb="FF000000"/>
          <x14:sparklines>
            <x14:sparkline>
              <xm:f>SPARKLINE!C923:E923</xm:f>
              <xm:sqref>K923</xm:sqref>
            </x14:sparkline>
          </x14:sparklines>
        </x14:sparklineGroup>
        <x14:sparklineGroup type="column" displayEmptyCellsAs="gap">
          <x14:colorSeries rgb="FF000000"/>
          <x14:sparklines>
            <x14:sparkline>
              <xm:f>SPARKLINE!C924:E924</xm:f>
              <xm:sqref>K924</xm:sqref>
            </x14:sparkline>
          </x14:sparklines>
        </x14:sparklineGroup>
        <x14:sparklineGroup type="column" displayEmptyCellsAs="gap">
          <x14:colorSeries rgb="FF000000"/>
          <x14:sparklines>
            <x14:sparkline>
              <xm:f>SPARKLINE!C925:E925</xm:f>
              <xm:sqref>K925</xm:sqref>
            </x14:sparkline>
          </x14:sparklines>
        </x14:sparklineGroup>
        <x14:sparklineGroup type="column" displayEmptyCellsAs="gap">
          <x14:colorSeries rgb="FF000000"/>
          <x14:sparklines>
            <x14:sparkline>
              <xm:f>SPARKLINE!C926:E926</xm:f>
              <xm:sqref>K926</xm:sqref>
            </x14:sparkline>
          </x14:sparklines>
        </x14:sparklineGroup>
        <x14:sparklineGroup type="column" displayEmptyCellsAs="gap">
          <x14:colorSeries rgb="FF000000"/>
          <x14:sparklines>
            <x14:sparkline>
              <xm:f>SPARKLINE!C927:E927</xm:f>
              <xm:sqref>K927</xm:sqref>
            </x14:sparkline>
          </x14:sparklines>
        </x14:sparklineGroup>
        <x14:sparklineGroup type="column" displayEmptyCellsAs="gap">
          <x14:colorSeries rgb="FF000000"/>
          <x14:sparklines>
            <x14:sparkline>
              <xm:f>SPARKLINE!C928:E928</xm:f>
              <xm:sqref>K928</xm:sqref>
            </x14:sparkline>
          </x14:sparklines>
        </x14:sparklineGroup>
        <x14:sparklineGroup type="column" displayEmptyCellsAs="gap">
          <x14:colorSeries rgb="FF000000"/>
          <x14:sparklines>
            <x14:sparkline>
              <xm:f>SPARKLINE!C929:E929</xm:f>
              <xm:sqref>K929</xm:sqref>
            </x14:sparkline>
          </x14:sparklines>
        </x14:sparklineGroup>
        <x14:sparklineGroup type="column" displayEmptyCellsAs="gap">
          <x14:colorSeries rgb="FF000000"/>
          <x14:sparklines>
            <x14:sparkline>
              <xm:f>SPARKLINE!C930:E930</xm:f>
              <xm:sqref>K930</xm:sqref>
            </x14:sparkline>
          </x14:sparklines>
        </x14:sparklineGroup>
        <x14:sparklineGroup type="column" displayEmptyCellsAs="gap">
          <x14:colorSeries rgb="FF000000"/>
          <x14:sparklines>
            <x14:sparkline>
              <xm:f>SPARKLINE!C931:E931</xm:f>
              <xm:sqref>K931</xm:sqref>
            </x14:sparkline>
          </x14:sparklines>
        </x14:sparklineGroup>
        <x14:sparklineGroup type="column" displayEmptyCellsAs="gap">
          <x14:colorSeries rgb="FF000000"/>
          <x14:sparklines>
            <x14:sparkline>
              <xm:f>SPARKLINE!C932:E932</xm:f>
              <xm:sqref>K932</xm:sqref>
            </x14:sparkline>
          </x14:sparklines>
        </x14:sparklineGroup>
        <x14:sparklineGroup type="column" displayEmptyCellsAs="gap">
          <x14:colorSeries rgb="FF000000"/>
          <x14:sparklines>
            <x14:sparkline>
              <xm:f>SPARKLINE!C933:E933</xm:f>
              <xm:sqref>K933</xm:sqref>
            </x14:sparkline>
          </x14:sparklines>
        </x14:sparklineGroup>
        <x14:sparklineGroup type="column" displayEmptyCellsAs="gap">
          <x14:colorSeries rgb="FF000000"/>
          <x14:sparklines>
            <x14:sparkline>
              <xm:f>SPARKLINE!C934:E934</xm:f>
              <xm:sqref>K934</xm:sqref>
            </x14:sparkline>
          </x14:sparklines>
        </x14:sparklineGroup>
        <x14:sparklineGroup type="column" displayEmptyCellsAs="gap">
          <x14:colorSeries rgb="FF000000"/>
          <x14:sparklines>
            <x14:sparkline>
              <xm:f>SPARKLINE!C935:E935</xm:f>
              <xm:sqref>K935</xm:sqref>
            </x14:sparkline>
          </x14:sparklines>
        </x14:sparklineGroup>
        <x14:sparklineGroup type="column" displayEmptyCellsAs="gap">
          <x14:colorSeries rgb="FF000000"/>
          <x14:sparklines>
            <x14:sparkline>
              <xm:f>SPARKLINE!C936:E936</xm:f>
              <xm:sqref>K936</xm:sqref>
            </x14:sparkline>
          </x14:sparklines>
        </x14:sparklineGroup>
        <x14:sparklineGroup type="column" displayEmptyCellsAs="gap">
          <x14:colorSeries rgb="FF000000"/>
          <x14:sparklines>
            <x14:sparkline>
              <xm:f>SPARKLINE!C937:E937</xm:f>
              <xm:sqref>K937</xm:sqref>
            </x14:sparkline>
          </x14:sparklines>
        </x14:sparklineGroup>
        <x14:sparklineGroup type="column" displayEmptyCellsAs="gap">
          <x14:colorSeries rgb="FF000000"/>
          <x14:sparklines>
            <x14:sparkline>
              <xm:f>SPARKLINE!C938:E938</xm:f>
              <xm:sqref>K938</xm:sqref>
            </x14:sparkline>
          </x14:sparklines>
        </x14:sparklineGroup>
        <x14:sparklineGroup type="column" displayEmptyCellsAs="gap">
          <x14:colorSeries rgb="FF000000"/>
          <x14:sparklines>
            <x14:sparkline>
              <xm:f>SPARKLINE!C939:E939</xm:f>
              <xm:sqref>K939</xm:sqref>
            </x14:sparkline>
          </x14:sparklines>
        </x14:sparklineGroup>
        <x14:sparklineGroup type="column" displayEmptyCellsAs="gap">
          <x14:colorSeries rgb="FF000000"/>
          <x14:sparklines>
            <x14:sparkline>
              <xm:f>SPARKLINE!C940:E940</xm:f>
              <xm:sqref>K940</xm:sqref>
            </x14:sparkline>
          </x14:sparklines>
        </x14:sparklineGroup>
        <x14:sparklineGroup type="column" displayEmptyCellsAs="gap">
          <x14:colorSeries rgb="FF000000"/>
          <x14:sparklines>
            <x14:sparkline>
              <xm:f>SPARKLINE!C941:E941</xm:f>
              <xm:sqref>K941</xm:sqref>
            </x14:sparkline>
          </x14:sparklines>
        </x14:sparklineGroup>
        <x14:sparklineGroup type="column" displayEmptyCellsAs="gap">
          <x14:colorSeries rgb="FF000000"/>
          <x14:sparklines>
            <x14:sparkline>
              <xm:f>SPARKLINE!C942:E942</xm:f>
              <xm:sqref>K942</xm:sqref>
            </x14:sparkline>
          </x14:sparklines>
        </x14:sparklineGroup>
        <x14:sparklineGroup type="column" displayEmptyCellsAs="gap">
          <x14:colorSeries rgb="FF000000"/>
          <x14:sparklines>
            <x14:sparkline>
              <xm:f>SPARKLINE!C943:E943</xm:f>
              <xm:sqref>K943</xm:sqref>
            </x14:sparkline>
          </x14:sparklines>
        </x14:sparklineGroup>
        <x14:sparklineGroup type="column" displayEmptyCellsAs="gap">
          <x14:colorSeries rgb="FF000000"/>
          <x14:sparklines>
            <x14:sparkline>
              <xm:f>SPARKLINE!C944:E944</xm:f>
              <xm:sqref>K944</xm:sqref>
            </x14:sparkline>
          </x14:sparklines>
        </x14:sparklineGroup>
        <x14:sparklineGroup type="column" displayEmptyCellsAs="gap">
          <x14:colorSeries rgb="FF000000"/>
          <x14:sparklines>
            <x14:sparkline>
              <xm:f>SPARKLINE!C945:E945</xm:f>
              <xm:sqref>K945</xm:sqref>
            </x14:sparkline>
          </x14:sparklines>
        </x14:sparklineGroup>
        <x14:sparklineGroup type="column" displayEmptyCellsAs="gap">
          <x14:colorSeries rgb="FF000000"/>
          <x14:sparklines>
            <x14:sparkline>
              <xm:f>SPARKLINE!C946:E946</xm:f>
              <xm:sqref>K946</xm:sqref>
            </x14:sparkline>
          </x14:sparklines>
        </x14:sparklineGroup>
        <x14:sparklineGroup type="column" displayEmptyCellsAs="gap">
          <x14:colorSeries rgb="FF000000"/>
          <x14:sparklines>
            <x14:sparkline>
              <xm:f>SPARKLINE!C947:E947</xm:f>
              <xm:sqref>K947</xm:sqref>
            </x14:sparkline>
          </x14:sparklines>
        </x14:sparklineGroup>
        <x14:sparklineGroup type="column" displayEmptyCellsAs="gap">
          <x14:colorSeries rgb="FF000000"/>
          <x14:sparklines>
            <x14:sparkline>
              <xm:f>SPARKLINE!C948:E948</xm:f>
              <xm:sqref>K948</xm:sqref>
            </x14:sparkline>
          </x14:sparklines>
        </x14:sparklineGroup>
        <x14:sparklineGroup type="column" displayEmptyCellsAs="gap">
          <x14:colorSeries rgb="FF000000"/>
          <x14:sparklines>
            <x14:sparkline>
              <xm:f>SPARKLINE!C949:E949</xm:f>
              <xm:sqref>K949</xm:sqref>
            </x14:sparkline>
          </x14:sparklines>
        </x14:sparklineGroup>
        <x14:sparklineGroup type="column" displayEmptyCellsAs="gap">
          <x14:colorSeries rgb="FF000000"/>
          <x14:sparklines>
            <x14:sparkline>
              <xm:f>SPARKLINE!C950:E950</xm:f>
              <xm:sqref>K950</xm:sqref>
            </x14:sparkline>
          </x14:sparklines>
        </x14:sparklineGroup>
        <x14:sparklineGroup type="column" displayEmptyCellsAs="gap">
          <x14:colorSeries rgb="FF000000"/>
          <x14:sparklines>
            <x14:sparkline>
              <xm:f>SPARKLINE!C951:E951</xm:f>
              <xm:sqref>K951</xm:sqref>
            </x14:sparkline>
          </x14:sparklines>
        </x14:sparklineGroup>
        <x14:sparklineGroup type="column" displayEmptyCellsAs="gap">
          <x14:colorSeries rgb="FF000000"/>
          <x14:sparklines>
            <x14:sparkline>
              <xm:f>SPARKLINE!C952:E952</xm:f>
              <xm:sqref>K952</xm:sqref>
            </x14:sparkline>
          </x14:sparklines>
        </x14:sparklineGroup>
        <x14:sparklineGroup type="column" displayEmptyCellsAs="gap">
          <x14:colorSeries rgb="FF000000"/>
          <x14:sparklines>
            <x14:sparkline>
              <xm:f>SPARKLINE!C953:E953</xm:f>
              <xm:sqref>K953</xm:sqref>
            </x14:sparkline>
          </x14:sparklines>
        </x14:sparklineGroup>
        <x14:sparklineGroup type="column" displayEmptyCellsAs="gap">
          <x14:colorSeries rgb="FF000000"/>
          <x14:sparklines>
            <x14:sparkline>
              <xm:f>SPARKLINE!C954:E954</xm:f>
              <xm:sqref>K954</xm:sqref>
            </x14:sparkline>
          </x14:sparklines>
        </x14:sparklineGroup>
        <x14:sparklineGroup type="column" displayEmptyCellsAs="gap">
          <x14:colorSeries rgb="FF000000"/>
          <x14:sparklines>
            <x14:sparkline>
              <xm:f>SPARKLINE!C955:E955</xm:f>
              <xm:sqref>K955</xm:sqref>
            </x14:sparkline>
          </x14:sparklines>
        </x14:sparklineGroup>
        <x14:sparklineGroup type="column" displayEmptyCellsAs="gap">
          <x14:colorSeries rgb="FF000000"/>
          <x14:sparklines>
            <x14:sparkline>
              <xm:f>SPARKLINE!C956:E956</xm:f>
              <xm:sqref>K956</xm:sqref>
            </x14:sparkline>
          </x14:sparklines>
        </x14:sparklineGroup>
        <x14:sparklineGroup type="column" displayEmptyCellsAs="gap">
          <x14:colorSeries rgb="FF000000"/>
          <x14:sparklines>
            <x14:sparkline>
              <xm:f>SPARKLINE!C957:E957</xm:f>
              <xm:sqref>K957</xm:sqref>
            </x14:sparkline>
          </x14:sparklines>
        </x14:sparklineGroup>
        <x14:sparklineGroup type="column" displayEmptyCellsAs="gap">
          <x14:colorSeries rgb="FF000000"/>
          <x14:sparklines>
            <x14:sparkline>
              <xm:f>SPARKLINE!C958:E958</xm:f>
              <xm:sqref>K958</xm:sqref>
            </x14:sparkline>
          </x14:sparklines>
        </x14:sparklineGroup>
        <x14:sparklineGroup type="column" displayEmptyCellsAs="gap">
          <x14:colorSeries rgb="FF000000"/>
          <x14:sparklines>
            <x14:sparkline>
              <xm:f>SPARKLINE!C959:E959</xm:f>
              <xm:sqref>K959</xm:sqref>
            </x14:sparkline>
          </x14:sparklines>
        </x14:sparklineGroup>
        <x14:sparklineGroup type="column" displayEmptyCellsAs="gap">
          <x14:colorSeries rgb="FF000000"/>
          <x14:sparklines>
            <x14:sparkline>
              <xm:f>SPARKLINE!C960:E960</xm:f>
              <xm:sqref>K960</xm:sqref>
            </x14:sparkline>
          </x14:sparklines>
        </x14:sparklineGroup>
        <x14:sparklineGroup type="column" displayEmptyCellsAs="gap">
          <x14:colorSeries rgb="FF000000"/>
          <x14:sparklines>
            <x14:sparkline>
              <xm:f>SPARKLINE!C961:E961</xm:f>
              <xm:sqref>K961</xm:sqref>
            </x14:sparkline>
          </x14:sparklines>
        </x14:sparklineGroup>
        <x14:sparklineGroup type="column" displayEmptyCellsAs="gap">
          <x14:colorSeries rgb="FF000000"/>
          <x14:sparklines>
            <x14:sparkline>
              <xm:f>SPARKLINE!C962:E962</xm:f>
              <xm:sqref>K962</xm:sqref>
            </x14:sparkline>
          </x14:sparklines>
        </x14:sparklineGroup>
        <x14:sparklineGroup type="column" displayEmptyCellsAs="gap">
          <x14:colorSeries rgb="FF000000"/>
          <x14:sparklines>
            <x14:sparkline>
              <xm:f>SPARKLINE!C963:E963</xm:f>
              <xm:sqref>K963</xm:sqref>
            </x14:sparkline>
          </x14:sparklines>
        </x14:sparklineGroup>
        <x14:sparklineGroup type="column" displayEmptyCellsAs="gap">
          <x14:colorSeries rgb="FF000000"/>
          <x14:sparklines>
            <x14:sparkline>
              <xm:f>SPARKLINE!C964:E964</xm:f>
              <xm:sqref>K964</xm:sqref>
            </x14:sparkline>
          </x14:sparklines>
        </x14:sparklineGroup>
        <x14:sparklineGroup type="column" displayEmptyCellsAs="gap">
          <x14:colorSeries rgb="FF000000"/>
          <x14:sparklines>
            <x14:sparkline>
              <xm:f>SPARKLINE!C965:E965</xm:f>
              <xm:sqref>K965</xm:sqref>
            </x14:sparkline>
          </x14:sparklines>
        </x14:sparklineGroup>
        <x14:sparklineGroup type="column" displayEmptyCellsAs="gap">
          <x14:colorSeries rgb="FF000000"/>
          <x14:sparklines>
            <x14:sparkline>
              <xm:f>SPARKLINE!C966:E966</xm:f>
              <xm:sqref>K966</xm:sqref>
            </x14:sparkline>
          </x14:sparklines>
        </x14:sparklineGroup>
        <x14:sparklineGroup type="column" displayEmptyCellsAs="gap">
          <x14:colorSeries rgb="FF000000"/>
          <x14:sparklines>
            <x14:sparkline>
              <xm:f>SPARKLINE!C967:E967</xm:f>
              <xm:sqref>K967</xm:sqref>
            </x14:sparkline>
          </x14:sparklines>
        </x14:sparklineGroup>
        <x14:sparklineGroup type="column" displayEmptyCellsAs="gap">
          <x14:colorSeries rgb="FF000000"/>
          <x14:sparklines>
            <x14:sparkline>
              <xm:f>SPARKLINE!C968:E968</xm:f>
              <xm:sqref>K968</xm:sqref>
            </x14:sparkline>
          </x14:sparklines>
        </x14:sparklineGroup>
        <x14:sparklineGroup type="column" displayEmptyCellsAs="gap">
          <x14:colorSeries rgb="FF000000"/>
          <x14:sparklines>
            <x14:sparkline>
              <xm:f>SPARKLINE!C969:E969</xm:f>
              <xm:sqref>K969</xm:sqref>
            </x14:sparkline>
          </x14:sparklines>
        </x14:sparklineGroup>
        <x14:sparklineGroup type="column" displayEmptyCellsAs="gap">
          <x14:colorSeries rgb="FF000000"/>
          <x14:sparklines>
            <x14:sparkline>
              <xm:f>SPARKLINE!C970:E970</xm:f>
              <xm:sqref>K970</xm:sqref>
            </x14:sparkline>
          </x14:sparklines>
        </x14:sparklineGroup>
        <x14:sparklineGroup type="column" displayEmptyCellsAs="gap">
          <x14:colorSeries rgb="FF000000"/>
          <x14:sparklines>
            <x14:sparkline>
              <xm:f>SPARKLINE!C971:E971</xm:f>
              <xm:sqref>K971</xm:sqref>
            </x14:sparkline>
          </x14:sparklines>
        </x14:sparklineGroup>
        <x14:sparklineGroup type="column" displayEmptyCellsAs="gap">
          <x14:colorSeries rgb="FF000000"/>
          <x14:sparklines>
            <x14:sparkline>
              <xm:f>SPARKLINE!C972:E972</xm:f>
              <xm:sqref>K972</xm:sqref>
            </x14:sparkline>
          </x14:sparklines>
        </x14:sparklineGroup>
        <x14:sparklineGroup type="column" displayEmptyCellsAs="gap">
          <x14:colorSeries rgb="FF000000"/>
          <x14:sparklines>
            <x14:sparkline>
              <xm:f>SPARKLINE!C973:E973</xm:f>
              <xm:sqref>K973</xm:sqref>
            </x14:sparkline>
          </x14:sparklines>
        </x14:sparklineGroup>
        <x14:sparklineGroup type="column" displayEmptyCellsAs="gap">
          <x14:colorSeries rgb="FF000000"/>
          <x14:sparklines>
            <x14:sparkline>
              <xm:f>SPARKLINE!C974:E974</xm:f>
              <xm:sqref>K974</xm:sqref>
            </x14:sparkline>
          </x14:sparklines>
        </x14:sparklineGroup>
        <x14:sparklineGroup type="column" displayEmptyCellsAs="gap">
          <x14:colorSeries rgb="FF000000"/>
          <x14:sparklines>
            <x14:sparkline>
              <xm:f>SPARKLINE!C975:E975</xm:f>
              <xm:sqref>K975</xm:sqref>
            </x14:sparkline>
          </x14:sparklines>
        </x14:sparklineGroup>
        <x14:sparklineGroup type="column" displayEmptyCellsAs="gap">
          <x14:colorSeries rgb="FF000000"/>
          <x14:sparklines>
            <x14:sparkline>
              <xm:f>SPARKLINE!C976:E976</xm:f>
              <xm:sqref>K976</xm:sqref>
            </x14:sparkline>
          </x14:sparklines>
        </x14:sparklineGroup>
        <x14:sparklineGroup type="column" displayEmptyCellsAs="gap">
          <x14:colorSeries rgb="FF000000"/>
          <x14:sparklines>
            <x14:sparkline>
              <xm:f>SPARKLINE!C977:E977</xm:f>
              <xm:sqref>K977</xm:sqref>
            </x14:sparkline>
          </x14:sparklines>
        </x14:sparklineGroup>
        <x14:sparklineGroup type="column" displayEmptyCellsAs="gap">
          <x14:colorSeries rgb="FF000000"/>
          <x14:sparklines>
            <x14:sparkline>
              <xm:f>SPARKLINE!C978:E978</xm:f>
              <xm:sqref>K978</xm:sqref>
            </x14:sparkline>
          </x14:sparklines>
        </x14:sparklineGroup>
        <x14:sparklineGroup type="column" displayEmptyCellsAs="gap">
          <x14:colorSeries rgb="FF000000"/>
          <x14:sparklines>
            <x14:sparkline>
              <xm:f>SPARKLINE!C979:E979</xm:f>
              <xm:sqref>K979</xm:sqref>
            </x14:sparkline>
          </x14:sparklines>
        </x14:sparklineGroup>
        <x14:sparklineGroup type="column" displayEmptyCellsAs="gap">
          <x14:colorSeries rgb="FF000000"/>
          <x14:sparklines>
            <x14:sparkline>
              <xm:f>SPARKLINE!C980:E980</xm:f>
              <xm:sqref>K980</xm:sqref>
            </x14:sparkline>
          </x14:sparklines>
        </x14:sparklineGroup>
        <x14:sparklineGroup type="column" displayEmptyCellsAs="gap">
          <x14:colorSeries rgb="FF000000"/>
          <x14:sparklines>
            <x14:sparkline>
              <xm:f>SPARKLINE!C981:E981</xm:f>
              <xm:sqref>K981</xm:sqref>
            </x14:sparkline>
          </x14:sparklines>
        </x14:sparklineGroup>
        <x14:sparklineGroup type="column" displayEmptyCellsAs="gap">
          <x14:colorSeries rgb="FF000000"/>
          <x14:sparklines>
            <x14:sparkline>
              <xm:f>SPARKLINE!C982:E982</xm:f>
              <xm:sqref>K982</xm:sqref>
            </x14:sparkline>
          </x14:sparklines>
        </x14:sparklineGroup>
        <x14:sparklineGroup type="column" displayEmptyCellsAs="gap">
          <x14:colorSeries rgb="FF000000"/>
          <x14:sparklines>
            <x14:sparkline>
              <xm:f>SPARKLINE!C983:E983</xm:f>
              <xm:sqref>K983</xm:sqref>
            </x14:sparkline>
          </x14:sparklines>
        </x14:sparklineGroup>
        <x14:sparklineGroup type="column" displayEmptyCellsAs="gap">
          <x14:colorSeries rgb="FF000000"/>
          <x14:sparklines>
            <x14:sparkline>
              <xm:f>SPARKLINE!C984:E984</xm:f>
              <xm:sqref>K984</xm:sqref>
            </x14:sparkline>
          </x14:sparklines>
        </x14:sparklineGroup>
        <x14:sparklineGroup type="column" displayEmptyCellsAs="gap">
          <x14:colorSeries rgb="FF000000"/>
          <x14:sparklines>
            <x14:sparkline>
              <xm:f>SPARKLINE!C985:E985</xm:f>
              <xm:sqref>K985</xm:sqref>
            </x14:sparkline>
          </x14:sparklines>
        </x14:sparklineGroup>
        <x14:sparklineGroup type="column" displayEmptyCellsAs="gap">
          <x14:colorSeries rgb="FF000000"/>
          <x14:sparklines>
            <x14:sparkline>
              <xm:f>SPARKLINE!C986:E986</xm:f>
              <xm:sqref>K986</xm:sqref>
            </x14:sparkline>
          </x14:sparklines>
        </x14:sparklineGroup>
        <x14:sparklineGroup type="column" displayEmptyCellsAs="gap">
          <x14:colorSeries rgb="FF000000"/>
          <x14:sparklines>
            <x14:sparkline>
              <xm:f>SPARKLINE!C987:E987</xm:f>
              <xm:sqref>K987</xm:sqref>
            </x14:sparkline>
          </x14:sparklines>
        </x14:sparklineGroup>
        <x14:sparklineGroup type="column" displayEmptyCellsAs="gap">
          <x14:colorSeries rgb="FF000000"/>
          <x14:sparklines>
            <x14:sparkline>
              <xm:f>SPARKLINE!C988:E988</xm:f>
              <xm:sqref>K988</xm:sqref>
            </x14:sparkline>
          </x14:sparklines>
        </x14:sparklineGroup>
        <x14:sparklineGroup type="column" displayEmptyCellsAs="gap">
          <x14:colorSeries rgb="FF000000"/>
          <x14:sparklines>
            <x14:sparkline>
              <xm:f>SPARKLINE!C989:E989</xm:f>
              <xm:sqref>K989</xm:sqref>
            </x14:sparkline>
          </x14:sparklines>
        </x14:sparklineGroup>
        <x14:sparklineGroup type="column" displayEmptyCellsAs="gap">
          <x14:colorSeries rgb="FF000000"/>
          <x14:sparklines>
            <x14:sparkline>
              <xm:f>SPARKLINE!C990:E990</xm:f>
              <xm:sqref>K990</xm:sqref>
            </x14:sparkline>
          </x14:sparklines>
        </x14:sparklineGroup>
        <x14:sparklineGroup type="column" displayEmptyCellsAs="gap">
          <x14:colorSeries rgb="FF000000"/>
          <x14:sparklines>
            <x14:sparkline>
              <xm:f>SPARKLINE!C991:E991</xm:f>
              <xm:sqref>K991</xm:sqref>
            </x14:sparkline>
          </x14:sparklines>
        </x14:sparklineGroup>
        <x14:sparklineGroup type="column" displayEmptyCellsAs="gap">
          <x14:colorSeries rgb="FF000000"/>
          <x14:sparklines>
            <x14:sparkline>
              <xm:f>SPARKLINE!C992:E992</xm:f>
              <xm:sqref>K992</xm:sqref>
            </x14:sparkline>
          </x14:sparklines>
        </x14:sparklineGroup>
        <x14:sparklineGroup type="column" displayEmptyCellsAs="gap">
          <x14:colorSeries rgb="FF000000"/>
          <x14:sparklines>
            <x14:sparkline>
              <xm:f>SPARKLINE!C993:E993</xm:f>
              <xm:sqref>K993</xm:sqref>
            </x14:sparkline>
          </x14:sparklines>
        </x14:sparklineGroup>
        <x14:sparklineGroup type="column" displayEmptyCellsAs="gap">
          <x14:colorSeries rgb="FF000000"/>
          <x14:sparklines>
            <x14:sparkline>
              <xm:f>SPARKLINE!C994:E994</xm:f>
              <xm:sqref>K994</xm:sqref>
            </x14:sparkline>
          </x14:sparklines>
        </x14:sparklineGroup>
        <x14:sparklineGroup type="column" displayEmptyCellsAs="gap">
          <x14:colorSeries rgb="FF000000"/>
          <x14:sparklines>
            <x14:sparkline>
              <xm:f>SPARKLINE!C995:E995</xm:f>
              <xm:sqref>K995</xm:sqref>
            </x14:sparkline>
          </x14:sparklines>
        </x14:sparklineGroup>
        <x14:sparklineGroup type="column" displayEmptyCellsAs="gap">
          <x14:colorSeries rgb="FF000000"/>
          <x14:sparklines>
            <x14:sparkline>
              <xm:f>SPARKLINE!C996:E996</xm:f>
              <xm:sqref>K996</xm:sqref>
            </x14:sparkline>
          </x14:sparklines>
        </x14:sparklineGroup>
        <x14:sparklineGroup type="column" displayEmptyCellsAs="gap">
          <x14:colorSeries rgb="FF000000"/>
          <x14:sparklines>
            <x14:sparkline>
              <xm:f>SPARKLINE!C997:E997</xm:f>
              <xm:sqref>K997</xm:sqref>
            </x14:sparkline>
          </x14:sparklines>
        </x14:sparklineGroup>
        <x14:sparklineGroup type="column" displayEmptyCellsAs="gap">
          <x14:colorSeries rgb="FF000000"/>
          <x14:sparklines>
            <x14:sparkline>
              <xm:f>SPARKLINE!C998:E998</xm:f>
              <xm:sqref>K998</xm:sqref>
            </x14:sparkline>
          </x14:sparklines>
        </x14:sparklineGroup>
        <x14:sparklineGroup type="column" displayEmptyCellsAs="gap">
          <x14:colorSeries rgb="FF000000"/>
          <x14:sparklines>
            <x14:sparkline>
              <xm:f>SPARKLINE!C999:E999</xm:f>
              <xm:sqref>K999</xm:sqref>
            </x14:sparkline>
          </x14:sparklines>
        </x14:sparklineGroup>
        <x14:sparklineGroup type="column" displayEmptyCellsAs="gap">
          <x14:colorSeries rgb="FF000000"/>
          <x14:sparklines>
            <x14:sparkline>
              <xm:f>SPARKLINE!C1000:E1000</xm:f>
              <xm:sqref>K1000</xm:sqref>
            </x14:sparkline>
          </x14:sparklines>
        </x14:sparklineGroup>
        <x14:sparklineGroup type="column" displayEmptyCellsAs="gap">
          <x14:colorSeries rgb="FF000000"/>
          <x14:sparklines>
            <x14:sparkline>
              <xm:f>SPARKLINE!C1001:E1001</xm:f>
              <xm:sqref>K1001</xm:sqref>
            </x14:sparkline>
          </x14:sparklines>
        </x14:sparklineGroup>
        <x14:sparklineGroup type="column" displayEmptyCellsAs="gap">
          <x14:colorSeries rgb="FF000000"/>
          <x14:sparklines>
            <x14:sparkline>
              <xm:f>SPARKLINE!C1002:E1002</xm:f>
              <xm:sqref>K1002</xm:sqref>
            </x14:sparkline>
          </x14:sparklines>
        </x14:sparklineGroup>
        <x14:sparklineGroup type="column" displayEmptyCellsAs="gap">
          <x14:colorSeries rgb="FF000000"/>
          <x14:sparklines>
            <x14:sparkline>
              <xm:f>SPARKLINE!C1003:E1003</xm:f>
              <xm:sqref>K1003</xm:sqref>
            </x14:sparkline>
          </x14:sparklines>
        </x14:sparklineGroup>
        <x14:sparklineGroup type="column" displayEmptyCellsAs="gap">
          <x14:colorSeries rgb="FF000000"/>
          <x14:sparklines>
            <x14:sparkline>
              <xm:f>SPARKLINE!C1004:E1004</xm:f>
              <xm:sqref>K1004</xm:sqref>
            </x14:sparkline>
          </x14:sparklines>
        </x14:sparklineGroup>
        <x14:sparklineGroup type="column" displayEmptyCellsAs="gap">
          <x14:colorSeries rgb="FF000000"/>
          <x14:sparklines>
            <x14:sparkline>
              <xm:f>SPARKLINE!C1005:E1005</xm:f>
              <xm:sqref>K1005</xm:sqref>
            </x14:sparkline>
          </x14:sparklines>
        </x14:sparklineGroup>
        <x14:sparklineGroup type="column" displayEmptyCellsAs="gap">
          <x14:colorSeries rgb="FF000000"/>
          <x14:sparklines>
            <x14:sparkline>
              <xm:f>SPARKLINE!C1006:E1006</xm:f>
              <xm:sqref>K1006</xm:sqref>
            </x14:sparkline>
          </x14:sparklines>
        </x14:sparklineGroup>
        <x14:sparklineGroup type="column" displayEmptyCellsAs="gap">
          <x14:colorSeries rgb="FF000000"/>
          <x14:sparklines>
            <x14:sparkline>
              <xm:f>SPARKLINE!C1007:E1007</xm:f>
              <xm:sqref>K1007</xm:sqref>
            </x14:sparkline>
          </x14:sparklines>
        </x14:sparklineGroup>
        <x14:sparklineGroup type="column" displayEmptyCellsAs="gap">
          <x14:colorSeries rgb="FF000000"/>
          <x14:sparklines>
            <x14:sparkline>
              <xm:f>SPARKLINE!C1008:E1008</xm:f>
              <xm:sqref>K1008</xm:sqref>
            </x14:sparkline>
          </x14:sparklines>
        </x14:sparklineGroup>
        <x14:sparklineGroup type="column" displayEmptyCellsAs="gap">
          <x14:colorSeries rgb="FF000000"/>
          <x14:sparklines>
            <x14:sparkline>
              <xm:f>SPARKLINE!C1009:E1009</xm:f>
              <xm:sqref>K1009</xm:sqref>
            </x14:sparkline>
          </x14:sparklines>
        </x14:sparklineGroup>
        <x14:sparklineGroup type="column" displayEmptyCellsAs="gap">
          <x14:colorSeries rgb="FF000000"/>
          <x14:sparklines>
            <x14:sparkline>
              <xm:f>SPARKLINE!C1010:E1010</xm:f>
              <xm:sqref>K1010</xm:sqref>
            </x14:sparkline>
          </x14:sparklines>
        </x14:sparklineGroup>
        <x14:sparklineGroup type="column" displayEmptyCellsAs="gap">
          <x14:colorSeries rgb="FF000000"/>
          <x14:sparklines>
            <x14:sparkline>
              <xm:f>SPARKLINE!C1011:E1011</xm:f>
              <xm:sqref>K1011</xm:sqref>
            </x14:sparkline>
          </x14:sparklines>
        </x14:sparklineGroup>
        <x14:sparklineGroup type="column" displayEmptyCellsAs="gap">
          <x14:colorSeries rgb="FF000000"/>
          <x14:sparklines>
            <x14:sparkline>
              <xm:f>SPARKLINE!C1012:E1012</xm:f>
              <xm:sqref>K1012</xm:sqref>
            </x14:sparkline>
          </x14:sparklines>
        </x14:sparklineGroup>
        <x14:sparklineGroup type="column" displayEmptyCellsAs="gap">
          <x14:colorSeries rgb="FF000000"/>
          <x14:sparklines>
            <x14:sparkline>
              <xm:f>SPARKLINE!C1013:E1013</xm:f>
              <xm:sqref>K1013</xm:sqref>
            </x14:sparkline>
          </x14:sparklines>
        </x14:sparklineGroup>
        <x14:sparklineGroup type="column" displayEmptyCellsAs="gap">
          <x14:colorSeries rgb="FF000000"/>
          <x14:sparklines>
            <x14:sparkline>
              <xm:f>SPARKLINE!C1014:E1014</xm:f>
              <xm:sqref>K1014</xm:sqref>
            </x14:sparkline>
          </x14:sparklines>
        </x14:sparklineGroup>
        <x14:sparklineGroup type="column" displayEmptyCellsAs="gap">
          <x14:colorSeries rgb="FF000000"/>
          <x14:sparklines>
            <x14:sparkline>
              <xm:f>SPARKLINE!C1015:E1015</xm:f>
              <xm:sqref>K1015</xm:sqref>
            </x14:sparkline>
          </x14:sparklines>
        </x14:sparklineGroup>
        <x14:sparklineGroup type="column" displayEmptyCellsAs="gap">
          <x14:colorSeries rgb="FF000000"/>
          <x14:sparklines>
            <x14:sparkline>
              <xm:f>SPARKLINE!C1016:E1016</xm:f>
              <xm:sqref>K1016</xm:sqref>
            </x14:sparkline>
          </x14:sparklines>
        </x14:sparklineGroup>
        <x14:sparklineGroup type="column" displayEmptyCellsAs="gap">
          <x14:colorSeries rgb="FF000000"/>
          <x14:sparklines>
            <x14:sparkline>
              <xm:f>SPARKLINE!C1017:E1017</xm:f>
              <xm:sqref>K1017</xm:sqref>
            </x14:sparkline>
          </x14:sparklines>
        </x14:sparklineGroup>
        <x14:sparklineGroup type="column" displayEmptyCellsAs="gap">
          <x14:colorSeries rgb="FF000000"/>
          <x14:sparklines>
            <x14:sparkline>
              <xm:f>SPARKLINE!C1018:E1018</xm:f>
              <xm:sqref>K1018</xm:sqref>
            </x14:sparkline>
          </x14:sparklines>
        </x14:sparklineGroup>
        <x14:sparklineGroup type="column" displayEmptyCellsAs="gap">
          <x14:colorSeries rgb="FF000000"/>
          <x14:sparklines>
            <x14:sparkline>
              <xm:f>SPARKLINE!C1019:E1019</xm:f>
              <xm:sqref>K1019</xm:sqref>
            </x14:sparkline>
          </x14:sparklines>
        </x14:sparklineGroup>
        <x14:sparklineGroup type="column" displayEmptyCellsAs="gap">
          <x14:colorSeries rgb="FF000000"/>
          <x14:sparklines>
            <x14:sparkline>
              <xm:f>SPARKLINE!C1020:E1020</xm:f>
              <xm:sqref>K1020</xm:sqref>
            </x14:sparkline>
          </x14:sparklines>
        </x14:sparklineGroup>
        <x14:sparklineGroup type="column" displayEmptyCellsAs="gap">
          <x14:colorSeries rgb="FF000000"/>
          <x14:sparklines>
            <x14:sparkline>
              <xm:f>SPARKLINE!C1021:E1021</xm:f>
              <xm:sqref>K1021</xm:sqref>
            </x14:sparkline>
          </x14:sparklines>
        </x14:sparklineGroup>
        <x14:sparklineGroup type="column" displayEmptyCellsAs="gap">
          <x14:colorSeries rgb="FF000000"/>
          <x14:sparklines>
            <x14:sparkline>
              <xm:f>SPARKLINE!C1022:E1022</xm:f>
              <xm:sqref>K1022</xm:sqref>
            </x14:sparkline>
          </x14:sparklines>
        </x14:sparklineGroup>
        <x14:sparklineGroup type="column" displayEmptyCellsAs="gap">
          <x14:colorSeries rgb="FF000000"/>
          <x14:sparklines>
            <x14:sparkline>
              <xm:f>SPARKLINE!C1023:E1023</xm:f>
              <xm:sqref>K1023</xm:sqref>
            </x14:sparkline>
          </x14:sparklines>
        </x14:sparklineGroup>
        <x14:sparklineGroup type="column" displayEmptyCellsAs="gap">
          <x14:colorSeries rgb="FF000000"/>
          <x14:sparklines>
            <x14:sparkline>
              <xm:f>SPARKLINE!C1024:E1024</xm:f>
              <xm:sqref>K1024</xm:sqref>
            </x14:sparkline>
          </x14:sparklines>
        </x14:sparklineGroup>
        <x14:sparklineGroup type="column" displayEmptyCellsAs="gap">
          <x14:colorSeries rgb="FF000000"/>
          <x14:sparklines>
            <x14:sparkline>
              <xm:f>SPARKLINE!C1025:E1025</xm:f>
              <xm:sqref>K1025</xm:sqref>
            </x14:sparkline>
          </x14:sparklines>
        </x14:sparklineGroup>
        <x14:sparklineGroup type="column" displayEmptyCellsAs="gap">
          <x14:colorSeries rgb="FF000000"/>
          <x14:sparklines>
            <x14:sparkline>
              <xm:f>SPARKLINE!C1026:E1026</xm:f>
              <xm:sqref>K1026</xm:sqref>
            </x14:sparkline>
          </x14:sparklines>
        </x14:sparklineGroup>
        <x14:sparklineGroup type="column" displayEmptyCellsAs="gap">
          <x14:colorSeries rgb="FF000000"/>
          <x14:sparklines>
            <x14:sparkline>
              <xm:f>SPARKLINE!C1027:E1027</xm:f>
              <xm:sqref>K1027</xm:sqref>
            </x14:sparkline>
          </x14:sparklines>
        </x14:sparklineGroup>
        <x14:sparklineGroup type="column" displayEmptyCellsAs="gap">
          <x14:colorSeries rgb="FF000000"/>
          <x14:sparklines>
            <x14:sparkline>
              <xm:f>SPARKLINE!C1028:E1028</xm:f>
              <xm:sqref>K1028</xm:sqref>
            </x14:sparkline>
          </x14:sparklines>
        </x14:sparklineGroup>
        <x14:sparklineGroup type="column" displayEmptyCellsAs="gap">
          <x14:colorSeries rgb="FF000000"/>
          <x14:sparklines>
            <x14:sparkline>
              <xm:f>SPARKLINE!C1029:E1029</xm:f>
              <xm:sqref>K1029</xm:sqref>
            </x14:sparkline>
          </x14:sparklines>
        </x14:sparklineGroup>
        <x14:sparklineGroup type="column" displayEmptyCellsAs="gap">
          <x14:colorSeries rgb="FF000000"/>
          <x14:sparklines>
            <x14:sparkline>
              <xm:f>SPARKLINE!C1030:E1030</xm:f>
              <xm:sqref>K1030</xm:sqref>
            </x14:sparkline>
          </x14:sparklines>
        </x14:sparklineGroup>
        <x14:sparklineGroup type="column" displayEmptyCellsAs="gap">
          <x14:colorSeries rgb="FF000000"/>
          <x14:sparklines>
            <x14:sparkline>
              <xm:f>SPARKLINE!C1031:E1031</xm:f>
              <xm:sqref>K1031</xm:sqref>
            </x14:sparkline>
          </x14:sparklines>
        </x14:sparklineGroup>
        <x14:sparklineGroup type="column" displayEmptyCellsAs="gap">
          <x14:colorSeries rgb="FF000000"/>
          <x14:sparklines>
            <x14:sparkline>
              <xm:f>SPARKLINE!C1032:E1032</xm:f>
              <xm:sqref>K1032</xm:sqref>
            </x14:sparkline>
          </x14:sparklines>
        </x14:sparklineGroup>
        <x14:sparklineGroup type="column" displayEmptyCellsAs="gap">
          <x14:colorSeries rgb="FF000000"/>
          <x14:sparklines>
            <x14:sparkline>
              <xm:f>SPARKLINE!C1033:E1033</xm:f>
              <xm:sqref>K1033</xm:sqref>
            </x14:sparkline>
          </x14:sparklines>
        </x14:sparklineGroup>
        <x14:sparklineGroup type="column" displayEmptyCellsAs="gap">
          <x14:colorSeries rgb="FF000000"/>
          <x14:sparklines>
            <x14:sparkline>
              <xm:f>SPARKLINE!C1034:E1034</xm:f>
              <xm:sqref>K1034</xm:sqref>
            </x14:sparkline>
          </x14:sparklines>
        </x14:sparklineGroup>
        <x14:sparklineGroup type="column" displayEmptyCellsAs="gap">
          <x14:colorSeries rgb="FF000000"/>
          <x14:sparklines>
            <x14:sparkline>
              <xm:f>SPARKLINE!C1035:E1035</xm:f>
              <xm:sqref>K1035</xm:sqref>
            </x14:sparkline>
          </x14:sparklines>
        </x14:sparklineGroup>
        <x14:sparklineGroup type="column" displayEmptyCellsAs="gap">
          <x14:colorSeries rgb="FF000000"/>
          <x14:sparklines>
            <x14:sparkline>
              <xm:f>SPARKLINE!C1036:E1036</xm:f>
              <xm:sqref>K1036</xm:sqref>
            </x14:sparkline>
          </x14:sparklines>
        </x14:sparklineGroup>
        <x14:sparklineGroup type="column" displayEmptyCellsAs="gap">
          <x14:colorSeries rgb="FF000000"/>
          <x14:sparklines>
            <x14:sparkline>
              <xm:f>SPARKLINE!C1037:E1037</xm:f>
              <xm:sqref>K1037</xm:sqref>
            </x14:sparkline>
          </x14:sparklines>
        </x14:sparklineGroup>
        <x14:sparklineGroup type="column" displayEmptyCellsAs="gap">
          <x14:colorSeries rgb="FF000000"/>
          <x14:sparklines>
            <x14:sparkline>
              <xm:f>SPARKLINE!C1038:E1038</xm:f>
              <xm:sqref>K1038</xm:sqref>
            </x14:sparkline>
          </x14:sparklines>
        </x14:sparklineGroup>
        <x14:sparklineGroup type="column" displayEmptyCellsAs="gap">
          <x14:colorSeries rgb="FF000000"/>
          <x14:sparklines>
            <x14:sparkline>
              <xm:f>SPARKLINE!C1039:E1039</xm:f>
              <xm:sqref>K1039</xm:sqref>
            </x14:sparkline>
          </x14:sparklines>
        </x14:sparklineGroup>
        <x14:sparklineGroup type="column" displayEmptyCellsAs="gap">
          <x14:colorSeries rgb="FF000000"/>
          <x14:sparklines>
            <x14:sparkline>
              <xm:f>SPARKLINE!C1040:E1040</xm:f>
              <xm:sqref>K1040</xm:sqref>
            </x14:sparkline>
          </x14:sparklines>
        </x14:sparklineGroup>
        <x14:sparklineGroup type="column" displayEmptyCellsAs="gap">
          <x14:colorSeries rgb="FF000000"/>
          <x14:sparklines>
            <x14:sparkline>
              <xm:f>SPARKLINE!C1041:E1041</xm:f>
              <xm:sqref>K1041</xm:sqref>
            </x14:sparkline>
          </x14:sparklines>
        </x14:sparklineGroup>
        <x14:sparklineGroup type="column" displayEmptyCellsAs="gap">
          <x14:colorSeries rgb="FF000000"/>
          <x14:sparklines>
            <x14:sparkline>
              <xm:f>SPARKLINE!C1042:E1042</xm:f>
              <xm:sqref>K1042</xm:sqref>
            </x14:sparkline>
          </x14:sparklines>
        </x14:sparklineGroup>
        <x14:sparklineGroup type="column" displayEmptyCellsAs="gap">
          <x14:colorSeries rgb="FF000000"/>
          <x14:sparklines>
            <x14:sparkline>
              <xm:f>SPARKLINE!C1043:E1043</xm:f>
              <xm:sqref>K1043</xm:sqref>
            </x14:sparkline>
          </x14:sparklines>
        </x14:sparklineGroup>
        <x14:sparklineGroup type="column" displayEmptyCellsAs="gap">
          <x14:colorSeries rgb="FF000000"/>
          <x14:sparklines>
            <x14:sparkline>
              <xm:f>SPARKLINE!C1044:E1044</xm:f>
              <xm:sqref>K1044</xm:sqref>
            </x14:sparkline>
          </x14:sparklines>
        </x14:sparklineGroup>
        <x14:sparklineGroup type="column" displayEmptyCellsAs="gap">
          <x14:colorSeries rgb="FF000000"/>
          <x14:sparklines>
            <x14:sparkline>
              <xm:f>SPARKLINE!C1045:E1045</xm:f>
              <xm:sqref>K1045</xm:sqref>
            </x14:sparkline>
          </x14:sparklines>
        </x14:sparklineGroup>
        <x14:sparklineGroup type="column" displayEmptyCellsAs="gap">
          <x14:colorSeries rgb="FF000000"/>
          <x14:sparklines>
            <x14:sparkline>
              <xm:f>SPARKLINE!C1046:E1046</xm:f>
              <xm:sqref>K1046</xm:sqref>
            </x14:sparkline>
          </x14:sparklines>
        </x14:sparklineGroup>
        <x14:sparklineGroup type="column" displayEmptyCellsAs="gap">
          <x14:colorSeries rgb="FF000000"/>
          <x14:sparklines>
            <x14:sparkline>
              <xm:f>SPARKLINE!C1047:E1047</xm:f>
              <xm:sqref>K1047</xm:sqref>
            </x14:sparkline>
          </x14:sparklines>
        </x14:sparklineGroup>
        <x14:sparklineGroup type="column" displayEmptyCellsAs="gap">
          <x14:colorSeries rgb="FF000000"/>
          <x14:sparklines>
            <x14:sparkline>
              <xm:f>SPARKLINE!C1048:E1048</xm:f>
              <xm:sqref>K1048</xm:sqref>
            </x14:sparkline>
          </x14:sparklines>
        </x14:sparklineGroup>
        <x14:sparklineGroup type="column" displayEmptyCellsAs="gap">
          <x14:colorSeries rgb="FF000000"/>
          <x14:sparklines>
            <x14:sparkline>
              <xm:f>SPARKLINE!C1049:E1049</xm:f>
              <xm:sqref>K1049</xm:sqref>
            </x14:sparkline>
          </x14:sparklines>
        </x14:sparklineGroup>
        <x14:sparklineGroup type="column" displayEmptyCellsAs="gap">
          <x14:colorSeries rgb="FF000000"/>
          <x14:sparklines>
            <x14:sparkline>
              <xm:f>SPARKLINE!C1050:E1050</xm:f>
              <xm:sqref>K1050</xm:sqref>
            </x14:sparkline>
          </x14:sparklines>
        </x14:sparklineGroup>
        <x14:sparklineGroup type="column" displayEmptyCellsAs="gap">
          <x14:colorSeries rgb="FF000000"/>
          <x14:sparklines>
            <x14:sparkline>
              <xm:f>SPARKLINE!C1051:E1051</xm:f>
              <xm:sqref>K1051</xm:sqref>
            </x14:sparkline>
          </x14:sparklines>
        </x14:sparklineGroup>
        <x14:sparklineGroup type="column" displayEmptyCellsAs="gap">
          <x14:colorSeries rgb="FF000000"/>
          <x14:sparklines>
            <x14:sparkline>
              <xm:f>SPARKLINE!C1052:E1052</xm:f>
              <xm:sqref>K1052</xm:sqref>
            </x14:sparkline>
          </x14:sparklines>
        </x14:sparklineGroup>
        <x14:sparklineGroup type="column" displayEmptyCellsAs="gap">
          <x14:colorSeries rgb="FF000000"/>
          <x14:sparklines>
            <x14:sparkline>
              <xm:f>SPARKLINE!C1053:E1053</xm:f>
              <xm:sqref>K1053</xm:sqref>
            </x14:sparkline>
          </x14:sparklines>
        </x14:sparklineGroup>
        <x14:sparklineGroup type="column" displayEmptyCellsAs="gap">
          <x14:colorSeries rgb="FF000000"/>
          <x14:sparklines>
            <x14:sparkline>
              <xm:f>SPARKLINE!C1054:E1054</xm:f>
              <xm:sqref>K1054</xm:sqref>
            </x14:sparkline>
          </x14:sparklines>
        </x14:sparklineGroup>
        <x14:sparklineGroup type="column" displayEmptyCellsAs="gap">
          <x14:colorSeries rgb="FF000000"/>
          <x14:sparklines>
            <x14:sparkline>
              <xm:f>SPARKLINE!C1055:E1055</xm:f>
              <xm:sqref>K1055</xm:sqref>
            </x14:sparkline>
          </x14:sparklines>
        </x14:sparklineGroup>
        <x14:sparklineGroup type="column" displayEmptyCellsAs="gap">
          <x14:colorSeries rgb="FF000000"/>
          <x14:sparklines>
            <x14:sparkline>
              <xm:f>SPARKLINE!C1056:E1056</xm:f>
              <xm:sqref>K1056</xm:sqref>
            </x14:sparkline>
          </x14:sparklines>
        </x14:sparklineGroup>
        <x14:sparklineGroup type="column" displayEmptyCellsAs="gap">
          <x14:colorSeries rgb="FF000000"/>
          <x14:sparklines>
            <x14:sparkline>
              <xm:f>SPARKLINE!C1057:E1057</xm:f>
              <xm:sqref>K1057</xm:sqref>
            </x14:sparkline>
          </x14:sparklines>
        </x14:sparklineGroup>
        <x14:sparklineGroup type="column" displayEmptyCellsAs="gap">
          <x14:colorSeries rgb="FF000000"/>
          <x14:sparklines>
            <x14:sparkline>
              <xm:f>SPARKLINE!C1058:E1058</xm:f>
              <xm:sqref>K1058</xm:sqref>
            </x14:sparkline>
          </x14:sparklines>
        </x14:sparklineGroup>
        <x14:sparklineGroup type="column" displayEmptyCellsAs="gap">
          <x14:colorSeries rgb="FF000000"/>
          <x14:sparklines>
            <x14:sparkline>
              <xm:f>SPARKLINE!C1059:E1059</xm:f>
              <xm:sqref>K1059</xm:sqref>
            </x14:sparkline>
          </x14:sparklines>
        </x14:sparklineGroup>
        <x14:sparklineGroup type="column" displayEmptyCellsAs="gap">
          <x14:colorSeries rgb="FF000000"/>
          <x14:sparklines>
            <x14:sparkline>
              <xm:f>SPARKLINE!C1060:E1060</xm:f>
              <xm:sqref>K1060</xm:sqref>
            </x14:sparkline>
          </x14:sparklines>
        </x14:sparklineGroup>
        <x14:sparklineGroup type="column" displayEmptyCellsAs="gap">
          <x14:colorSeries rgb="FF000000"/>
          <x14:sparklines>
            <x14:sparkline>
              <xm:f>SPARKLINE!C1061:E1061</xm:f>
              <xm:sqref>K1061</xm:sqref>
            </x14:sparkline>
          </x14:sparklines>
        </x14:sparklineGroup>
        <x14:sparklineGroup type="column" displayEmptyCellsAs="gap">
          <x14:colorSeries rgb="FF000000"/>
          <x14:sparklines>
            <x14:sparkline>
              <xm:f>SPARKLINE!C1062:E1062</xm:f>
              <xm:sqref>K1062</xm:sqref>
            </x14:sparkline>
          </x14:sparklines>
        </x14:sparklineGroup>
        <x14:sparklineGroup type="column" displayEmptyCellsAs="gap">
          <x14:colorSeries rgb="FF000000"/>
          <x14:sparklines>
            <x14:sparkline>
              <xm:f>SPARKLINE!C1063:E1063</xm:f>
              <xm:sqref>K1063</xm:sqref>
            </x14:sparkline>
          </x14:sparklines>
        </x14:sparklineGroup>
        <x14:sparklineGroup type="column" displayEmptyCellsAs="gap">
          <x14:colorSeries rgb="FF000000"/>
          <x14:sparklines>
            <x14:sparkline>
              <xm:f>SPARKLINE!C1064:E1064</xm:f>
              <xm:sqref>K1064</xm:sqref>
            </x14:sparkline>
          </x14:sparklines>
        </x14:sparklineGroup>
        <x14:sparklineGroup type="column" displayEmptyCellsAs="gap">
          <x14:colorSeries rgb="FF000000"/>
          <x14:sparklines>
            <x14:sparkline>
              <xm:f>SPARKLINE!C1065:E1065</xm:f>
              <xm:sqref>K1065</xm:sqref>
            </x14:sparkline>
          </x14:sparklines>
        </x14:sparklineGroup>
        <x14:sparklineGroup type="column" displayEmptyCellsAs="gap">
          <x14:colorSeries rgb="FF000000"/>
          <x14:sparklines>
            <x14:sparkline>
              <xm:f>SPARKLINE!C1066:E1066</xm:f>
              <xm:sqref>K1066</xm:sqref>
            </x14:sparkline>
          </x14:sparklines>
        </x14:sparklineGroup>
        <x14:sparklineGroup type="column" displayEmptyCellsAs="gap">
          <x14:colorSeries rgb="FF000000"/>
          <x14:sparklines>
            <x14:sparkline>
              <xm:f>SPARKLINE!C1067:E1067</xm:f>
              <xm:sqref>K1067</xm:sqref>
            </x14:sparkline>
          </x14:sparklines>
        </x14:sparklineGroup>
        <x14:sparklineGroup type="column" displayEmptyCellsAs="gap">
          <x14:colorSeries rgb="FF000000"/>
          <x14:sparklines>
            <x14:sparkline>
              <xm:f>SPARKLINE!C1068:E1068</xm:f>
              <xm:sqref>K1068</xm:sqref>
            </x14:sparkline>
          </x14:sparklines>
        </x14:sparklineGroup>
        <x14:sparklineGroup type="column" displayEmptyCellsAs="gap">
          <x14:colorSeries rgb="FF000000"/>
          <x14:sparklines>
            <x14:sparkline>
              <xm:f>SPARKLINE!C1069:E1069</xm:f>
              <xm:sqref>K1069</xm:sqref>
            </x14:sparkline>
          </x14:sparklines>
        </x14:sparklineGroup>
        <x14:sparklineGroup type="column" displayEmptyCellsAs="gap">
          <x14:colorSeries rgb="FF000000"/>
          <x14:sparklines>
            <x14:sparkline>
              <xm:f>SPARKLINE!C1070:E1070</xm:f>
              <xm:sqref>K1070</xm:sqref>
            </x14:sparkline>
          </x14:sparklines>
        </x14:sparklineGroup>
        <x14:sparklineGroup type="column" displayEmptyCellsAs="gap">
          <x14:colorSeries rgb="FF000000"/>
          <x14:sparklines>
            <x14:sparkline>
              <xm:f>SPARKLINE!C1071:E1071</xm:f>
              <xm:sqref>K1071</xm:sqref>
            </x14:sparkline>
          </x14:sparklines>
        </x14:sparklineGroup>
        <x14:sparklineGroup type="column" displayEmptyCellsAs="gap">
          <x14:colorSeries rgb="FF000000"/>
          <x14:sparklines>
            <x14:sparkline>
              <xm:f>SPARKLINE!C1072:E1072</xm:f>
              <xm:sqref>K1072</xm:sqref>
            </x14:sparkline>
          </x14:sparklines>
        </x14:sparklineGroup>
        <x14:sparklineGroup type="column" displayEmptyCellsAs="gap">
          <x14:colorSeries rgb="FF000000"/>
          <x14:sparklines>
            <x14:sparkline>
              <xm:f>SPARKLINE!C1073:E1073</xm:f>
              <xm:sqref>K1073</xm:sqref>
            </x14:sparkline>
          </x14:sparklines>
        </x14:sparklineGroup>
        <x14:sparklineGroup type="column" displayEmptyCellsAs="gap">
          <x14:colorSeries rgb="FF000000"/>
          <x14:sparklines>
            <x14:sparkline>
              <xm:f>SPARKLINE!C1074:E1074</xm:f>
              <xm:sqref>K1074</xm:sqref>
            </x14:sparkline>
          </x14:sparklines>
        </x14:sparklineGroup>
        <x14:sparklineGroup type="column" displayEmptyCellsAs="gap">
          <x14:colorSeries rgb="FF000000"/>
          <x14:sparklines>
            <x14:sparkline>
              <xm:f>SPARKLINE!C1075:E1075</xm:f>
              <xm:sqref>K1075</xm:sqref>
            </x14:sparkline>
          </x14:sparklines>
        </x14:sparklineGroup>
        <x14:sparklineGroup type="column" displayEmptyCellsAs="gap">
          <x14:colorSeries rgb="FF000000"/>
          <x14:sparklines>
            <x14:sparkline>
              <xm:f>SPARKLINE!C1076:E1076</xm:f>
              <xm:sqref>K1076</xm:sqref>
            </x14:sparkline>
          </x14:sparklines>
        </x14:sparklineGroup>
        <x14:sparklineGroup type="column" displayEmptyCellsAs="gap">
          <x14:colorSeries rgb="FF000000"/>
          <x14:sparklines>
            <x14:sparkline>
              <xm:f>SPARKLINE!C1077:E1077</xm:f>
              <xm:sqref>K1077</xm:sqref>
            </x14:sparkline>
          </x14:sparklines>
        </x14:sparklineGroup>
        <x14:sparklineGroup type="column" displayEmptyCellsAs="gap">
          <x14:colorSeries rgb="FF000000"/>
          <x14:sparklines>
            <x14:sparkline>
              <xm:f>SPARKLINE!C1078:E1078</xm:f>
              <xm:sqref>K1078</xm:sqref>
            </x14:sparkline>
          </x14:sparklines>
        </x14:sparklineGroup>
        <x14:sparklineGroup type="column" displayEmptyCellsAs="gap">
          <x14:colorSeries rgb="FF000000"/>
          <x14:sparklines>
            <x14:sparkline>
              <xm:f>SPARKLINE!C1079:E1079</xm:f>
              <xm:sqref>K1079</xm:sqref>
            </x14:sparkline>
          </x14:sparklines>
        </x14:sparklineGroup>
        <x14:sparklineGroup type="column" displayEmptyCellsAs="gap">
          <x14:colorSeries rgb="FF000000"/>
          <x14:sparklines>
            <x14:sparkline>
              <xm:f>SPARKLINE!C1080:E1080</xm:f>
              <xm:sqref>K1080</xm:sqref>
            </x14:sparkline>
          </x14:sparklines>
        </x14:sparklineGroup>
        <x14:sparklineGroup type="column" displayEmptyCellsAs="gap">
          <x14:colorSeries rgb="FF000000"/>
          <x14:sparklines>
            <x14:sparkline>
              <xm:f>SPARKLINE!C1081:E1081</xm:f>
              <xm:sqref>K1081</xm:sqref>
            </x14:sparkline>
          </x14:sparklines>
        </x14:sparklineGroup>
        <x14:sparklineGroup type="column" displayEmptyCellsAs="gap">
          <x14:colorSeries rgb="FF000000"/>
          <x14:sparklines>
            <x14:sparkline>
              <xm:f>SPARKLINE!C1082:E1082</xm:f>
              <xm:sqref>K1082</xm:sqref>
            </x14:sparkline>
          </x14:sparklines>
        </x14:sparklineGroup>
        <x14:sparklineGroup type="column" displayEmptyCellsAs="gap">
          <x14:colorSeries rgb="FF000000"/>
          <x14:sparklines>
            <x14:sparkline>
              <xm:f>SPARKLINE!C1083:E1083</xm:f>
              <xm:sqref>K1083</xm:sqref>
            </x14:sparkline>
          </x14:sparklines>
        </x14:sparklineGroup>
        <x14:sparklineGroup type="column" displayEmptyCellsAs="gap">
          <x14:colorSeries rgb="FF000000"/>
          <x14:sparklines>
            <x14:sparkline>
              <xm:f>SPARKLINE!C1084:E1084</xm:f>
              <xm:sqref>K1084</xm:sqref>
            </x14:sparkline>
          </x14:sparklines>
        </x14:sparklineGroup>
        <x14:sparklineGroup type="column" displayEmptyCellsAs="gap">
          <x14:colorSeries rgb="FF000000"/>
          <x14:sparklines>
            <x14:sparkline>
              <xm:f>SPARKLINE!C1085:E1085</xm:f>
              <xm:sqref>K1085</xm:sqref>
            </x14:sparkline>
          </x14:sparklines>
        </x14:sparklineGroup>
        <x14:sparklineGroup type="column" displayEmptyCellsAs="gap">
          <x14:colorSeries rgb="FF000000"/>
          <x14:sparklines>
            <x14:sparkline>
              <xm:f>SPARKLINE!C1086:E1086</xm:f>
              <xm:sqref>K1086</xm:sqref>
            </x14:sparkline>
          </x14:sparklines>
        </x14:sparklineGroup>
        <x14:sparklineGroup type="column" displayEmptyCellsAs="gap">
          <x14:colorSeries rgb="FF000000"/>
          <x14:sparklines>
            <x14:sparkline>
              <xm:f>SPARKLINE!C1087:E1087</xm:f>
              <xm:sqref>K1087</xm:sqref>
            </x14:sparkline>
          </x14:sparklines>
        </x14:sparklineGroup>
        <x14:sparklineGroup type="column" displayEmptyCellsAs="gap">
          <x14:colorSeries rgb="FF000000"/>
          <x14:sparklines>
            <x14:sparkline>
              <xm:f>SPARKLINE!C1088:E1088</xm:f>
              <xm:sqref>K1088</xm:sqref>
            </x14:sparkline>
          </x14:sparklines>
        </x14:sparklineGroup>
        <x14:sparklineGroup type="column" displayEmptyCellsAs="gap">
          <x14:colorSeries rgb="FF000000"/>
          <x14:sparklines>
            <x14:sparkline>
              <xm:f>SPARKLINE!C1089:E1089</xm:f>
              <xm:sqref>K1089</xm:sqref>
            </x14:sparkline>
          </x14:sparklines>
        </x14:sparklineGroup>
        <x14:sparklineGroup type="column" displayEmptyCellsAs="gap">
          <x14:colorSeries rgb="FF000000"/>
          <x14:sparklines>
            <x14:sparkline>
              <xm:f>SPARKLINE!C1090:E1090</xm:f>
              <xm:sqref>K1090</xm:sqref>
            </x14:sparkline>
          </x14:sparklines>
        </x14:sparklineGroup>
        <x14:sparklineGroup type="column" displayEmptyCellsAs="gap">
          <x14:colorSeries rgb="FF000000"/>
          <x14:sparklines>
            <x14:sparkline>
              <xm:f>SPARKLINE!C1091:E1091</xm:f>
              <xm:sqref>K1091</xm:sqref>
            </x14:sparkline>
          </x14:sparklines>
        </x14:sparklineGroup>
        <x14:sparklineGroup type="column" displayEmptyCellsAs="gap">
          <x14:colorSeries rgb="FF000000"/>
          <x14:sparklines>
            <x14:sparkline>
              <xm:f>SPARKLINE!C1092:E1092</xm:f>
              <xm:sqref>K1092</xm:sqref>
            </x14:sparkline>
          </x14:sparklines>
        </x14:sparklineGroup>
        <x14:sparklineGroup type="column" displayEmptyCellsAs="gap">
          <x14:colorSeries rgb="FF000000"/>
          <x14:sparklines>
            <x14:sparkline>
              <xm:f>SPARKLINE!C1093:E1093</xm:f>
              <xm:sqref>K1093</xm:sqref>
            </x14:sparkline>
          </x14:sparklines>
        </x14:sparklineGroup>
        <x14:sparklineGroup type="column" displayEmptyCellsAs="gap">
          <x14:colorSeries rgb="FF000000"/>
          <x14:sparklines>
            <x14:sparkline>
              <xm:f>SPARKLINE!C1094:E1094</xm:f>
              <xm:sqref>K1094</xm:sqref>
            </x14:sparkline>
          </x14:sparklines>
        </x14:sparklineGroup>
        <x14:sparklineGroup type="column" displayEmptyCellsAs="gap">
          <x14:colorSeries rgb="FF000000"/>
          <x14:sparklines>
            <x14:sparkline>
              <xm:f>SPARKLINE!C1095:E1095</xm:f>
              <xm:sqref>K1095</xm:sqref>
            </x14:sparkline>
          </x14:sparklines>
        </x14:sparklineGroup>
        <x14:sparklineGroup type="column" displayEmptyCellsAs="gap">
          <x14:colorSeries rgb="FF000000"/>
          <x14:sparklines>
            <x14:sparkline>
              <xm:f>SPARKLINE!C1096:E1096</xm:f>
              <xm:sqref>K1096</xm:sqref>
            </x14:sparkline>
          </x14:sparklines>
        </x14:sparklineGroup>
        <x14:sparklineGroup type="column" displayEmptyCellsAs="gap">
          <x14:colorSeries rgb="FF000000"/>
          <x14:sparklines>
            <x14:sparkline>
              <xm:f>SPARKLINE!C1097:E1097</xm:f>
              <xm:sqref>K1097</xm:sqref>
            </x14:sparkline>
          </x14:sparklines>
        </x14:sparklineGroup>
        <x14:sparklineGroup type="column" displayEmptyCellsAs="gap">
          <x14:colorSeries rgb="FF000000"/>
          <x14:sparklines>
            <x14:sparkline>
              <xm:f>SPARKLINE!C1098:E1098</xm:f>
              <xm:sqref>K1098</xm:sqref>
            </x14:sparkline>
          </x14:sparklines>
        </x14:sparklineGroup>
        <x14:sparklineGroup type="column" displayEmptyCellsAs="gap">
          <x14:colorSeries rgb="FF000000"/>
          <x14:sparklines>
            <x14:sparkline>
              <xm:f>SPARKLINE!C1099:E1099</xm:f>
              <xm:sqref>K1099</xm:sqref>
            </x14:sparkline>
          </x14:sparklines>
        </x14:sparklineGroup>
        <x14:sparklineGroup type="column" displayEmptyCellsAs="gap">
          <x14:colorSeries rgb="FF000000"/>
          <x14:sparklines>
            <x14:sparkline>
              <xm:f>SPARKLINE!C1100:E1100</xm:f>
              <xm:sqref>K1100</xm:sqref>
            </x14:sparkline>
          </x14:sparklines>
        </x14:sparklineGroup>
        <x14:sparklineGroup type="column" displayEmptyCellsAs="gap">
          <x14:colorSeries rgb="FF000000"/>
          <x14:sparklines>
            <x14:sparkline>
              <xm:f>SPARKLINE!C1101:E1101</xm:f>
              <xm:sqref>K1101</xm:sqref>
            </x14:sparkline>
          </x14:sparklines>
        </x14:sparklineGroup>
        <x14:sparklineGroup type="column" displayEmptyCellsAs="gap">
          <x14:colorSeries rgb="FF000000"/>
          <x14:sparklines>
            <x14:sparkline>
              <xm:f>SPARKLINE!C1102:E1102</xm:f>
              <xm:sqref>K1102</xm:sqref>
            </x14:sparkline>
          </x14:sparklines>
        </x14:sparklineGroup>
        <x14:sparklineGroup type="column" displayEmptyCellsAs="gap">
          <x14:colorSeries rgb="FF000000"/>
          <x14:sparklines>
            <x14:sparkline>
              <xm:f>SPARKLINE!C1103:E1103</xm:f>
              <xm:sqref>K1103</xm:sqref>
            </x14:sparkline>
          </x14:sparklines>
        </x14:sparklineGroup>
        <x14:sparklineGroup type="column" displayEmptyCellsAs="gap">
          <x14:colorSeries rgb="FF000000"/>
          <x14:sparklines>
            <x14:sparkline>
              <xm:f>SPARKLINE!C1104:E1104</xm:f>
              <xm:sqref>K1104</xm:sqref>
            </x14:sparkline>
          </x14:sparklines>
        </x14:sparklineGroup>
        <x14:sparklineGroup type="column" displayEmptyCellsAs="gap">
          <x14:colorSeries rgb="FF000000"/>
          <x14:sparklines>
            <x14:sparkline>
              <xm:f>SPARKLINE!C1105:E1105</xm:f>
              <xm:sqref>K1105</xm:sqref>
            </x14:sparkline>
          </x14:sparklines>
        </x14:sparklineGroup>
        <x14:sparklineGroup type="column" displayEmptyCellsAs="gap">
          <x14:colorSeries rgb="FF000000"/>
          <x14:sparklines>
            <x14:sparkline>
              <xm:f>SPARKLINE!C1106:E1106</xm:f>
              <xm:sqref>K1106</xm:sqref>
            </x14:sparkline>
          </x14:sparklines>
        </x14:sparklineGroup>
        <x14:sparklineGroup type="column" displayEmptyCellsAs="gap">
          <x14:colorSeries rgb="FF000000"/>
          <x14:sparklines>
            <x14:sparkline>
              <xm:f>SPARKLINE!C1107:E1107</xm:f>
              <xm:sqref>K1107</xm:sqref>
            </x14:sparkline>
          </x14:sparklines>
        </x14:sparklineGroup>
        <x14:sparklineGroup type="column" displayEmptyCellsAs="gap">
          <x14:colorSeries rgb="FF000000"/>
          <x14:sparklines>
            <x14:sparkline>
              <xm:f>SPARKLINE!C1108:E1108</xm:f>
              <xm:sqref>K1108</xm:sqref>
            </x14:sparkline>
          </x14:sparklines>
        </x14:sparklineGroup>
        <x14:sparklineGroup type="column" displayEmptyCellsAs="gap">
          <x14:colorSeries rgb="FF000000"/>
          <x14:sparklines>
            <x14:sparkline>
              <xm:f>SPARKLINE!C1109:E1109</xm:f>
              <xm:sqref>K1109</xm:sqref>
            </x14:sparkline>
          </x14:sparklines>
        </x14:sparklineGroup>
        <x14:sparklineGroup type="column" displayEmptyCellsAs="gap">
          <x14:colorSeries rgb="FF000000"/>
          <x14:sparklines>
            <x14:sparkline>
              <xm:f>SPARKLINE!C1110:E1110</xm:f>
              <xm:sqref>K1110</xm:sqref>
            </x14:sparkline>
          </x14:sparklines>
        </x14:sparklineGroup>
        <x14:sparklineGroup type="column" displayEmptyCellsAs="gap">
          <x14:colorSeries rgb="FF000000"/>
          <x14:sparklines>
            <x14:sparkline>
              <xm:f>SPARKLINE!C1111:E1111</xm:f>
              <xm:sqref>K1111</xm:sqref>
            </x14:sparkline>
          </x14:sparklines>
        </x14:sparklineGroup>
        <x14:sparklineGroup type="column" displayEmptyCellsAs="gap">
          <x14:colorSeries rgb="FF000000"/>
          <x14:sparklines>
            <x14:sparkline>
              <xm:f>SPARKLINE!C1112:E1112</xm:f>
              <xm:sqref>K1112</xm:sqref>
            </x14:sparkline>
          </x14:sparklines>
        </x14:sparklineGroup>
        <x14:sparklineGroup type="column" displayEmptyCellsAs="gap">
          <x14:colorSeries rgb="FF000000"/>
          <x14:sparklines>
            <x14:sparkline>
              <xm:f>SPARKLINE!C1113:E1113</xm:f>
              <xm:sqref>K1113</xm:sqref>
            </x14:sparkline>
          </x14:sparklines>
        </x14:sparklineGroup>
        <x14:sparklineGroup type="column" displayEmptyCellsAs="gap">
          <x14:colorSeries rgb="FF000000"/>
          <x14:sparklines>
            <x14:sparkline>
              <xm:f>SPARKLINE!C1114:E1114</xm:f>
              <xm:sqref>K1114</xm:sqref>
            </x14:sparkline>
          </x14:sparklines>
        </x14:sparklineGroup>
        <x14:sparklineGroup type="column" displayEmptyCellsAs="gap">
          <x14:colorSeries rgb="FF000000"/>
          <x14:sparklines>
            <x14:sparkline>
              <xm:f>SPARKLINE!C1115:E1115</xm:f>
              <xm:sqref>K1115</xm:sqref>
            </x14:sparkline>
          </x14:sparklines>
        </x14:sparklineGroup>
        <x14:sparklineGroup type="column" displayEmptyCellsAs="gap">
          <x14:colorSeries rgb="FF000000"/>
          <x14:sparklines>
            <x14:sparkline>
              <xm:f>SPARKLINE!C1116:E1116</xm:f>
              <xm:sqref>K1116</xm:sqref>
            </x14:sparkline>
          </x14:sparklines>
        </x14:sparklineGroup>
        <x14:sparklineGroup type="column" displayEmptyCellsAs="gap">
          <x14:colorSeries rgb="FF000000"/>
          <x14:sparklines>
            <x14:sparkline>
              <xm:f>SPARKLINE!C1117:E1117</xm:f>
              <xm:sqref>K1117</xm:sqref>
            </x14:sparkline>
          </x14:sparklines>
        </x14:sparklineGroup>
        <x14:sparklineGroup type="column" displayEmptyCellsAs="gap">
          <x14:colorSeries rgb="FF000000"/>
          <x14:sparklines>
            <x14:sparkline>
              <xm:f>SPARKLINE!C1118:E1118</xm:f>
              <xm:sqref>K1118</xm:sqref>
            </x14:sparkline>
          </x14:sparklines>
        </x14:sparklineGroup>
        <x14:sparklineGroup type="column" displayEmptyCellsAs="gap">
          <x14:colorSeries rgb="FF000000"/>
          <x14:sparklines>
            <x14:sparkline>
              <xm:f>SPARKLINE!C1119:E1119</xm:f>
              <xm:sqref>K1119</xm:sqref>
            </x14:sparkline>
          </x14:sparklines>
        </x14:sparklineGroup>
        <x14:sparklineGroup type="column" displayEmptyCellsAs="gap">
          <x14:colorSeries rgb="FF000000"/>
          <x14:sparklines>
            <x14:sparkline>
              <xm:f>SPARKLINE!C1120:E1120</xm:f>
              <xm:sqref>K1120</xm:sqref>
            </x14:sparkline>
          </x14:sparklines>
        </x14:sparklineGroup>
        <x14:sparklineGroup type="column" displayEmptyCellsAs="gap">
          <x14:colorSeries rgb="FF000000"/>
          <x14:sparklines>
            <x14:sparkline>
              <xm:f>SPARKLINE!C1121:E1121</xm:f>
              <xm:sqref>K1121</xm:sqref>
            </x14:sparkline>
          </x14:sparklines>
        </x14:sparklineGroup>
        <x14:sparklineGroup type="column" displayEmptyCellsAs="gap">
          <x14:colorSeries rgb="FF000000"/>
          <x14:sparklines>
            <x14:sparkline>
              <xm:f>SPARKLINE!C1122:E1122</xm:f>
              <xm:sqref>K1122</xm:sqref>
            </x14:sparkline>
          </x14:sparklines>
        </x14:sparklineGroup>
        <x14:sparklineGroup type="column" displayEmptyCellsAs="gap">
          <x14:colorSeries rgb="FF000000"/>
          <x14:sparklines>
            <x14:sparkline>
              <xm:f>SPARKLINE!C1123:E1123</xm:f>
              <xm:sqref>K1123</xm:sqref>
            </x14:sparkline>
          </x14:sparklines>
        </x14:sparklineGroup>
        <x14:sparklineGroup type="column" displayEmptyCellsAs="gap">
          <x14:colorSeries rgb="FF000000"/>
          <x14:sparklines>
            <x14:sparkline>
              <xm:f>SPARKLINE!C1124:E1124</xm:f>
              <xm:sqref>K1124</xm:sqref>
            </x14:sparkline>
          </x14:sparklines>
        </x14:sparklineGroup>
        <x14:sparklineGroup type="column" displayEmptyCellsAs="gap">
          <x14:colorSeries rgb="FF000000"/>
          <x14:sparklines>
            <x14:sparkline>
              <xm:f>SPARKLINE!C1125:E1125</xm:f>
              <xm:sqref>K1125</xm:sqref>
            </x14:sparkline>
          </x14:sparklines>
        </x14:sparklineGroup>
        <x14:sparklineGroup type="column" displayEmptyCellsAs="gap">
          <x14:colorSeries rgb="FF000000"/>
          <x14:sparklines>
            <x14:sparkline>
              <xm:f>SPARKLINE!C1126:E1126</xm:f>
              <xm:sqref>K1126</xm:sqref>
            </x14:sparkline>
          </x14:sparklines>
        </x14:sparklineGroup>
        <x14:sparklineGroup type="column" displayEmptyCellsAs="gap">
          <x14:colorSeries rgb="FF000000"/>
          <x14:sparklines>
            <x14:sparkline>
              <xm:f>SPARKLINE!C1127:E1127</xm:f>
              <xm:sqref>K1127</xm:sqref>
            </x14:sparkline>
          </x14:sparklines>
        </x14:sparklineGroup>
        <x14:sparklineGroup type="column" displayEmptyCellsAs="gap">
          <x14:colorSeries rgb="FF000000"/>
          <x14:sparklines>
            <x14:sparkline>
              <xm:f>SPARKLINE!C1128:E1128</xm:f>
              <xm:sqref>K1128</xm:sqref>
            </x14:sparkline>
          </x14:sparklines>
        </x14:sparklineGroup>
        <x14:sparklineGroup type="column" displayEmptyCellsAs="gap">
          <x14:colorSeries rgb="FF000000"/>
          <x14:sparklines>
            <x14:sparkline>
              <xm:f>SPARKLINE!C1129:E1129</xm:f>
              <xm:sqref>K1129</xm:sqref>
            </x14:sparkline>
          </x14:sparklines>
        </x14:sparklineGroup>
        <x14:sparklineGroup type="column" displayEmptyCellsAs="gap">
          <x14:colorSeries rgb="FF000000"/>
          <x14:sparklines>
            <x14:sparkline>
              <xm:f>SPARKLINE!C1130:E1130</xm:f>
              <xm:sqref>K1130</xm:sqref>
            </x14:sparkline>
          </x14:sparklines>
        </x14:sparklineGroup>
        <x14:sparklineGroup type="column" displayEmptyCellsAs="gap">
          <x14:colorSeries rgb="FF000000"/>
          <x14:sparklines>
            <x14:sparkline>
              <xm:f>SPARKLINE!C1131:E1131</xm:f>
              <xm:sqref>K1131</xm:sqref>
            </x14:sparkline>
          </x14:sparklines>
        </x14:sparklineGroup>
        <x14:sparklineGroup type="column" displayEmptyCellsAs="gap">
          <x14:colorSeries rgb="FF000000"/>
          <x14:sparklines>
            <x14:sparkline>
              <xm:f>SPARKLINE!C1132:E1132</xm:f>
              <xm:sqref>K1132</xm:sqref>
            </x14:sparkline>
          </x14:sparklines>
        </x14:sparklineGroup>
        <x14:sparklineGroup type="column" displayEmptyCellsAs="gap">
          <x14:colorSeries rgb="FF000000"/>
          <x14:sparklines>
            <x14:sparkline>
              <xm:f>SPARKLINE!C1133:E1133</xm:f>
              <xm:sqref>K1133</xm:sqref>
            </x14:sparkline>
          </x14:sparklines>
        </x14:sparklineGroup>
        <x14:sparklineGroup type="column" displayEmptyCellsAs="gap">
          <x14:colorSeries rgb="FF000000"/>
          <x14:sparklines>
            <x14:sparkline>
              <xm:f>SPARKLINE!C1134:E1134</xm:f>
              <xm:sqref>K1134</xm:sqref>
            </x14:sparkline>
          </x14:sparklines>
        </x14:sparklineGroup>
        <x14:sparklineGroup type="column" displayEmptyCellsAs="gap">
          <x14:colorSeries rgb="FF000000"/>
          <x14:sparklines>
            <x14:sparkline>
              <xm:f>SPARKLINE!C1135:E1135</xm:f>
              <xm:sqref>K1135</xm:sqref>
            </x14:sparkline>
          </x14:sparklines>
        </x14:sparklineGroup>
        <x14:sparklineGroup type="column" displayEmptyCellsAs="gap">
          <x14:colorSeries rgb="FF000000"/>
          <x14:sparklines>
            <x14:sparkline>
              <xm:f>SPARKLINE!C1136:E1136</xm:f>
              <xm:sqref>K1136</xm:sqref>
            </x14:sparkline>
          </x14:sparklines>
        </x14:sparklineGroup>
        <x14:sparklineGroup type="column" displayEmptyCellsAs="gap">
          <x14:colorSeries rgb="FF000000"/>
          <x14:sparklines>
            <x14:sparkline>
              <xm:f>SPARKLINE!C1137:E1137</xm:f>
              <xm:sqref>K1137</xm:sqref>
            </x14:sparkline>
          </x14:sparklines>
        </x14:sparklineGroup>
        <x14:sparklineGroup type="column" displayEmptyCellsAs="gap">
          <x14:colorSeries rgb="FF000000"/>
          <x14:sparklines>
            <x14:sparkline>
              <xm:f>SPARKLINE!C1138:E1138</xm:f>
              <xm:sqref>K1138</xm:sqref>
            </x14:sparkline>
          </x14:sparklines>
        </x14:sparklineGroup>
        <x14:sparklineGroup type="column" displayEmptyCellsAs="gap">
          <x14:colorSeries rgb="FF000000"/>
          <x14:sparklines>
            <x14:sparkline>
              <xm:f>SPARKLINE!C1139:E1139</xm:f>
              <xm:sqref>K1139</xm:sqref>
            </x14:sparkline>
          </x14:sparklines>
        </x14:sparklineGroup>
        <x14:sparklineGroup type="column" displayEmptyCellsAs="gap">
          <x14:colorSeries rgb="FF000000"/>
          <x14:sparklines>
            <x14:sparkline>
              <xm:f>SPARKLINE!C1140:E1140</xm:f>
              <xm:sqref>K1140</xm:sqref>
            </x14:sparkline>
          </x14:sparklines>
        </x14:sparklineGroup>
        <x14:sparklineGroup type="column" displayEmptyCellsAs="gap">
          <x14:colorSeries rgb="FF000000"/>
          <x14:sparklines>
            <x14:sparkline>
              <xm:f>SPARKLINE!C1141:E1141</xm:f>
              <xm:sqref>K1141</xm:sqref>
            </x14:sparkline>
          </x14:sparklines>
        </x14:sparklineGroup>
        <x14:sparklineGroup type="column" displayEmptyCellsAs="gap">
          <x14:colorSeries rgb="FF000000"/>
          <x14:sparklines>
            <x14:sparkline>
              <xm:f>SPARKLINE!C1142:E1142</xm:f>
              <xm:sqref>K1142</xm:sqref>
            </x14:sparkline>
          </x14:sparklines>
        </x14:sparklineGroup>
        <x14:sparklineGroup type="column" displayEmptyCellsAs="gap">
          <x14:colorSeries rgb="FF000000"/>
          <x14:sparklines>
            <x14:sparkline>
              <xm:f>SPARKLINE!C1143:E1143</xm:f>
              <xm:sqref>K1143</xm:sqref>
            </x14:sparkline>
          </x14:sparklines>
        </x14:sparklineGroup>
        <x14:sparklineGroup type="column" displayEmptyCellsAs="gap">
          <x14:colorSeries rgb="FF000000"/>
          <x14:sparklines>
            <x14:sparkline>
              <xm:f>SPARKLINE!C1144:E1144</xm:f>
              <xm:sqref>K1144</xm:sqref>
            </x14:sparkline>
          </x14:sparklines>
        </x14:sparklineGroup>
        <x14:sparklineGroup type="column" displayEmptyCellsAs="gap">
          <x14:colorSeries rgb="FF000000"/>
          <x14:sparklines>
            <x14:sparkline>
              <xm:f>SPARKLINE!C1145:E1145</xm:f>
              <xm:sqref>K1145</xm:sqref>
            </x14:sparkline>
          </x14:sparklines>
        </x14:sparklineGroup>
        <x14:sparklineGroup type="column" displayEmptyCellsAs="gap">
          <x14:colorSeries rgb="FF000000"/>
          <x14:sparklines>
            <x14:sparkline>
              <xm:f>SPARKLINE!C1146:E1146</xm:f>
              <xm:sqref>K1146</xm:sqref>
            </x14:sparkline>
          </x14:sparklines>
        </x14:sparklineGroup>
        <x14:sparklineGroup type="column" displayEmptyCellsAs="gap">
          <x14:colorSeries rgb="FF000000"/>
          <x14:sparklines>
            <x14:sparkline>
              <xm:f>SPARKLINE!C1147:E1147</xm:f>
              <xm:sqref>K1147</xm:sqref>
            </x14:sparkline>
          </x14:sparklines>
        </x14:sparklineGroup>
        <x14:sparklineGroup type="column" displayEmptyCellsAs="gap">
          <x14:colorSeries rgb="FF000000"/>
          <x14:sparklines>
            <x14:sparkline>
              <xm:f>SPARKLINE!C1148:E1148</xm:f>
              <xm:sqref>K1148</xm:sqref>
            </x14:sparkline>
          </x14:sparklines>
        </x14:sparklineGroup>
        <x14:sparklineGroup type="column" displayEmptyCellsAs="gap">
          <x14:colorSeries rgb="FF000000"/>
          <x14:sparklines>
            <x14:sparkline>
              <xm:f>SPARKLINE!C1149:E1149</xm:f>
              <xm:sqref>K1149</xm:sqref>
            </x14:sparkline>
          </x14:sparklines>
        </x14:sparklineGroup>
        <x14:sparklineGroup type="column" displayEmptyCellsAs="gap">
          <x14:colorSeries rgb="FF000000"/>
          <x14:sparklines>
            <x14:sparkline>
              <xm:f>SPARKLINE!C1150:E1150</xm:f>
              <xm:sqref>K1150</xm:sqref>
            </x14:sparkline>
          </x14:sparklines>
        </x14:sparklineGroup>
        <x14:sparklineGroup type="column" displayEmptyCellsAs="gap">
          <x14:colorSeries rgb="FF000000"/>
          <x14:sparklines>
            <x14:sparkline>
              <xm:f>SPARKLINE!C1151:E1151</xm:f>
              <xm:sqref>K1151</xm:sqref>
            </x14:sparkline>
          </x14:sparklines>
        </x14:sparklineGroup>
        <x14:sparklineGroup type="column" displayEmptyCellsAs="gap">
          <x14:colorSeries rgb="FF000000"/>
          <x14:sparklines>
            <x14:sparkline>
              <xm:f>SPARKLINE!C1152:E1152</xm:f>
              <xm:sqref>K1152</xm:sqref>
            </x14:sparkline>
          </x14:sparklines>
        </x14:sparklineGroup>
        <x14:sparklineGroup type="column" displayEmptyCellsAs="gap">
          <x14:colorSeries rgb="FF000000"/>
          <x14:sparklines>
            <x14:sparkline>
              <xm:f>SPARKLINE!C1153:E1153</xm:f>
              <xm:sqref>K1153</xm:sqref>
            </x14:sparkline>
          </x14:sparklines>
        </x14:sparklineGroup>
        <x14:sparklineGroup type="column" displayEmptyCellsAs="gap">
          <x14:colorSeries rgb="FF000000"/>
          <x14:sparklines>
            <x14:sparkline>
              <xm:f>SPARKLINE!C1154:E1154</xm:f>
              <xm:sqref>K1154</xm:sqref>
            </x14:sparkline>
          </x14:sparklines>
        </x14:sparklineGroup>
        <x14:sparklineGroup type="column" displayEmptyCellsAs="gap">
          <x14:colorSeries rgb="FF000000"/>
          <x14:sparklines>
            <x14:sparkline>
              <xm:f>SPARKLINE!C1155:E1155</xm:f>
              <xm:sqref>K1155</xm:sqref>
            </x14:sparkline>
          </x14:sparklines>
        </x14:sparklineGroup>
        <x14:sparklineGroup type="column" displayEmptyCellsAs="gap">
          <x14:colorSeries rgb="FF000000"/>
          <x14:sparklines>
            <x14:sparkline>
              <xm:f>SPARKLINE!C1156:E1156</xm:f>
              <xm:sqref>K1156</xm:sqref>
            </x14:sparkline>
          </x14:sparklines>
        </x14:sparklineGroup>
        <x14:sparklineGroup type="column" displayEmptyCellsAs="gap">
          <x14:colorSeries rgb="FF000000"/>
          <x14:sparklines>
            <x14:sparkline>
              <xm:f>SPARKLINE!C1157:E1157</xm:f>
              <xm:sqref>K1157</xm:sqref>
            </x14:sparkline>
          </x14:sparklines>
        </x14:sparklineGroup>
        <x14:sparklineGroup type="column" displayEmptyCellsAs="gap">
          <x14:colorSeries rgb="FF000000"/>
          <x14:sparklines>
            <x14:sparkline>
              <xm:f>SPARKLINE!C1158:E1158</xm:f>
              <xm:sqref>K1158</xm:sqref>
            </x14:sparkline>
          </x14:sparklines>
        </x14:sparklineGroup>
        <x14:sparklineGroup type="column" displayEmptyCellsAs="gap">
          <x14:colorSeries rgb="FF000000"/>
          <x14:sparklines>
            <x14:sparkline>
              <xm:f>SPARKLINE!C1159:E1159</xm:f>
              <xm:sqref>K1159</xm:sqref>
            </x14:sparkline>
          </x14:sparklines>
        </x14:sparklineGroup>
        <x14:sparklineGroup type="column" displayEmptyCellsAs="gap">
          <x14:colorSeries rgb="FF000000"/>
          <x14:sparklines>
            <x14:sparkline>
              <xm:f>SPARKLINE!C1160:E1160</xm:f>
              <xm:sqref>K1160</xm:sqref>
            </x14:sparkline>
          </x14:sparklines>
        </x14:sparklineGroup>
        <x14:sparklineGroup type="column" displayEmptyCellsAs="gap">
          <x14:colorSeries rgb="FF000000"/>
          <x14:sparklines>
            <x14:sparkline>
              <xm:f>SPARKLINE!C1161:E1161</xm:f>
              <xm:sqref>K1161</xm:sqref>
            </x14:sparkline>
          </x14:sparklines>
        </x14:sparklineGroup>
        <x14:sparklineGroup type="column" displayEmptyCellsAs="gap">
          <x14:colorSeries rgb="FF000000"/>
          <x14:sparklines>
            <x14:sparkline>
              <xm:f>SPARKLINE!C1162:E1162</xm:f>
              <xm:sqref>K1162</xm:sqref>
            </x14:sparkline>
          </x14:sparklines>
        </x14:sparklineGroup>
        <x14:sparklineGroup type="column" displayEmptyCellsAs="gap">
          <x14:colorSeries rgb="FF000000"/>
          <x14:sparklines>
            <x14:sparkline>
              <xm:f>SPARKLINE!C1163:E1163</xm:f>
              <xm:sqref>K1163</xm:sqref>
            </x14:sparkline>
          </x14:sparklines>
        </x14:sparklineGroup>
        <x14:sparklineGroup type="column" displayEmptyCellsAs="gap">
          <x14:colorSeries rgb="FF000000"/>
          <x14:sparklines>
            <x14:sparkline>
              <xm:f>SPARKLINE!C1164:E1164</xm:f>
              <xm:sqref>K1164</xm:sqref>
            </x14:sparkline>
          </x14:sparklines>
        </x14:sparklineGroup>
        <x14:sparklineGroup type="column" displayEmptyCellsAs="gap">
          <x14:colorSeries rgb="FF000000"/>
          <x14:sparklines>
            <x14:sparkline>
              <xm:f>SPARKLINE!C1165:E1165</xm:f>
              <xm:sqref>K1165</xm:sqref>
            </x14:sparkline>
          </x14:sparklines>
        </x14:sparklineGroup>
        <x14:sparklineGroup type="column" displayEmptyCellsAs="gap">
          <x14:colorSeries rgb="FF000000"/>
          <x14:sparklines>
            <x14:sparkline>
              <xm:f>SPARKLINE!C1166:E1166</xm:f>
              <xm:sqref>K1166</xm:sqref>
            </x14:sparkline>
          </x14:sparklines>
        </x14:sparklineGroup>
        <x14:sparklineGroup type="column" displayEmptyCellsAs="gap">
          <x14:colorSeries rgb="FF000000"/>
          <x14:sparklines>
            <x14:sparkline>
              <xm:f>SPARKLINE!C1167:E1167</xm:f>
              <xm:sqref>K1167</xm:sqref>
            </x14:sparkline>
          </x14:sparklines>
        </x14:sparklineGroup>
        <x14:sparklineGroup type="column" displayEmptyCellsAs="gap">
          <x14:colorSeries rgb="FF000000"/>
          <x14:sparklines>
            <x14:sparkline>
              <xm:f>SPARKLINE!C1168:E1168</xm:f>
              <xm:sqref>K1168</xm:sqref>
            </x14:sparkline>
          </x14:sparklines>
        </x14:sparklineGroup>
        <x14:sparklineGroup type="column" displayEmptyCellsAs="gap">
          <x14:colorSeries rgb="FF000000"/>
          <x14:sparklines>
            <x14:sparkline>
              <xm:f>SPARKLINE!C1169:E1169</xm:f>
              <xm:sqref>K1169</xm:sqref>
            </x14:sparkline>
          </x14:sparklines>
        </x14:sparklineGroup>
        <x14:sparklineGroup type="column" displayEmptyCellsAs="gap">
          <x14:colorSeries rgb="FF000000"/>
          <x14:sparklines>
            <x14:sparkline>
              <xm:f>SPARKLINE!C1170:E1170</xm:f>
              <xm:sqref>K1170</xm:sqref>
            </x14:sparkline>
          </x14:sparklines>
        </x14:sparklineGroup>
        <x14:sparklineGroup type="column" displayEmptyCellsAs="gap">
          <x14:colorSeries rgb="FF000000"/>
          <x14:sparklines>
            <x14:sparkline>
              <xm:f>SPARKLINE!C1171:E1171</xm:f>
              <xm:sqref>K1171</xm:sqref>
            </x14:sparkline>
          </x14:sparklines>
        </x14:sparklineGroup>
        <x14:sparklineGroup type="column" displayEmptyCellsAs="gap">
          <x14:colorSeries rgb="FF000000"/>
          <x14:sparklines>
            <x14:sparkline>
              <xm:f>SPARKLINE!C1172:E1172</xm:f>
              <xm:sqref>K1172</xm:sqref>
            </x14:sparkline>
          </x14:sparklines>
        </x14:sparklineGroup>
        <x14:sparklineGroup type="column" displayEmptyCellsAs="gap">
          <x14:colorSeries rgb="FF000000"/>
          <x14:sparklines>
            <x14:sparkline>
              <xm:f>SPARKLINE!C1173:E1173</xm:f>
              <xm:sqref>K1173</xm:sqref>
            </x14:sparkline>
          </x14:sparklines>
        </x14:sparklineGroup>
        <x14:sparklineGroup type="column" displayEmptyCellsAs="gap">
          <x14:colorSeries rgb="FF000000"/>
          <x14:sparklines>
            <x14:sparkline>
              <xm:f>SPARKLINE!C1174:E1174</xm:f>
              <xm:sqref>K1174</xm:sqref>
            </x14:sparkline>
          </x14:sparklines>
        </x14:sparklineGroup>
        <x14:sparklineGroup type="column" displayEmptyCellsAs="gap">
          <x14:colorSeries rgb="FF000000"/>
          <x14:sparklines>
            <x14:sparkline>
              <xm:f>SPARKLINE!C1175:E1175</xm:f>
              <xm:sqref>K1175</xm:sqref>
            </x14:sparkline>
          </x14:sparklines>
        </x14:sparklineGroup>
        <x14:sparklineGroup type="column" displayEmptyCellsAs="gap">
          <x14:colorSeries rgb="FF000000"/>
          <x14:sparklines>
            <x14:sparkline>
              <xm:f>SPARKLINE!C1176:E1176</xm:f>
              <xm:sqref>K1176</xm:sqref>
            </x14:sparkline>
          </x14:sparklines>
        </x14:sparklineGroup>
        <x14:sparklineGroup type="column" displayEmptyCellsAs="gap">
          <x14:colorSeries rgb="FF000000"/>
          <x14:sparklines>
            <x14:sparkline>
              <xm:f>SPARKLINE!C1177:E1177</xm:f>
              <xm:sqref>K1177</xm:sqref>
            </x14:sparkline>
          </x14:sparklines>
        </x14:sparklineGroup>
        <x14:sparklineGroup type="column" displayEmptyCellsAs="gap">
          <x14:colorSeries rgb="FF000000"/>
          <x14:sparklines>
            <x14:sparkline>
              <xm:f>SPARKLINE!C1178:E1178</xm:f>
              <xm:sqref>K1178</xm:sqref>
            </x14:sparkline>
          </x14:sparklines>
        </x14:sparklineGroup>
        <x14:sparklineGroup type="column" displayEmptyCellsAs="gap">
          <x14:colorSeries rgb="FF000000"/>
          <x14:sparklines>
            <x14:sparkline>
              <xm:f>SPARKLINE!C1179:E1179</xm:f>
              <xm:sqref>K1179</xm:sqref>
            </x14:sparkline>
          </x14:sparklines>
        </x14:sparklineGroup>
        <x14:sparklineGroup type="column" displayEmptyCellsAs="gap">
          <x14:colorSeries rgb="FF000000"/>
          <x14:sparklines>
            <x14:sparkline>
              <xm:f>SPARKLINE!C1180:E1180</xm:f>
              <xm:sqref>K1180</xm:sqref>
            </x14:sparkline>
          </x14:sparklines>
        </x14:sparklineGroup>
        <x14:sparklineGroup type="column" displayEmptyCellsAs="gap">
          <x14:colorSeries rgb="FF000000"/>
          <x14:sparklines>
            <x14:sparkline>
              <xm:f>SPARKLINE!C1181:E1181</xm:f>
              <xm:sqref>K1181</xm:sqref>
            </x14:sparkline>
          </x14:sparklines>
        </x14:sparklineGroup>
        <x14:sparklineGroup type="column" displayEmptyCellsAs="gap">
          <x14:colorSeries rgb="FF000000"/>
          <x14:sparklines>
            <x14:sparkline>
              <xm:f>SPARKLINE!C1182:E1182</xm:f>
              <xm:sqref>K1182</xm:sqref>
            </x14:sparkline>
          </x14:sparklines>
        </x14:sparklineGroup>
        <x14:sparklineGroup type="column" displayEmptyCellsAs="gap">
          <x14:colorSeries rgb="FF000000"/>
          <x14:sparklines>
            <x14:sparkline>
              <xm:f>SPARKLINE!C1183:E1183</xm:f>
              <xm:sqref>K1183</xm:sqref>
            </x14:sparkline>
          </x14:sparklines>
        </x14:sparklineGroup>
        <x14:sparklineGroup type="column" displayEmptyCellsAs="gap">
          <x14:colorSeries rgb="FF000000"/>
          <x14:sparklines>
            <x14:sparkline>
              <xm:f>SPARKLINE!C1184:E1184</xm:f>
              <xm:sqref>K1184</xm:sqref>
            </x14:sparkline>
          </x14:sparklines>
        </x14:sparklineGroup>
        <x14:sparklineGroup type="column" displayEmptyCellsAs="gap">
          <x14:colorSeries rgb="FF000000"/>
          <x14:sparklines>
            <x14:sparkline>
              <xm:f>SPARKLINE!C1185:E1185</xm:f>
              <xm:sqref>K1185</xm:sqref>
            </x14:sparkline>
          </x14:sparklines>
        </x14:sparklineGroup>
        <x14:sparklineGroup type="column" displayEmptyCellsAs="gap">
          <x14:colorSeries rgb="FF000000"/>
          <x14:sparklines>
            <x14:sparkline>
              <xm:f>SPARKLINE!C1186:E1186</xm:f>
              <xm:sqref>K1186</xm:sqref>
            </x14:sparkline>
          </x14:sparklines>
        </x14:sparklineGroup>
        <x14:sparklineGroup type="column" displayEmptyCellsAs="gap">
          <x14:colorSeries rgb="FF000000"/>
          <x14:sparklines>
            <x14:sparkline>
              <xm:f>SPARKLINE!C1187:E1187</xm:f>
              <xm:sqref>K1187</xm:sqref>
            </x14:sparkline>
          </x14:sparklines>
        </x14:sparklineGroup>
        <x14:sparklineGroup type="column" displayEmptyCellsAs="gap">
          <x14:colorSeries rgb="FF000000"/>
          <x14:sparklines>
            <x14:sparkline>
              <xm:f>SPARKLINE!C1188:E1188</xm:f>
              <xm:sqref>K1188</xm:sqref>
            </x14:sparkline>
          </x14:sparklines>
        </x14:sparklineGroup>
        <x14:sparklineGroup type="column" displayEmptyCellsAs="gap">
          <x14:colorSeries rgb="FF000000"/>
          <x14:sparklines>
            <x14:sparkline>
              <xm:f>SPARKLINE!C1189:E1189</xm:f>
              <xm:sqref>K1189</xm:sqref>
            </x14:sparkline>
          </x14:sparklines>
        </x14:sparklineGroup>
        <x14:sparklineGroup type="column" displayEmptyCellsAs="gap">
          <x14:colorSeries rgb="FF000000"/>
          <x14:sparklines>
            <x14:sparkline>
              <xm:f>SPARKLINE!C1190:E1190</xm:f>
              <xm:sqref>K1190</xm:sqref>
            </x14:sparkline>
          </x14:sparklines>
        </x14:sparklineGroup>
        <x14:sparklineGroup type="column" displayEmptyCellsAs="gap">
          <x14:colorSeries rgb="FF000000"/>
          <x14:sparklines>
            <x14:sparkline>
              <xm:f>SPARKLINE!C1191:E1191</xm:f>
              <xm:sqref>K1191</xm:sqref>
            </x14:sparkline>
          </x14:sparklines>
        </x14:sparklineGroup>
        <x14:sparklineGroup type="column" displayEmptyCellsAs="gap">
          <x14:colorSeries rgb="FF000000"/>
          <x14:sparklines>
            <x14:sparkline>
              <xm:f>SPARKLINE!C1192:E1192</xm:f>
              <xm:sqref>K1192</xm:sqref>
            </x14:sparkline>
          </x14:sparklines>
        </x14:sparklineGroup>
        <x14:sparklineGroup type="column" displayEmptyCellsAs="gap">
          <x14:colorSeries rgb="FF000000"/>
          <x14:sparklines>
            <x14:sparkline>
              <xm:f>SPARKLINE!C1193:E1193</xm:f>
              <xm:sqref>K1193</xm:sqref>
            </x14:sparkline>
          </x14:sparklines>
        </x14:sparklineGroup>
        <x14:sparklineGroup type="column" displayEmptyCellsAs="gap">
          <x14:colorSeries rgb="FF000000"/>
          <x14:sparklines>
            <x14:sparkline>
              <xm:f>SPARKLINE!C1194:E1194</xm:f>
              <xm:sqref>K1194</xm:sqref>
            </x14:sparkline>
          </x14:sparklines>
        </x14:sparklineGroup>
        <x14:sparklineGroup type="column" displayEmptyCellsAs="gap">
          <x14:colorSeries rgb="FF000000"/>
          <x14:sparklines>
            <x14:sparkline>
              <xm:f>SPARKLINE!C1195:E1195</xm:f>
              <xm:sqref>K1195</xm:sqref>
            </x14:sparkline>
          </x14:sparklines>
        </x14:sparklineGroup>
        <x14:sparklineGroup type="column" displayEmptyCellsAs="gap">
          <x14:colorSeries rgb="FF000000"/>
          <x14:sparklines>
            <x14:sparkline>
              <xm:f>SPARKLINE!C1196:E1196</xm:f>
              <xm:sqref>K1196</xm:sqref>
            </x14:sparkline>
          </x14:sparklines>
        </x14:sparklineGroup>
        <x14:sparklineGroup type="column" displayEmptyCellsAs="gap">
          <x14:colorSeries rgb="FF000000"/>
          <x14:sparklines>
            <x14:sparkline>
              <xm:f>SPARKLINE!C1197:E1197</xm:f>
              <xm:sqref>K1197</xm:sqref>
            </x14:sparkline>
          </x14:sparklines>
        </x14:sparklineGroup>
        <x14:sparklineGroup type="column" displayEmptyCellsAs="gap">
          <x14:colorSeries rgb="FF000000"/>
          <x14:sparklines>
            <x14:sparkline>
              <xm:f>SPARKLINE!C1198:E1198</xm:f>
              <xm:sqref>K1198</xm:sqref>
            </x14:sparkline>
          </x14:sparklines>
        </x14:sparklineGroup>
        <x14:sparklineGroup type="column" displayEmptyCellsAs="gap">
          <x14:colorSeries rgb="FF000000"/>
          <x14:sparklines>
            <x14:sparkline>
              <xm:f>SPARKLINE!C1199:E1199</xm:f>
              <xm:sqref>K1199</xm:sqref>
            </x14:sparkline>
          </x14:sparklines>
        </x14:sparklineGroup>
        <x14:sparklineGroup type="column" displayEmptyCellsAs="gap">
          <x14:colorSeries rgb="FF000000"/>
          <x14:sparklines>
            <x14:sparkline>
              <xm:f>SPARKLINE!C1200:E1200</xm:f>
              <xm:sqref>K1200</xm:sqref>
            </x14:sparkline>
          </x14:sparklines>
        </x14:sparklineGroup>
        <x14:sparklineGroup type="column" displayEmptyCellsAs="gap">
          <x14:colorSeries rgb="FF000000"/>
          <x14:sparklines>
            <x14:sparkline>
              <xm:f>SPARKLINE!C1201:E1201</xm:f>
              <xm:sqref>K1201</xm:sqref>
            </x14:sparkline>
          </x14:sparklines>
        </x14:sparklineGroup>
        <x14:sparklineGroup type="column" displayEmptyCellsAs="gap">
          <x14:colorSeries rgb="FF000000"/>
          <x14:sparklines>
            <x14:sparkline>
              <xm:f>SPARKLINE!C1202:E1202</xm:f>
              <xm:sqref>K1202</xm:sqref>
            </x14:sparkline>
          </x14:sparklines>
        </x14:sparklineGroup>
        <x14:sparklineGroup type="column" displayEmptyCellsAs="gap">
          <x14:colorSeries rgb="FF000000"/>
          <x14:sparklines>
            <x14:sparkline>
              <xm:f>SPARKLINE!C1203:E1203</xm:f>
              <xm:sqref>K1203</xm:sqref>
            </x14:sparkline>
          </x14:sparklines>
        </x14:sparklineGroup>
        <x14:sparklineGroup type="column" displayEmptyCellsAs="gap">
          <x14:colorSeries rgb="FF000000"/>
          <x14:sparklines>
            <x14:sparkline>
              <xm:f>SPARKLINE!C1204:E1204</xm:f>
              <xm:sqref>K1204</xm:sqref>
            </x14:sparkline>
          </x14:sparklines>
        </x14:sparklineGroup>
        <x14:sparklineGroup type="column" displayEmptyCellsAs="gap">
          <x14:colorSeries rgb="FF000000"/>
          <x14:sparklines>
            <x14:sparkline>
              <xm:f>SPARKLINE!C1205:E1205</xm:f>
              <xm:sqref>K1205</xm:sqref>
            </x14:sparkline>
          </x14:sparklines>
        </x14:sparklineGroup>
        <x14:sparklineGroup type="column" displayEmptyCellsAs="gap">
          <x14:colorSeries rgb="FF000000"/>
          <x14:sparklines>
            <x14:sparkline>
              <xm:f>SPARKLINE!C1206:E1206</xm:f>
              <xm:sqref>K1206</xm:sqref>
            </x14:sparkline>
          </x14:sparklines>
        </x14:sparklineGroup>
        <x14:sparklineGroup type="column" displayEmptyCellsAs="gap">
          <x14:colorSeries rgb="FF000000"/>
          <x14:sparklines>
            <x14:sparkline>
              <xm:f>SPARKLINE!C1207:E1207</xm:f>
              <xm:sqref>K1207</xm:sqref>
            </x14:sparkline>
          </x14:sparklines>
        </x14:sparklineGroup>
        <x14:sparklineGroup type="column" displayEmptyCellsAs="gap">
          <x14:colorSeries rgb="FF000000"/>
          <x14:sparklines>
            <x14:sparkline>
              <xm:f>SPARKLINE!C1208:E1208</xm:f>
              <xm:sqref>K1208</xm:sqref>
            </x14:sparkline>
          </x14:sparklines>
        </x14:sparklineGroup>
        <x14:sparklineGroup type="column" displayEmptyCellsAs="gap">
          <x14:colorSeries rgb="FF000000"/>
          <x14:sparklines>
            <x14:sparkline>
              <xm:f>SPARKLINE!C1209:E1209</xm:f>
              <xm:sqref>K1209</xm:sqref>
            </x14:sparkline>
          </x14:sparklines>
        </x14:sparklineGroup>
        <x14:sparklineGroup type="column" displayEmptyCellsAs="gap">
          <x14:colorSeries rgb="FF000000"/>
          <x14:sparklines>
            <x14:sparkline>
              <xm:f>SPARKLINE!C1210:E1210</xm:f>
              <xm:sqref>K1210</xm:sqref>
            </x14:sparkline>
          </x14:sparklines>
        </x14:sparklineGroup>
        <x14:sparklineGroup type="column" displayEmptyCellsAs="gap">
          <x14:colorSeries rgb="FF000000"/>
          <x14:sparklines>
            <x14:sparkline>
              <xm:f>SPARKLINE!C1211:E1211</xm:f>
              <xm:sqref>K1211</xm:sqref>
            </x14:sparkline>
          </x14:sparklines>
        </x14:sparklineGroup>
        <x14:sparklineGroup type="column" displayEmptyCellsAs="gap">
          <x14:colorSeries rgb="FF000000"/>
          <x14:sparklines>
            <x14:sparkline>
              <xm:f>SPARKLINE!C1212:E1212</xm:f>
              <xm:sqref>K1212</xm:sqref>
            </x14:sparkline>
          </x14:sparklines>
        </x14:sparklineGroup>
        <x14:sparklineGroup type="column" displayEmptyCellsAs="gap">
          <x14:colorSeries rgb="FF000000"/>
          <x14:sparklines>
            <x14:sparkline>
              <xm:f>SPARKLINE!C1213:E1213</xm:f>
              <xm:sqref>K1213</xm:sqref>
            </x14:sparkline>
          </x14:sparklines>
        </x14:sparklineGroup>
        <x14:sparklineGroup type="column" displayEmptyCellsAs="gap">
          <x14:colorSeries rgb="FF000000"/>
          <x14:sparklines>
            <x14:sparkline>
              <xm:f>SPARKLINE!C1214:E1214</xm:f>
              <xm:sqref>K1214</xm:sqref>
            </x14:sparkline>
          </x14:sparklines>
        </x14:sparklineGroup>
        <x14:sparklineGroup type="column" displayEmptyCellsAs="gap">
          <x14:colorSeries rgb="FF000000"/>
          <x14:sparklines>
            <x14:sparkline>
              <xm:f>SPARKLINE!C1215:E1215</xm:f>
              <xm:sqref>K1215</xm:sqref>
            </x14:sparkline>
          </x14:sparklines>
        </x14:sparklineGroup>
        <x14:sparklineGroup type="column" displayEmptyCellsAs="gap">
          <x14:colorSeries rgb="FF000000"/>
          <x14:sparklines>
            <x14:sparkline>
              <xm:f>SPARKLINE!C1216:E1216</xm:f>
              <xm:sqref>K1216</xm:sqref>
            </x14:sparkline>
          </x14:sparklines>
        </x14:sparklineGroup>
        <x14:sparklineGroup type="column" displayEmptyCellsAs="gap">
          <x14:colorSeries rgb="FF000000"/>
          <x14:sparklines>
            <x14:sparkline>
              <xm:f>SPARKLINE!C1217:E1217</xm:f>
              <xm:sqref>K1217</xm:sqref>
            </x14:sparkline>
          </x14:sparklines>
        </x14:sparklineGroup>
        <x14:sparklineGroup type="column" displayEmptyCellsAs="gap">
          <x14:colorSeries rgb="FF000000"/>
          <x14:sparklines>
            <x14:sparkline>
              <xm:f>SPARKLINE!C1218:E1218</xm:f>
              <xm:sqref>K1218</xm:sqref>
            </x14:sparkline>
          </x14:sparklines>
        </x14:sparklineGroup>
        <x14:sparklineGroup type="column" displayEmptyCellsAs="gap">
          <x14:colorSeries rgb="FF000000"/>
          <x14:sparklines>
            <x14:sparkline>
              <xm:f>SPARKLINE!C1219:E1219</xm:f>
              <xm:sqref>K1219</xm:sqref>
            </x14:sparkline>
          </x14:sparklines>
        </x14:sparklineGroup>
        <x14:sparklineGroup type="column" displayEmptyCellsAs="gap">
          <x14:colorSeries rgb="FF000000"/>
          <x14:sparklines>
            <x14:sparkline>
              <xm:f>SPARKLINE!C1220:E1220</xm:f>
              <xm:sqref>K1220</xm:sqref>
            </x14:sparkline>
          </x14:sparklines>
        </x14:sparklineGroup>
        <x14:sparklineGroup type="column" displayEmptyCellsAs="gap">
          <x14:colorSeries rgb="FF000000"/>
          <x14:sparklines>
            <x14:sparkline>
              <xm:f>SPARKLINE!C1221:E1221</xm:f>
              <xm:sqref>K1221</xm:sqref>
            </x14:sparkline>
          </x14:sparklines>
        </x14:sparklineGroup>
        <x14:sparklineGroup type="column" displayEmptyCellsAs="gap">
          <x14:colorSeries rgb="FF000000"/>
          <x14:sparklines>
            <x14:sparkline>
              <xm:f>SPARKLINE!C1222:E1222</xm:f>
              <xm:sqref>K1222</xm:sqref>
            </x14:sparkline>
          </x14:sparklines>
        </x14:sparklineGroup>
        <x14:sparklineGroup type="column" displayEmptyCellsAs="gap">
          <x14:colorSeries rgb="FF000000"/>
          <x14:sparklines>
            <x14:sparkline>
              <xm:f>SPARKLINE!C1223:E1223</xm:f>
              <xm:sqref>K1223</xm:sqref>
            </x14:sparkline>
          </x14:sparklines>
        </x14:sparklineGroup>
        <x14:sparklineGroup type="column" displayEmptyCellsAs="gap">
          <x14:colorSeries rgb="FF000000"/>
          <x14:sparklines>
            <x14:sparkline>
              <xm:f>SPARKLINE!C1224:E1224</xm:f>
              <xm:sqref>K1224</xm:sqref>
            </x14:sparkline>
          </x14:sparklines>
        </x14:sparklineGroup>
        <x14:sparklineGroup type="column" displayEmptyCellsAs="gap">
          <x14:colorSeries rgb="FF000000"/>
          <x14:sparklines>
            <x14:sparkline>
              <xm:f>SPARKLINE!C1225:E1225</xm:f>
              <xm:sqref>K1225</xm:sqref>
            </x14:sparkline>
          </x14:sparklines>
        </x14:sparklineGroup>
        <x14:sparklineGroup type="column" displayEmptyCellsAs="gap">
          <x14:colorSeries rgb="FF000000"/>
          <x14:sparklines>
            <x14:sparkline>
              <xm:f>SPARKLINE!C1226:E1226</xm:f>
              <xm:sqref>K1226</xm:sqref>
            </x14:sparkline>
          </x14:sparklines>
        </x14:sparklineGroup>
        <x14:sparklineGroup type="column" displayEmptyCellsAs="gap">
          <x14:colorSeries rgb="FF000000"/>
          <x14:sparklines>
            <x14:sparkline>
              <xm:f>SPARKLINE!C1227:E1227</xm:f>
              <xm:sqref>K1227</xm:sqref>
            </x14:sparkline>
          </x14:sparklines>
        </x14:sparklineGroup>
        <x14:sparklineGroup type="column" displayEmptyCellsAs="gap">
          <x14:colorSeries rgb="FF000000"/>
          <x14:sparklines>
            <x14:sparkline>
              <xm:f>SPARKLINE!C1228:E1228</xm:f>
              <xm:sqref>K1228</xm:sqref>
            </x14:sparkline>
          </x14:sparklines>
        </x14:sparklineGroup>
        <x14:sparklineGroup type="column" displayEmptyCellsAs="gap">
          <x14:colorSeries rgb="FF000000"/>
          <x14:sparklines>
            <x14:sparkline>
              <xm:f>SPARKLINE!C1229:E1229</xm:f>
              <xm:sqref>K1229</xm:sqref>
            </x14:sparkline>
          </x14:sparklines>
        </x14:sparklineGroup>
        <x14:sparklineGroup type="column" displayEmptyCellsAs="gap">
          <x14:colorSeries rgb="FF000000"/>
          <x14:sparklines>
            <x14:sparkline>
              <xm:f>SPARKLINE!C1230:E1230</xm:f>
              <xm:sqref>K1230</xm:sqref>
            </x14:sparkline>
          </x14:sparklines>
        </x14:sparklineGroup>
        <x14:sparklineGroup type="column" displayEmptyCellsAs="gap">
          <x14:colorSeries rgb="FF000000"/>
          <x14:sparklines>
            <x14:sparkline>
              <xm:f>SPARKLINE!C1231:E1231</xm:f>
              <xm:sqref>K1231</xm:sqref>
            </x14:sparkline>
          </x14:sparklines>
        </x14:sparklineGroup>
        <x14:sparklineGroup type="column" displayEmptyCellsAs="gap">
          <x14:colorSeries rgb="FF000000"/>
          <x14:sparklines>
            <x14:sparkline>
              <xm:f>SPARKLINE!C1232:E1232</xm:f>
              <xm:sqref>K1232</xm:sqref>
            </x14:sparkline>
          </x14:sparklines>
        </x14:sparklineGroup>
        <x14:sparklineGroup type="column" displayEmptyCellsAs="gap">
          <x14:colorSeries rgb="FF000000"/>
          <x14:sparklines>
            <x14:sparkline>
              <xm:f>SPARKLINE!C1233:E1233</xm:f>
              <xm:sqref>K1233</xm:sqref>
            </x14:sparkline>
          </x14:sparklines>
        </x14:sparklineGroup>
        <x14:sparklineGroup type="column" displayEmptyCellsAs="gap">
          <x14:colorSeries rgb="FF000000"/>
          <x14:sparklines>
            <x14:sparkline>
              <xm:f>SPARKLINE!C1234:E1234</xm:f>
              <xm:sqref>K1234</xm:sqref>
            </x14:sparkline>
          </x14:sparklines>
        </x14:sparklineGroup>
        <x14:sparklineGroup type="column" displayEmptyCellsAs="gap">
          <x14:colorSeries rgb="FF000000"/>
          <x14:sparklines>
            <x14:sparkline>
              <xm:f>SPARKLINE!C1235:E1235</xm:f>
              <xm:sqref>K1235</xm:sqref>
            </x14:sparkline>
          </x14:sparklines>
        </x14:sparklineGroup>
        <x14:sparklineGroup type="column" displayEmptyCellsAs="gap">
          <x14:colorSeries rgb="FF000000"/>
          <x14:sparklines>
            <x14:sparkline>
              <xm:f>SPARKLINE!C1236:E1236</xm:f>
              <xm:sqref>K1236</xm:sqref>
            </x14:sparkline>
          </x14:sparklines>
        </x14:sparklineGroup>
        <x14:sparklineGroup type="column" displayEmptyCellsAs="gap">
          <x14:colorSeries rgb="FF000000"/>
          <x14:sparklines>
            <x14:sparkline>
              <xm:f>SPARKLINE!C1237:E1237</xm:f>
              <xm:sqref>K1237</xm:sqref>
            </x14:sparkline>
          </x14:sparklines>
        </x14:sparklineGroup>
        <x14:sparklineGroup type="column" displayEmptyCellsAs="gap">
          <x14:colorSeries rgb="FF000000"/>
          <x14:sparklines>
            <x14:sparkline>
              <xm:f>SPARKLINE!C1238:E1238</xm:f>
              <xm:sqref>K1238</xm:sqref>
            </x14:sparkline>
          </x14:sparklines>
        </x14:sparklineGroup>
        <x14:sparklineGroup type="column" displayEmptyCellsAs="gap">
          <x14:colorSeries rgb="FF000000"/>
          <x14:sparklines>
            <x14:sparkline>
              <xm:f>SPARKLINE!C1239:E1239</xm:f>
              <xm:sqref>K1239</xm:sqref>
            </x14:sparkline>
          </x14:sparklines>
        </x14:sparklineGroup>
        <x14:sparklineGroup type="column" displayEmptyCellsAs="gap">
          <x14:colorSeries rgb="FF000000"/>
          <x14:sparklines>
            <x14:sparkline>
              <xm:f>SPARKLINE!C1240:E1240</xm:f>
              <xm:sqref>K1240</xm:sqref>
            </x14:sparkline>
          </x14:sparklines>
        </x14:sparklineGroup>
        <x14:sparklineGroup type="column" displayEmptyCellsAs="gap">
          <x14:colorSeries rgb="FF000000"/>
          <x14:sparklines>
            <x14:sparkline>
              <xm:f>SPARKLINE!C1241:E1241</xm:f>
              <xm:sqref>K1241</xm:sqref>
            </x14:sparkline>
          </x14:sparklines>
        </x14:sparklineGroup>
        <x14:sparklineGroup type="column" displayEmptyCellsAs="gap">
          <x14:colorSeries rgb="FF000000"/>
          <x14:sparklines>
            <x14:sparkline>
              <xm:f>SPARKLINE!C1242:E1242</xm:f>
              <xm:sqref>K1242</xm:sqref>
            </x14:sparkline>
          </x14:sparklines>
        </x14:sparklineGroup>
        <x14:sparklineGroup type="column" displayEmptyCellsAs="gap">
          <x14:colorSeries rgb="FF000000"/>
          <x14:sparklines>
            <x14:sparkline>
              <xm:f>SPARKLINE!C1243:E1243</xm:f>
              <xm:sqref>K1243</xm:sqref>
            </x14:sparkline>
          </x14:sparklines>
        </x14:sparklineGroup>
        <x14:sparklineGroup type="column" displayEmptyCellsAs="gap">
          <x14:colorSeries rgb="FF000000"/>
          <x14:sparklines>
            <x14:sparkline>
              <xm:f>SPARKLINE!C1244:E1244</xm:f>
              <xm:sqref>K1244</xm:sqref>
            </x14:sparkline>
          </x14:sparklines>
        </x14:sparklineGroup>
        <x14:sparklineGroup type="column" displayEmptyCellsAs="gap">
          <x14:colorSeries rgb="FF000000"/>
          <x14:sparklines>
            <x14:sparkline>
              <xm:f>SPARKLINE!C1245:E1245</xm:f>
              <xm:sqref>K1245</xm:sqref>
            </x14:sparkline>
          </x14:sparklines>
        </x14:sparklineGroup>
        <x14:sparklineGroup type="column" displayEmptyCellsAs="gap">
          <x14:colorSeries rgb="FF000000"/>
          <x14:sparklines>
            <x14:sparkline>
              <xm:f>SPARKLINE!C1246:E1246</xm:f>
              <xm:sqref>K1246</xm:sqref>
            </x14:sparkline>
          </x14:sparklines>
        </x14:sparklineGroup>
        <x14:sparklineGroup type="column" displayEmptyCellsAs="gap">
          <x14:colorSeries rgb="FF000000"/>
          <x14:sparklines>
            <x14:sparkline>
              <xm:f>SPARKLINE!C1247:E1247</xm:f>
              <xm:sqref>K1247</xm:sqref>
            </x14:sparkline>
          </x14:sparklines>
        </x14:sparklineGroup>
        <x14:sparklineGroup type="column" displayEmptyCellsAs="gap">
          <x14:colorSeries rgb="FF000000"/>
          <x14:sparklines>
            <x14:sparkline>
              <xm:f>SPARKLINE!C1248:E1248</xm:f>
              <xm:sqref>K1248</xm:sqref>
            </x14:sparkline>
          </x14:sparklines>
        </x14:sparklineGroup>
        <x14:sparklineGroup type="column" displayEmptyCellsAs="gap">
          <x14:colorSeries rgb="FF000000"/>
          <x14:sparklines>
            <x14:sparkline>
              <xm:f>SPARKLINE!C1249:E1249</xm:f>
              <xm:sqref>K1249</xm:sqref>
            </x14:sparkline>
          </x14:sparklines>
        </x14:sparklineGroup>
        <x14:sparklineGroup type="column" displayEmptyCellsAs="gap">
          <x14:colorSeries rgb="FF000000"/>
          <x14:sparklines>
            <x14:sparkline>
              <xm:f>SPARKLINE!C1250:E1250</xm:f>
              <xm:sqref>K1250</xm:sqref>
            </x14:sparkline>
          </x14:sparklines>
        </x14:sparklineGroup>
        <x14:sparklineGroup type="column" displayEmptyCellsAs="gap">
          <x14:colorSeries rgb="FF000000"/>
          <x14:sparklines>
            <x14:sparkline>
              <xm:f>SPARKLINE!C1251:E1251</xm:f>
              <xm:sqref>K1251</xm:sqref>
            </x14:sparkline>
          </x14:sparklines>
        </x14:sparklineGroup>
        <x14:sparklineGroup type="column" displayEmptyCellsAs="gap">
          <x14:colorSeries rgb="FF000000"/>
          <x14:sparklines>
            <x14:sparkline>
              <xm:f>SPARKLINE!C1252:E1252</xm:f>
              <xm:sqref>K1252</xm:sqref>
            </x14:sparkline>
          </x14:sparklines>
        </x14:sparklineGroup>
        <x14:sparklineGroup type="column" displayEmptyCellsAs="gap">
          <x14:colorSeries rgb="FF000000"/>
          <x14:sparklines>
            <x14:sparkline>
              <xm:f>SPARKLINE!C1253:E1253</xm:f>
              <xm:sqref>K1253</xm:sqref>
            </x14:sparkline>
          </x14:sparklines>
        </x14:sparklineGroup>
        <x14:sparklineGroup type="column" displayEmptyCellsAs="gap">
          <x14:colorSeries rgb="FF000000"/>
          <x14:sparklines>
            <x14:sparkline>
              <xm:f>SPARKLINE!C1254:E1254</xm:f>
              <xm:sqref>K1254</xm:sqref>
            </x14:sparkline>
          </x14:sparklines>
        </x14:sparklineGroup>
        <x14:sparklineGroup type="column" displayEmptyCellsAs="gap">
          <x14:colorSeries rgb="FF000000"/>
          <x14:sparklines>
            <x14:sparkline>
              <xm:f>SPARKLINE!C1255:E1255</xm:f>
              <xm:sqref>K1255</xm:sqref>
            </x14:sparkline>
          </x14:sparklines>
        </x14:sparklineGroup>
        <x14:sparklineGroup type="column" displayEmptyCellsAs="gap">
          <x14:colorSeries rgb="FF000000"/>
          <x14:sparklines>
            <x14:sparkline>
              <xm:f>SPARKLINE!C1256:E1256</xm:f>
              <xm:sqref>K1256</xm:sqref>
            </x14:sparkline>
          </x14:sparklines>
        </x14:sparklineGroup>
        <x14:sparklineGroup type="column" displayEmptyCellsAs="gap">
          <x14:colorSeries rgb="FF000000"/>
          <x14:sparklines>
            <x14:sparkline>
              <xm:f>SPARKLINE!C1257:E1257</xm:f>
              <xm:sqref>K1257</xm:sqref>
            </x14:sparkline>
          </x14:sparklines>
        </x14:sparklineGroup>
        <x14:sparklineGroup type="column" displayEmptyCellsAs="gap">
          <x14:colorSeries rgb="FF000000"/>
          <x14:sparklines>
            <x14:sparkline>
              <xm:f>SPARKLINE!C1258:E1258</xm:f>
              <xm:sqref>K1258</xm:sqref>
            </x14:sparkline>
          </x14:sparklines>
        </x14:sparklineGroup>
        <x14:sparklineGroup type="column" displayEmptyCellsAs="gap">
          <x14:colorSeries rgb="FF000000"/>
          <x14:sparklines>
            <x14:sparkline>
              <xm:f>SPARKLINE!C1259:E1259</xm:f>
              <xm:sqref>K1259</xm:sqref>
            </x14:sparkline>
          </x14:sparklines>
        </x14:sparklineGroup>
        <x14:sparklineGroup type="column" displayEmptyCellsAs="gap">
          <x14:colorSeries rgb="FF000000"/>
          <x14:sparklines>
            <x14:sparkline>
              <xm:f>SPARKLINE!C1260:E1260</xm:f>
              <xm:sqref>K1260</xm:sqref>
            </x14:sparkline>
          </x14:sparklines>
        </x14:sparklineGroup>
        <x14:sparklineGroup type="column" displayEmptyCellsAs="gap">
          <x14:colorSeries rgb="FF000000"/>
          <x14:sparklines>
            <x14:sparkline>
              <xm:f>SPARKLINE!C1261:E1261</xm:f>
              <xm:sqref>K1261</xm:sqref>
            </x14:sparkline>
          </x14:sparklines>
        </x14:sparklineGroup>
        <x14:sparklineGroup type="column" displayEmptyCellsAs="gap">
          <x14:colorSeries rgb="FF000000"/>
          <x14:sparklines>
            <x14:sparkline>
              <xm:f>SPARKLINE!C1262:E1262</xm:f>
              <xm:sqref>K1262</xm:sqref>
            </x14:sparkline>
          </x14:sparklines>
        </x14:sparklineGroup>
        <x14:sparklineGroup type="column" displayEmptyCellsAs="gap">
          <x14:colorSeries rgb="FF000000"/>
          <x14:sparklines>
            <x14:sparkline>
              <xm:f>SPARKLINE!C1263:E1263</xm:f>
              <xm:sqref>K1263</xm:sqref>
            </x14:sparkline>
          </x14:sparklines>
        </x14:sparklineGroup>
        <x14:sparklineGroup type="column" displayEmptyCellsAs="gap">
          <x14:colorSeries rgb="FF000000"/>
          <x14:sparklines>
            <x14:sparkline>
              <xm:f>SPARKLINE!C1264:E1264</xm:f>
              <xm:sqref>K1264</xm:sqref>
            </x14:sparkline>
          </x14:sparklines>
        </x14:sparklineGroup>
        <x14:sparklineGroup type="column" displayEmptyCellsAs="gap">
          <x14:colorSeries rgb="FF000000"/>
          <x14:sparklines>
            <x14:sparkline>
              <xm:f>SPARKLINE!C1265:E1265</xm:f>
              <xm:sqref>K1265</xm:sqref>
            </x14:sparkline>
          </x14:sparklines>
        </x14:sparklineGroup>
        <x14:sparklineGroup type="column" displayEmptyCellsAs="gap">
          <x14:colorSeries rgb="FF000000"/>
          <x14:sparklines>
            <x14:sparkline>
              <xm:f>SPARKLINE!C1266:E1266</xm:f>
              <xm:sqref>K1266</xm:sqref>
            </x14:sparkline>
          </x14:sparklines>
        </x14:sparklineGroup>
        <x14:sparklineGroup type="column" displayEmptyCellsAs="gap">
          <x14:colorSeries rgb="FF000000"/>
          <x14:sparklines>
            <x14:sparkline>
              <xm:f>SPARKLINE!C1267:E1267</xm:f>
              <xm:sqref>K1267</xm:sqref>
            </x14:sparkline>
          </x14:sparklines>
        </x14:sparklineGroup>
        <x14:sparklineGroup type="column" displayEmptyCellsAs="gap">
          <x14:colorSeries rgb="FF000000"/>
          <x14:sparklines>
            <x14:sparkline>
              <xm:f>SPARKLINE!C1268:E1268</xm:f>
              <xm:sqref>K1268</xm:sqref>
            </x14:sparkline>
          </x14:sparklines>
        </x14:sparklineGroup>
        <x14:sparklineGroup type="column" displayEmptyCellsAs="gap">
          <x14:colorSeries rgb="FF000000"/>
          <x14:sparklines>
            <x14:sparkline>
              <xm:f>SPARKLINE!C1269:E1269</xm:f>
              <xm:sqref>K1269</xm:sqref>
            </x14:sparkline>
          </x14:sparklines>
        </x14:sparklineGroup>
        <x14:sparklineGroup type="column" displayEmptyCellsAs="gap">
          <x14:colorSeries rgb="FF000000"/>
          <x14:sparklines>
            <x14:sparkline>
              <xm:f>SPARKLINE!C1270:E1270</xm:f>
              <xm:sqref>K1270</xm:sqref>
            </x14:sparkline>
          </x14:sparklines>
        </x14:sparklineGroup>
        <x14:sparklineGroup type="column" displayEmptyCellsAs="gap">
          <x14:colorSeries rgb="FF000000"/>
          <x14:sparklines>
            <x14:sparkline>
              <xm:f>SPARKLINE!C1271:E1271</xm:f>
              <xm:sqref>K1271</xm:sqref>
            </x14:sparkline>
          </x14:sparklines>
        </x14:sparklineGroup>
        <x14:sparklineGroup type="column" displayEmptyCellsAs="gap">
          <x14:colorSeries rgb="FF000000"/>
          <x14:sparklines>
            <x14:sparkline>
              <xm:f>SPARKLINE!C1272:E1272</xm:f>
              <xm:sqref>K1272</xm:sqref>
            </x14:sparkline>
          </x14:sparklines>
        </x14:sparklineGroup>
        <x14:sparklineGroup type="column" displayEmptyCellsAs="gap">
          <x14:colorSeries rgb="FF000000"/>
          <x14:sparklines>
            <x14:sparkline>
              <xm:f>SPARKLINE!C1273:E1273</xm:f>
              <xm:sqref>K1273</xm:sqref>
            </x14:sparkline>
          </x14:sparklines>
        </x14:sparklineGroup>
        <x14:sparklineGroup type="column" displayEmptyCellsAs="gap">
          <x14:colorSeries rgb="FF000000"/>
          <x14:sparklines>
            <x14:sparkline>
              <xm:f>SPARKLINE!C1274:E1274</xm:f>
              <xm:sqref>K1274</xm:sqref>
            </x14:sparkline>
          </x14:sparklines>
        </x14:sparklineGroup>
        <x14:sparklineGroup type="column" displayEmptyCellsAs="gap">
          <x14:colorSeries rgb="FF000000"/>
          <x14:sparklines>
            <x14:sparkline>
              <xm:f>SPARKLINE!C1275:E1275</xm:f>
              <xm:sqref>K1275</xm:sqref>
            </x14:sparkline>
          </x14:sparklines>
        </x14:sparklineGroup>
        <x14:sparklineGroup type="column" displayEmptyCellsAs="gap">
          <x14:colorSeries rgb="FF000000"/>
          <x14:sparklines>
            <x14:sparkline>
              <xm:f>SPARKLINE!C1276:E1276</xm:f>
              <xm:sqref>K1276</xm:sqref>
            </x14:sparkline>
          </x14:sparklines>
        </x14:sparklineGroup>
        <x14:sparklineGroup type="column" displayEmptyCellsAs="gap">
          <x14:colorSeries rgb="FF000000"/>
          <x14:sparklines>
            <x14:sparkline>
              <xm:f>SPARKLINE!C1277:E1277</xm:f>
              <xm:sqref>K1277</xm:sqref>
            </x14:sparkline>
          </x14:sparklines>
        </x14:sparklineGroup>
        <x14:sparklineGroup type="column" displayEmptyCellsAs="gap">
          <x14:colorSeries rgb="FF000000"/>
          <x14:sparklines>
            <x14:sparkline>
              <xm:f>SPARKLINE!C1278:E1278</xm:f>
              <xm:sqref>K1278</xm:sqref>
            </x14:sparkline>
          </x14:sparklines>
        </x14:sparklineGroup>
        <x14:sparklineGroup type="column" displayEmptyCellsAs="gap">
          <x14:colorSeries rgb="FF000000"/>
          <x14:sparklines>
            <x14:sparkline>
              <xm:f>SPARKLINE!C1279:E1279</xm:f>
              <xm:sqref>K1279</xm:sqref>
            </x14:sparkline>
          </x14:sparklines>
        </x14:sparklineGroup>
        <x14:sparklineGroup type="column" displayEmptyCellsAs="gap">
          <x14:colorSeries rgb="FF000000"/>
          <x14:sparklines>
            <x14:sparkline>
              <xm:f>SPARKLINE!C1280:E1280</xm:f>
              <xm:sqref>K1280</xm:sqref>
            </x14:sparkline>
          </x14:sparklines>
        </x14:sparklineGroup>
        <x14:sparklineGroup type="column" displayEmptyCellsAs="gap">
          <x14:colorSeries rgb="FF000000"/>
          <x14:sparklines>
            <x14:sparkline>
              <xm:f>SPARKLINE!C1281:E1281</xm:f>
              <xm:sqref>K1281</xm:sqref>
            </x14:sparkline>
          </x14:sparklines>
        </x14:sparklineGroup>
        <x14:sparklineGroup type="column" displayEmptyCellsAs="gap">
          <x14:colorSeries rgb="FF000000"/>
          <x14:sparklines>
            <x14:sparkline>
              <xm:f>SPARKLINE!C1282:E1282</xm:f>
              <xm:sqref>K1282</xm:sqref>
            </x14:sparkline>
          </x14:sparklines>
        </x14:sparklineGroup>
        <x14:sparklineGroup type="column" displayEmptyCellsAs="gap">
          <x14:colorSeries rgb="FF000000"/>
          <x14:sparklines>
            <x14:sparkline>
              <xm:f>SPARKLINE!C1283:E1283</xm:f>
              <xm:sqref>K1283</xm:sqref>
            </x14:sparkline>
          </x14:sparklines>
        </x14:sparklineGroup>
        <x14:sparklineGroup type="column" displayEmptyCellsAs="gap">
          <x14:colorSeries rgb="FF000000"/>
          <x14:sparklines>
            <x14:sparkline>
              <xm:f>SPARKLINE!C1284:E1284</xm:f>
              <xm:sqref>K1284</xm:sqref>
            </x14:sparkline>
          </x14:sparklines>
        </x14:sparklineGroup>
        <x14:sparklineGroup type="column" displayEmptyCellsAs="gap">
          <x14:colorSeries rgb="FF000000"/>
          <x14:sparklines>
            <x14:sparkline>
              <xm:f>SPARKLINE!C1285:E1285</xm:f>
              <xm:sqref>K1285</xm:sqref>
            </x14:sparkline>
          </x14:sparklines>
        </x14:sparklineGroup>
        <x14:sparklineGroup type="column" displayEmptyCellsAs="gap">
          <x14:colorSeries rgb="FF000000"/>
          <x14:sparklines>
            <x14:sparkline>
              <xm:f>SPARKLINE!C1286:E1286</xm:f>
              <xm:sqref>K1286</xm:sqref>
            </x14:sparkline>
          </x14:sparklines>
        </x14:sparklineGroup>
        <x14:sparklineGroup type="column" displayEmptyCellsAs="gap">
          <x14:colorSeries rgb="FF000000"/>
          <x14:sparklines>
            <x14:sparkline>
              <xm:f>SPARKLINE!C1287:E1287</xm:f>
              <xm:sqref>K1287</xm:sqref>
            </x14:sparkline>
          </x14:sparklines>
        </x14:sparklineGroup>
        <x14:sparklineGroup type="column" displayEmptyCellsAs="gap">
          <x14:colorSeries rgb="FF000000"/>
          <x14:sparklines>
            <x14:sparkline>
              <xm:f>SPARKLINE!C1288:E1288</xm:f>
              <xm:sqref>K1288</xm:sqref>
            </x14:sparkline>
          </x14:sparklines>
        </x14:sparklineGroup>
        <x14:sparklineGroup type="column" displayEmptyCellsAs="gap">
          <x14:colorSeries rgb="FF000000"/>
          <x14:sparklines>
            <x14:sparkline>
              <xm:f>SPARKLINE!C1289:E1289</xm:f>
              <xm:sqref>K1289</xm:sqref>
            </x14:sparkline>
          </x14:sparklines>
        </x14:sparklineGroup>
        <x14:sparklineGroup type="column" displayEmptyCellsAs="gap">
          <x14:colorSeries rgb="FF000000"/>
          <x14:sparklines>
            <x14:sparkline>
              <xm:f>SPARKLINE!C1290:E1290</xm:f>
              <xm:sqref>K1290</xm:sqref>
            </x14:sparkline>
          </x14:sparklines>
        </x14:sparklineGroup>
        <x14:sparklineGroup type="column" displayEmptyCellsAs="gap">
          <x14:colorSeries rgb="FF000000"/>
          <x14:sparklines>
            <x14:sparkline>
              <xm:f>SPARKLINE!C1291:E1291</xm:f>
              <xm:sqref>K1291</xm:sqref>
            </x14:sparkline>
          </x14:sparklines>
        </x14:sparklineGroup>
        <x14:sparklineGroup type="column" displayEmptyCellsAs="gap">
          <x14:colorSeries rgb="FF000000"/>
          <x14:sparklines>
            <x14:sparkline>
              <xm:f>SPARKLINE!C1292:E1292</xm:f>
              <xm:sqref>K1292</xm:sqref>
            </x14:sparkline>
          </x14:sparklines>
        </x14:sparklineGroup>
        <x14:sparklineGroup type="column" displayEmptyCellsAs="gap">
          <x14:colorSeries rgb="FF000000"/>
          <x14:sparklines>
            <x14:sparkline>
              <xm:f>SPARKLINE!C1293:E1293</xm:f>
              <xm:sqref>K1293</xm:sqref>
            </x14:sparkline>
          </x14:sparklines>
        </x14:sparklineGroup>
        <x14:sparklineGroup type="column" displayEmptyCellsAs="gap">
          <x14:colorSeries rgb="FF000000"/>
          <x14:sparklines>
            <x14:sparkline>
              <xm:f>SPARKLINE!C1294:E1294</xm:f>
              <xm:sqref>K1294</xm:sqref>
            </x14:sparkline>
          </x14:sparklines>
        </x14:sparklineGroup>
        <x14:sparklineGroup type="column" displayEmptyCellsAs="gap">
          <x14:colorSeries rgb="FF000000"/>
          <x14:sparklines>
            <x14:sparkline>
              <xm:f>SPARKLINE!C1295:E1295</xm:f>
              <xm:sqref>K1295</xm:sqref>
            </x14:sparkline>
          </x14:sparklines>
        </x14:sparklineGroup>
        <x14:sparklineGroup type="column" displayEmptyCellsAs="gap">
          <x14:colorSeries rgb="FF000000"/>
          <x14:sparklines>
            <x14:sparkline>
              <xm:f>SPARKLINE!C1296:E1296</xm:f>
              <xm:sqref>K1296</xm:sqref>
            </x14:sparkline>
          </x14:sparklines>
        </x14:sparklineGroup>
        <x14:sparklineGroup type="column" displayEmptyCellsAs="gap">
          <x14:colorSeries rgb="FF000000"/>
          <x14:sparklines>
            <x14:sparkline>
              <xm:f>SPARKLINE!C1297:E1297</xm:f>
              <xm:sqref>K1297</xm:sqref>
            </x14:sparkline>
          </x14:sparklines>
        </x14:sparklineGroup>
        <x14:sparklineGroup type="column" displayEmptyCellsAs="gap">
          <x14:colorSeries rgb="FF000000"/>
          <x14:sparklines>
            <x14:sparkline>
              <xm:f>SPARKLINE!C1298:E1298</xm:f>
              <xm:sqref>K1298</xm:sqref>
            </x14:sparkline>
          </x14:sparklines>
        </x14:sparklineGroup>
        <x14:sparklineGroup type="column" displayEmptyCellsAs="gap">
          <x14:colorSeries rgb="FF000000"/>
          <x14:sparklines>
            <x14:sparkline>
              <xm:f>SPARKLINE!C1299:E1299</xm:f>
              <xm:sqref>K1299</xm:sqref>
            </x14:sparkline>
          </x14:sparklines>
        </x14:sparklineGroup>
        <x14:sparklineGroup type="column" displayEmptyCellsAs="gap">
          <x14:colorSeries rgb="FF000000"/>
          <x14:sparklines>
            <x14:sparkline>
              <xm:f>SPARKLINE!C1300:E1300</xm:f>
              <xm:sqref>K1300</xm:sqref>
            </x14:sparkline>
          </x14:sparklines>
        </x14:sparklineGroup>
        <x14:sparklineGroup type="column" displayEmptyCellsAs="gap">
          <x14:colorSeries rgb="FF000000"/>
          <x14:sparklines>
            <x14:sparkline>
              <xm:f>SPARKLINE!C1301:E1301</xm:f>
              <xm:sqref>K1301</xm:sqref>
            </x14:sparkline>
          </x14:sparklines>
        </x14:sparklineGroup>
        <x14:sparklineGroup type="column" displayEmptyCellsAs="gap">
          <x14:colorSeries rgb="FF000000"/>
          <x14:sparklines>
            <x14:sparkline>
              <xm:f>SPARKLINE!C1302:E1302</xm:f>
              <xm:sqref>K1302</xm:sqref>
            </x14:sparkline>
          </x14:sparklines>
        </x14:sparklineGroup>
        <x14:sparklineGroup type="column" displayEmptyCellsAs="gap">
          <x14:colorSeries rgb="FF000000"/>
          <x14:sparklines>
            <x14:sparkline>
              <xm:f>SPARKLINE!C1303:E1303</xm:f>
              <xm:sqref>K1303</xm:sqref>
            </x14:sparkline>
          </x14:sparklines>
        </x14:sparklineGroup>
        <x14:sparklineGroup type="column" displayEmptyCellsAs="gap">
          <x14:colorSeries rgb="FF000000"/>
          <x14:sparklines>
            <x14:sparkline>
              <xm:f>SPARKLINE!C1304:E1304</xm:f>
              <xm:sqref>K1304</xm:sqref>
            </x14:sparkline>
          </x14:sparklines>
        </x14:sparklineGroup>
        <x14:sparklineGroup type="column" displayEmptyCellsAs="gap">
          <x14:colorSeries rgb="FF000000"/>
          <x14:sparklines>
            <x14:sparkline>
              <xm:f>SPARKLINE!C1305:E1305</xm:f>
              <xm:sqref>K1305</xm:sqref>
            </x14:sparkline>
          </x14:sparklines>
        </x14:sparklineGroup>
        <x14:sparklineGroup type="column" displayEmptyCellsAs="gap">
          <x14:colorSeries rgb="FF000000"/>
          <x14:sparklines>
            <x14:sparkline>
              <xm:f>SPARKLINE!C1306:E1306</xm:f>
              <xm:sqref>K1306</xm:sqref>
            </x14:sparkline>
          </x14:sparklines>
        </x14:sparklineGroup>
        <x14:sparklineGroup type="column" displayEmptyCellsAs="gap">
          <x14:colorSeries rgb="FF000000"/>
          <x14:sparklines>
            <x14:sparkline>
              <xm:f>SPARKLINE!C1307:E1307</xm:f>
              <xm:sqref>K1307</xm:sqref>
            </x14:sparkline>
          </x14:sparklines>
        </x14:sparklineGroup>
        <x14:sparklineGroup type="column" displayEmptyCellsAs="gap">
          <x14:colorSeries rgb="FF000000"/>
          <x14:sparklines>
            <x14:sparkline>
              <xm:f>SPARKLINE!C1308:E1308</xm:f>
              <xm:sqref>K1308</xm:sqref>
            </x14:sparkline>
          </x14:sparklines>
        </x14:sparklineGroup>
        <x14:sparklineGroup type="column" displayEmptyCellsAs="gap">
          <x14:colorSeries rgb="FF000000"/>
          <x14:sparklines>
            <x14:sparkline>
              <xm:f>SPARKLINE!C1309:E1309</xm:f>
              <xm:sqref>K1309</xm:sqref>
            </x14:sparkline>
          </x14:sparklines>
        </x14:sparklineGroup>
        <x14:sparklineGroup type="column" displayEmptyCellsAs="gap">
          <x14:colorSeries rgb="FF000000"/>
          <x14:sparklines>
            <x14:sparkline>
              <xm:f>SPARKLINE!C1310:E1310</xm:f>
              <xm:sqref>K1310</xm:sqref>
            </x14:sparkline>
          </x14:sparklines>
        </x14:sparklineGroup>
        <x14:sparklineGroup type="column" displayEmptyCellsAs="gap">
          <x14:colorSeries rgb="FF000000"/>
          <x14:sparklines>
            <x14:sparkline>
              <xm:f>SPARKLINE!C1311:E1311</xm:f>
              <xm:sqref>K1311</xm:sqref>
            </x14:sparkline>
          </x14:sparklines>
        </x14:sparklineGroup>
        <x14:sparklineGroup type="column" displayEmptyCellsAs="gap">
          <x14:colorSeries rgb="FF000000"/>
          <x14:sparklines>
            <x14:sparkline>
              <xm:f>SPARKLINE!C1312:E1312</xm:f>
              <xm:sqref>K1312</xm:sqref>
            </x14:sparkline>
          </x14:sparklines>
        </x14:sparklineGroup>
        <x14:sparklineGroup type="column" displayEmptyCellsAs="gap">
          <x14:colorSeries rgb="FF000000"/>
          <x14:sparklines>
            <x14:sparkline>
              <xm:f>SPARKLINE!C1313:E1313</xm:f>
              <xm:sqref>K1313</xm:sqref>
            </x14:sparkline>
          </x14:sparklines>
        </x14:sparklineGroup>
        <x14:sparklineGroup type="column" displayEmptyCellsAs="gap">
          <x14:colorSeries rgb="FF000000"/>
          <x14:sparklines>
            <x14:sparkline>
              <xm:f>SPARKLINE!C1314:E1314</xm:f>
              <xm:sqref>K1314</xm:sqref>
            </x14:sparkline>
          </x14:sparklines>
        </x14:sparklineGroup>
        <x14:sparklineGroup type="column" displayEmptyCellsAs="gap">
          <x14:colorSeries rgb="FF000000"/>
          <x14:sparklines>
            <x14:sparkline>
              <xm:f>SPARKLINE!C1315:E1315</xm:f>
              <xm:sqref>K1315</xm:sqref>
            </x14:sparkline>
          </x14:sparklines>
        </x14:sparklineGroup>
        <x14:sparklineGroup type="column" displayEmptyCellsAs="gap">
          <x14:colorSeries rgb="FF000000"/>
          <x14:sparklines>
            <x14:sparkline>
              <xm:f>SPARKLINE!C1316:E1316</xm:f>
              <xm:sqref>K1316</xm:sqref>
            </x14:sparkline>
          </x14:sparklines>
        </x14:sparklineGroup>
        <x14:sparklineGroup type="column" displayEmptyCellsAs="gap">
          <x14:colorSeries rgb="FF000000"/>
          <x14:sparklines>
            <x14:sparkline>
              <xm:f>SPARKLINE!C1317:E1317</xm:f>
              <xm:sqref>K1317</xm:sqref>
            </x14:sparkline>
          </x14:sparklines>
        </x14:sparklineGroup>
        <x14:sparklineGroup type="column" displayEmptyCellsAs="gap">
          <x14:colorSeries rgb="FF000000"/>
          <x14:sparklines>
            <x14:sparkline>
              <xm:f>SPARKLINE!C1318:E1318</xm:f>
              <xm:sqref>K1318</xm:sqref>
            </x14:sparkline>
          </x14:sparklines>
        </x14:sparklineGroup>
        <x14:sparklineGroup type="column" displayEmptyCellsAs="gap">
          <x14:colorSeries rgb="FF000000"/>
          <x14:sparklines>
            <x14:sparkline>
              <xm:f>SPARKLINE!C1319:E1319</xm:f>
              <xm:sqref>K1319</xm:sqref>
            </x14:sparkline>
          </x14:sparklines>
        </x14:sparklineGroup>
        <x14:sparklineGroup type="column" displayEmptyCellsAs="gap">
          <x14:colorSeries rgb="FF000000"/>
          <x14:sparklines>
            <x14:sparkline>
              <xm:f>SPARKLINE!C1320:E1320</xm:f>
              <xm:sqref>K1320</xm:sqref>
            </x14:sparkline>
          </x14:sparklines>
        </x14:sparklineGroup>
        <x14:sparklineGroup type="column" displayEmptyCellsAs="gap">
          <x14:colorSeries rgb="FF000000"/>
          <x14:sparklines>
            <x14:sparkline>
              <xm:f>SPARKLINE!C1321:E1321</xm:f>
              <xm:sqref>K1321</xm:sqref>
            </x14:sparkline>
          </x14:sparklines>
        </x14:sparklineGroup>
        <x14:sparklineGroup type="column" displayEmptyCellsAs="gap">
          <x14:colorSeries rgb="FF000000"/>
          <x14:sparklines>
            <x14:sparkline>
              <xm:f>SPARKLINE!C1322:E1322</xm:f>
              <xm:sqref>K1322</xm:sqref>
            </x14:sparkline>
          </x14:sparklines>
        </x14:sparklineGroup>
        <x14:sparklineGroup type="column" displayEmptyCellsAs="gap">
          <x14:colorSeries rgb="FF000000"/>
          <x14:sparklines>
            <x14:sparkline>
              <xm:f>SPARKLINE!C1323:E1323</xm:f>
              <xm:sqref>K1323</xm:sqref>
            </x14:sparkline>
          </x14:sparklines>
        </x14:sparklineGroup>
        <x14:sparklineGroup type="column" displayEmptyCellsAs="gap">
          <x14:colorSeries rgb="FF000000"/>
          <x14:sparklines>
            <x14:sparkline>
              <xm:f>SPARKLINE!C1324:E1324</xm:f>
              <xm:sqref>K1324</xm:sqref>
            </x14:sparkline>
          </x14:sparklines>
        </x14:sparklineGroup>
        <x14:sparklineGroup type="column" displayEmptyCellsAs="gap">
          <x14:colorSeries rgb="FF000000"/>
          <x14:sparklines>
            <x14:sparkline>
              <xm:f>SPARKLINE!C1325:E1325</xm:f>
              <xm:sqref>K1325</xm:sqref>
            </x14:sparkline>
          </x14:sparklines>
        </x14:sparklineGroup>
        <x14:sparklineGroup type="column" displayEmptyCellsAs="gap">
          <x14:colorSeries rgb="FF000000"/>
          <x14:sparklines>
            <x14:sparkline>
              <xm:f>SPARKLINE!C1326:E1326</xm:f>
              <xm:sqref>K1326</xm:sqref>
            </x14:sparkline>
          </x14:sparklines>
        </x14:sparklineGroup>
        <x14:sparklineGroup type="column" displayEmptyCellsAs="gap">
          <x14:colorSeries rgb="FF000000"/>
          <x14:sparklines>
            <x14:sparkline>
              <xm:f>SPARKLINE!C1327:E1327</xm:f>
              <xm:sqref>K1327</xm:sqref>
            </x14:sparkline>
          </x14:sparklines>
        </x14:sparklineGroup>
        <x14:sparklineGroup type="column" displayEmptyCellsAs="gap">
          <x14:colorSeries rgb="FF000000"/>
          <x14:sparklines>
            <x14:sparkline>
              <xm:f>SPARKLINE!C1328:E1328</xm:f>
              <xm:sqref>K1328</xm:sqref>
            </x14:sparkline>
          </x14:sparklines>
        </x14:sparklineGroup>
        <x14:sparklineGroup type="column" displayEmptyCellsAs="gap">
          <x14:colorSeries rgb="FF000000"/>
          <x14:sparklines>
            <x14:sparkline>
              <xm:f>SPARKLINE!C1329:E1329</xm:f>
              <xm:sqref>K1329</xm:sqref>
            </x14:sparkline>
          </x14:sparklines>
        </x14:sparklineGroup>
        <x14:sparklineGroup type="column" displayEmptyCellsAs="gap">
          <x14:colorSeries rgb="FF000000"/>
          <x14:sparklines>
            <x14:sparkline>
              <xm:f>SPARKLINE!C1330:E1330</xm:f>
              <xm:sqref>K1330</xm:sqref>
            </x14:sparkline>
          </x14:sparklines>
        </x14:sparklineGroup>
        <x14:sparklineGroup type="column" displayEmptyCellsAs="gap">
          <x14:colorSeries rgb="FF000000"/>
          <x14:sparklines>
            <x14:sparkline>
              <xm:f>SPARKLINE!C1331:E1331</xm:f>
              <xm:sqref>K1331</xm:sqref>
            </x14:sparkline>
          </x14:sparklines>
        </x14:sparklineGroup>
        <x14:sparklineGroup type="column" displayEmptyCellsAs="gap">
          <x14:colorSeries rgb="FF000000"/>
          <x14:sparklines>
            <x14:sparkline>
              <xm:f>SPARKLINE!C1332:E1332</xm:f>
              <xm:sqref>K1332</xm:sqref>
            </x14:sparkline>
          </x14:sparklines>
        </x14:sparklineGroup>
        <x14:sparklineGroup type="column" displayEmptyCellsAs="gap">
          <x14:colorSeries rgb="FF000000"/>
          <x14:sparklines>
            <x14:sparkline>
              <xm:f>SPARKLINE!C1333:E1333</xm:f>
              <xm:sqref>K1333</xm:sqref>
            </x14:sparkline>
          </x14:sparklines>
        </x14:sparklineGroup>
        <x14:sparklineGroup type="column" displayEmptyCellsAs="gap">
          <x14:colorSeries rgb="FF000000"/>
          <x14:sparklines>
            <x14:sparkline>
              <xm:f>SPARKLINE!C1334:E1334</xm:f>
              <xm:sqref>K1334</xm:sqref>
            </x14:sparkline>
          </x14:sparklines>
        </x14:sparklineGroup>
        <x14:sparklineGroup type="column" displayEmptyCellsAs="gap">
          <x14:colorSeries rgb="FF000000"/>
          <x14:sparklines>
            <x14:sparkline>
              <xm:f>SPARKLINE!C1335:E1335</xm:f>
              <xm:sqref>K1335</xm:sqref>
            </x14:sparkline>
          </x14:sparklines>
        </x14:sparklineGroup>
        <x14:sparklineGroup type="column" displayEmptyCellsAs="gap">
          <x14:colorSeries rgb="FF000000"/>
          <x14:sparklines>
            <x14:sparkline>
              <xm:f>SPARKLINE!C1336:E1336</xm:f>
              <xm:sqref>K1336</xm:sqref>
            </x14:sparkline>
          </x14:sparklines>
        </x14:sparklineGroup>
        <x14:sparklineGroup type="column" displayEmptyCellsAs="gap">
          <x14:colorSeries rgb="FF000000"/>
          <x14:sparklines>
            <x14:sparkline>
              <xm:f>SPARKLINE!C1337:E1337</xm:f>
              <xm:sqref>K1337</xm:sqref>
            </x14:sparkline>
          </x14:sparklines>
        </x14:sparklineGroup>
        <x14:sparklineGroup type="column" displayEmptyCellsAs="gap">
          <x14:colorSeries rgb="FF000000"/>
          <x14:sparklines>
            <x14:sparkline>
              <xm:f>SPARKLINE!C1338:E1338</xm:f>
              <xm:sqref>K1338</xm:sqref>
            </x14:sparkline>
          </x14:sparklines>
        </x14:sparklineGroup>
        <x14:sparklineGroup type="column" displayEmptyCellsAs="gap">
          <x14:colorSeries rgb="FF000000"/>
          <x14:sparklines>
            <x14:sparkline>
              <xm:f>SPARKLINE!C1339:E1339</xm:f>
              <xm:sqref>K1339</xm:sqref>
            </x14:sparkline>
          </x14:sparklines>
        </x14:sparklineGroup>
        <x14:sparklineGroup type="column" displayEmptyCellsAs="gap">
          <x14:colorSeries rgb="FF000000"/>
          <x14:sparklines>
            <x14:sparkline>
              <xm:f>SPARKLINE!C1340:E1340</xm:f>
              <xm:sqref>K1340</xm:sqref>
            </x14:sparkline>
          </x14:sparklines>
        </x14:sparklineGroup>
        <x14:sparklineGroup type="column" displayEmptyCellsAs="gap">
          <x14:colorSeries rgb="FF000000"/>
          <x14:sparklines>
            <x14:sparkline>
              <xm:f>SPARKLINE!C1341:E1341</xm:f>
              <xm:sqref>K1341</xm:sqref>
            </x14:sparkline>
          </x14:sparklines>
        </x14:sparklineGroup>
        <x14:sparklineGroup type="column" displayEmptyCellsAs="gap">
          <x14:colorSeries rgb="FF000000"/>
          <x14:sparklines>
            <x14:sparkline>
              <xm:f>SPARKLINE!C1342:E1342</xm:f>
              <xm:sqref>K1342</xm:sqref>
            </x14:sparkline>
          </x14:sparklines>
        </x14:sparklineGroup>
        <x14:sparklineGroup type="column" displayEmptyCellsAs="gap">
          <x14:colorSeries rgb="FF000000"/>
          <x14:sparklines>
            <x14:sparkline>
              <xm:f>SPARKLINE!C1343:E1343</xm:f>
              <xm:sqref>K1343</xm:sqref>
            </x14:sparkline>
          </x14:sparklines>
        </x14:sparklineGroup>
        <x14:sparklineGroup type="column" displayEmptyCellsAs="gap">
          <x14:colorSeries rgb="FF000000"/>
          <x14:sparklines>
            <x14:sparkline>
              <xm:f>SPARKLINE!C1344:E1344</xm:f>
              <xm:sqref>K1344</xm:sqref>
            </x14:sparkline>
          </x14:sparklines>
        </x14:sparklineGroup>
        <x14:sparklineGroup type="column" displayEmptyCellsAs="gap">
          <x14:colorSeries rgb="FF000000"/>
          <x14:sparklines>
            <x14:sparkline>
              <xm:f>SPARKLINE!C1345:E1345</xm:f>
              <xm:sqref>K1345</xm:sqref>
            </x14:sparkline>
          </x14:sparklines>
        </x14:sparklineGroup>
        <x14:sparklineGroup type="column" displayEmptyCellsAs="gap">
          <x14:colorSeries rgb="FF000000"/>
          <x14:sparklines>
            <x14:sparkline>
              <xm:f>SPARKLINE!C1346:E1346</xm:f>
              <xm:sqref>K1346</xm:sqref>
            </x14:sparkline>
          </x14:sparklines>
        </x14:sparklineGroup>
        <x14:sparklineGroup type="column" displayEmptyCellsAs="gap">
          <x14:colorSeries rgb="FF000000"/>
          <x14:sparklines>
            <x14:sparkline>
              <xm:f>SPARKLINE!C1347:E1347</xm:f>
              <xm:sqref>K1347</xm:sqref>
            </x14:sparkline>
          </x14:sparklines>
        </x14:sparklineGroup>
        <x14:sparklineGroup type="column" displayEmptyCellsAs="gap">
          <x14:colorSeries rgb="FF000000"/>
          <x14:sparklines>
            <x14:sparkline>
              <xm:f>SPARKLINE!C1348:E1348</xm:f>
              <xm:sqref>K1348</xm:sqref>
            </x14:sparkline>
          </x14:sparklines>
        </x14:sparklineGroup>
        <x14:sparklineGroup type="column" displayEmptyCellsAs="gap">
          <x14:colorSeries rgb="FF000000"/>
          <x14:sparklines>
            <x14:sparkline>
              <xm:f>SPARKLINE!C1349:E1349</xm:f>
              <xm:sqref>K1349</xm:sqref>
            </x14:sparkline>
          </x14:sparklines>
        </x14:sparklineGroup>
        <x14:sparklineGroup type="column" displayEmptyCellsAs="gap">
          <x14:colorSeries rgb="FF000000"/>
          <x14:sparklines>
            <x14:sparkline>
              <xm:f>SPARKLINE!C1350:E1350</xm:f>
              <xm:sqref>K1350</xm:sqref>
            </x14:sparkline>
          </x14:sparklines>
        </x14:sparklineGroup>
        <x14:sparklineGroup type="column" displayEmptyCellsAs="gap">
          <x14:colorSeries rgb="FF000000"/>
          <x14:sparklines>
            <x14:sparkline>
              <xm:f>SPARKLINE!C1351:E1351</xm:f>
              <xm:sqref>K1351</xm:sqref>
            </x14:sparkline>
          </x14:sparklines>
        </x14:sparklineGroup>
        <x14:sparklineGroup type="column" displayEmptyCellsAs="gap">
          <x14:colorSeries rgb="FF000000"/>
          <x14:sparklines>
            <x14:sparkline>
              <xm:f>SPARKLINE!C1352:E1352</xm:f>
              <xm:sqref>K1352</xm:sqref>
            </x14:sparkline>
          </x14:sparklines>
        </x14:sparklineGroup>
        <x14:sparklineGroup type="column" displayEmptyCellsAs="gap">
          <x14:colorSeries rgb="FF000000"/>
          <x14:sparklines>
            <x14:sparkline>
              <xm:f>SPARKLINE!C1353:E1353</xm:f>
              <xm:sqref>K1353</xm:sqref>
            </x14:sparkline>
          </x14:sparklines>
        </x14:sparklineGroup>
        <x14:sparklineGroup type="column" displayEmptyCellsAs="gap">
          <x14:colorSeries rgb="FF000000"/>
          <x14:sparklines>
            <x14:sparkline>
              <xm:f>SPARKLINE!C1354:E1354</xm:f>
              <xm:sqref>K1354</xm:sqref>
            </x14:sparkline>
          </x14:sparklines>
        </x14:sparklineGroup>
        <x14:sparklineGroup type="column" displayEmptyCellsAs="gap">
          <x14:colorSeries rgb="FF000000"/>
          <x14:sparklines>
            <x14:sparkline>
              <xm:f>SPARKLINE!C1355:E1355</xm:f>
              <xm:sqref>K1355</xm:sqref>
            </x14:sparkline>
          </x14:sparklines>
        </x14:sparklineGroup>
        <x14:sparklineGroup type="column" displayEmptyCellsAs="gap">
          <x14:colorSeries rgb="FF000000"/>
          <x14:sparklines>
            <x14:sparkline>
              <xm:f>SPARKLINE!C1356:E1356</xm:f>
              <xm:sqref>K1356</xm:sqref>
            </x14:sparkline>
          </x14:sparklines>
        </x14:sparklineGroup>
        <x14:sparklineGroup type="column" displayEmptyCellsAs="gap">
          <x14:colorSeries rgb="FF000000"/>
          <x14:sparklines>
            <x14:sparkline>
              <xm:f>SPARKLINE!C1357:E1357</xm:f>
              <xm:sqref>K1357</xm:sqref>
            </x14:sparkline>
          </x14:sparklines>
        </x14:sparklineGroup>
        <x14:sparklineGroup type="column" displayEmptyCellsAs="gap">
          <x14:colorSeries rgb="FF000000"/>
          <x14:sparklines>
            <x14:sparkline>
              <xm:f>SPARKLINE!C1358:E1358</xm:f>
              <xm:sqref>K1358</xm:sqref>
            </x14:sparkline>
          </x14:sparklines>
        </x14:sparklineGroup>
        <x14:sparklineGroup type="column" displayEmptyCellsAs="gap">
          <x14:colorSeries rgb="FF000000"/>
          <x14:sparklines>
            <x14:sparkline>
              <xm:f>SPARKLINE!C1359:E1359</xm:f>
              <xm:sqref>K1359</xm:sqref>
            </x14:sparkline>
          </x14:sparklines>
        </x14:sparklineGroup>
        <x14:sparklineGroup type="column" displayEmptyCellsAs="gap">
          <x14:colorSeries rgb="FF000000"/>
          <x14:sparklines>
            <x14:sparkline>
              <xm:f>SPARKLINE!C1360:E1360</xm:f>
              <xm:sqref>K1360</xm:sqref>
            </x14:sparkline>
          </x14:sparklines>
        </x14:sparklineGroup>
        <x14:sparklineGroup type="column" displayEmptyCellsAs="gap">
          <x14:colorSeries rgb="FF000000"/>
          <x14:sparklines>
            <x14:sparkline>
              <xm:f>SPARKLINE!C1361:E1361</xm:f>
              <xm:sqref>K1361</xm:sqref>
            </x14:sparkline>
          </x14:sparklines>
        </x14:sparklineGroup>
        <x14:sparklineGroup type="column" displayEmptyCellsAs="gap">
          <x14:colorSeries rgb="FF000000"/>
          <x14:sparklines>
            <x14:sparkline>
              <xm:f>SPARKLINE!C1362:E1362</xm:f>
              <xm:sqref>K1362</xm:sqref>
            </x14:sparkline>
          </x14:sparklines>
        </x14:sparklineGroup>
        <x14:sparklineGroup type="column" displayEmptyCellsAs="gap">
          <x14:colorSeries rgb="FF000000"/>
          <x14:sparklines>
            <x14:sparkline>
              <xm:f>SPARKLINE!C1363:E1363</xm:f>
              <xm:sqref>K1363</xm:sqref>
            </x14:sparkline>
          </x14:sparklines>
        </x14:sparklineGroup>
        <x14:sparklineGroup type="column" displayEmptyCellsAs="gap">
          <x14:colorSeries rgb="FF000000"/>
          <x14:sparklines>
            <x14:sparkline>
              <xm:f>SPARKLINE!C1364:E1364</xm:f>
              <xm:sqref>K1364</xm:sqref>
            </x14:sparkline>
          </x14:sparklines>
        </x14:sparklineGroup>
        <x14:sparklineGroup type="column" displayEmptyCellsAs="gap">
          <x14:colorSeries rgb="FF000000"/>
          <x14:sparklines>
            <x14:sparkline>
              <xm:f>SPARKLINE!C1365:E1365</xm:f>
              <xm:sqref>K1365</xm:sqref>
            </x14:sparkline>
          </x14:sparklines>
        </x14:sparklineGroup>
        <x14:sparklineGroup type="column" displayEmptyCellsAs="gap">
          <x14:colorSeries rgb="FF000000"/>
          <x14:sparklines>
            <x14:sparkline>
              <xm:f>SPARKLINE!C1366:E1366</xm:f>
              <xm:sqref>K1366</xm:sqref>
            </x14:sparkline>
          </x14:sparklines>
        </x14:sparklineGroup>
        <x14:sparklineGroup type="column" displayEmptyCellsAs="gap">
          <x14:colorSeries rgb="FF000000"/>
          <x14:sparklines>
            <x14:sparkline>
              <xm:f>SPARKLINE!C1367:E1367</xm:f>
              <xm:sqref>K1367</xm:sqref>
            </x14:sparkline>
          </x14:sparklines>
        </x14:sparklineGroup>
        <x14:sparklineGroup type="column" displayEmptyCellsAs="gap">
          <x14:colorSeries rgb="FF000000"/>
          <x14:sparklines>
            <x14:sparkline>
              <xm:f>SPARKLINE!C1368:E1368</xm:f>
              <xm:sqref>K1368</xm:sqref>
            </x14:sparkline>
          </x14:sparklines>
        </x14:sparklineGroup>
        <x14:sparklineGroup type="column" displayEmptyCellsAs="gap">
          <x14:colorSeries rgb="FF000000"/>
          <x14:sparklines>
            <x14:sparkline>
              <xm:f>SPARKLINE!C1369:E1369</xm:f>
              <xm:sqref>K1369</xm:sqref>
            </x14:sparkline>
          </x14:sparklines>
        </x14:sparklineGroup>
        <x14:sparklineGroup type="column" displayEmptyCellsAs="gap">
          <x14:colorSeries rgb="FF000000"/>
          <x14:sparklines>
            <x14:sparkline>
              <xm:f>SPARKLINE!C1370:E1370</xm:f>
              <xm:sqref>K1370</xm:sqref>
            </x14:sparkline>
          </x14:sparklines>
        </x14:sparklineGroup>
        <x14:sparklineGroup type="column" displayEmptyCellsAs="gap">
          <x14:colorSeries rgb="FF000000"/>
          <x14:sparklines>
            <x14:sparkline>
              <xm:f>SPARKLINE!C1371:E1371</xm:f>
              <xm:sqref>K1371</xm:sqref>
            </x14:sparkline>
          </x14:sparklines>
        </x14:sparklineGroup>
        <x14:sparklineGroup type="column" displayEmptyCellsAs="gap">
          <x14:colorSeries rgb="FF000000"/>
          <x14:sparklines>
            <x14:sparkline>
              <xm:f>SPARKLINE!C1372:E1372</xm:f>
              <xm:sqref>K1372</xm:sqref>
            </x14:sparkline>
          </x14:sparklines>
        </x14:sparklineGroup>
        <x14:sparklineGroup type="column" displayEmptyCellsAs="gap">
          <x14:colorSeries rgb="FF000000"/>
          <x14:sparklines>
            <x14:sparkline>
              <xm:f>SPARKLINE!C1373:E1373</xm:f>
              <xm:sqref>K1373</xm:sqref>
            </x14:sparkline>
          </x14:sparklines>
        </x14:sparklineGroup>
        <x14:sparklineGroup type="column" displayEmptyCellsAs="gap">
          <x14:colorSeries rgb="FF000000"/>
          <x14:sparklines>
            <x14:sparkline>
              <xm:f>SPARKLINE!C1374:E1374</xm:f>
              <xm:sqref>K1374</xm:sqref>
            </x14:sparkline>
          </x14:sparklines>
        </x14:sparklineGroup>
        <x14:sparklineGroup type="column" displayEmptyCellsAs="gap">
          <x14:colorSeries rgb="FF000000"/>
          <x14:sparklines>
            <x14:sparkline>
              <xm:f>SPARKLINE!C1375:E1375</xm:f>
              <xm:sqref>K1375</xm:sqref>
            </x14:sparkline>
          </x14:sparklines>
        </x14:sparklineGroup>
        <x14:sparklineGroup type="column" displayEmptyCellsAs="gap">
          <x14:colorSeries rgb="FF000000"/>
          <x14:sparklines>
            <x14:sparkline>
              <xm:f>SPARKLINE!C1376:E1376</xm:f>
              <xm:sqref>K1376</xm:sqref>
            </x14:sparkline>
          </x14:sparklines>
        </x14:sparklineGroup>
        <x14:sparklineGroup type="column" displayEmptyCellsAs="gap">
          <x14:colorSeries rgb="FF000000"/>
          <x14:sparklines>
            <x14:sparkline>
              <xm:f>SPARKLINE!C1377:E1377</xm:f>
              <xm:sqref>K1377</xm:sqref>
            </x14:sparkline>
          </x14:sparklines>
        </x14:sparklineGroup>
        <x14:sparklineGroup type="column" displayEmptyCellsAs="gap">
          <x14:colorSeries rgb="FF000000"/>
          <x14:sparklines>
            <x14:sparkline>
              <xm:f>SPARKLINE!C1378:E1378</xm:f>
              <xm:sqref>K1378</xm:sqref>
            </x14:sparkline>
          </x14:sparklines>
        </x14:sparklineGroup>
        <x14:sparklineGroup type="column" displayEmptyCellsAs="gap">
          <x14:colorSeries rgb="FF000000"/>
          <x14:sparklines>
            <x14:sparkline>
              <xm:f>SPARKLINE!C1379:E1379</xm:f>
              <xm:sqref>K1379</xm:sqref>
            </x14:sparkline>
          </x14:sparklines>
        </x14:sparklineGroup>
        <x14:sparklineGroup type="column" displayEmptyCellsAs="gap">
          <x14:colorSeries rgb="FF000000"/>
          <x14:sparklines>
            <x14:sparkline>
              <xm:f>SPARKLINE!C1380:E1380</xm:f>
              <xm:sqref>K1380</xm:sqref>
            </x14:sparkline>
          </x14:sparklines>
        </x14:sparklineGroup>
        <x14:sparklineGroup type="column" displayEmptyCellsAs="gap">
          <x14:colorSeries rgb="FF000000"/>
          <x14:sparklines>
            <x14:sparkline>
              <xm:f>SPARKLINE!C1381:E1381</xm:f>
              <xm:sqref>K1381</xm:sqref>
            </x14:sparkline>
          </x14:sparklines>
        </x14:sparklineGroup>
        <x14:sparklineGroup type="column" displayEmptyCellsAs="gap">
          <x14:colorSeries rgb="FF000000"/>
          <x14:sparklines>
            <x14:sparkline>
              <xm:f>SPARKLINE!C1382:E1382</xm:f>
              <xm:sqref>K1382</xm:sqref>
            </x14:sparkline>
          </x14:sparklines>
        </x14:sparklineGroup>
        <x14:sparklineGroup type="column" displayEmptyCellsAs="gap">
          <x14:colorSeries rgb="FF000000"/>
          <x14:sparklines>
            <x14:sparkline>
              <xm:f>SPARKLINE!C1383:E1383</xm:f>
              <xm:sqref>K1383</xm:sqref>
            </x14:sparkline>
          </x14:sparklines>
        </x14:sparklineGroup>
        <x14:sparklineGroup type="column" displayEmptyCellsAs="gap">
          <x14:colorSeries rgb="FF000000"/>
          <x14:sparklines>
            <x14:sparkline>
              <xm:f>SPARKLINE!C1384:E1384</xm:f>
              <xm:sqref>K1384</xm:sqref>
            </x14:sparkline>
          </x14:sparklines>
        </x14:sparklineGroup>
        <x14:sparklineGroup type="column" displayEmptyCellsAs="gap">
          <x14:colorSeries rgb="FF000000"/>
          <x14:sparklines>
            <x14:sparkline>
              <xm:f>SPARKLINE!C1385:E1385</xm:f>
              <xm:sqref>K1385</xm:sqref>
            </x14:sparkline>
          </x14:sparklines>
        </x14:sparklineGroup>
        <x14:sparklineGroup type="column" displayEmptyCellsAs="gap">
          <x14:colorSeries rgb="FF000000"/>
          <x14:sparklines>
            <x14:sparkline>
              <xm:f>SPARKLINE!C1386:E1386</xm:f>
              <xm:sqref>K1386</xm:sqref>
            </x14:sparkline>
          </x14:sparklines>
        </x14:sparklineGroup>
        <x14:sparklineGroup type="column" displayEmptyCellsAs="gap">
          <x14:colorSeries rgb="FF000000"/>
          <x14:sparklines>
            <x14:sparkline>
              <xm:f>SPARKLINE!C1387:E1387</xm:f>
              <xm:sqref>K1387</xm:sqref>
            </x14:sparkline>
          </x14:sparklines>
        </x14:sparklineGroup>
        <x14:sparklineGroup type="column" displayEmptyCellsAs="gap">
          <x14:colorSeries rgb="FF000000"/>
          <x14:sparklines>
            <x14:sparkline>
              <xm:f>SPARKLINE!C1388:E1388</xm:f>
              <xm:sqref>K1388</xm:sqref>
            </x14:sparkline>
          </x14:sparklines>
        </x14:sparklineGroup>
        <x14:sparklineGroup type="column" displayEmptyCellsAs="gap">
          <x14:colorSeries rgb="FF000000"/>
          <x14:sparklines>
            <x14:sparkline>
              <xm:f>SPARKLINE!C1389:E1389</xm:f>
              <xm:sqref>K1389</xm:sqref>
            </x14:sparkline>
          </x14:sparklines>
        </x14:sparklineGroup>
        <x14:sparklineGroup type="column" displayEmptyCellsAs="gap">
          <x14:colorSeries rgb="FF000000"/>
          <x14:sparklines>
            <x14:sparkline>
              <xm:f>SPARKLINE!C1390:E1390</xm:f>
              <xm:sqref>K1390</xm:sqref>
            </x14:sparkline>
          </x14:sparklines>
        </x14:sparklineGroup>
        <x14:sparklineGroup type="column" displayEmptyCellsAs="gap">
          <x14:colorSeries rgb="FF000000"/>
          <x14:sparklines>
            <x14:sparkline>
              <xm:f>SPARKLINE!C1391:E1391</xm:f>
              <xm:sqref>K1391</xm:sqref>
            </x14:sparkline>
          </x14:sparklines>
        </x14:sparklineGroup>
        <x14:sparklineGroup type="column" displayEmptyCellsAs="gap">
          <x14:colorSeries rgb="FF000000"/>
          <x14:sparklines>
            <x14:sparkline>
              <xm:f>SPARKLINE!C1392:E1392</xm:f>
              <xm:sqref>K1392</xm:sqref>
            </x14:sparkline>
          </x14:sparklines>
        </x14:sparklineGroup>
        <x14:sparklineGroup type="column" displayEmptyCellsAs="gap">
          <x14:colorSeries rgb="FF000000"/>
          <x14:sparklines>
            <x14:sparkline>
              <xm:f>SPARKLINE!C1393:E1393</xm:f>
              <xm:sqref>K1393</xm:sqref>
            </x14:sparkline>
          </x14:sparklines>
        </x14:sparklineGroup>
        <x14:sparklineGroup type="column" displayEmptyCellsAs="gap">
          <x14:colorSeries rgb="FF000000"/>
          <x14:sparklines>
            <x14:sparkline>
              <xm:f>SPARKLINE!C1394:E1394</xm:f>
              <xm:sqref>K1394</xm:sqref>
            </x14:sparkline>
          </x14:sparklines>
        </x14:sparklineGroup>
        <x14:sparklineGroup type="column" displayEmptyCellsAs="gap">
          <x14:colorSeries rgb="FF000000"/>
          <x14:sparklines>
            <x14:sparkline>
              <xm:f>SPARKLINE!C1395:E1395</xm:f>
              <xm:sqref>K1395</xm:sqref>
            </x14:sparkline>
          </x14:sparklines>
        </x14:sparklineGroup>
        <x14:sparklineGroup type="column" displayEmptyCellsAs="gap">
          <x14:colorSeries rgb="FF000000"/>
          <x14:sparklines>
            <x14:sparkline>
              <xm:f>SPARKLINE!C1396:E1396</xm:f>
              <xm:sqref>K1396</xm:sqref>
            </x14:sparkline>
          </x14:sparklines>
        </x14:sparklineGroup>
        <x14:sparklineGroup type="column" displayEmptyCellsAs="gap">
          <x14:colorSeries rgb="FF000000"/>
          <x14:sparklines>
            <x14:sparkline>
              <xm:f>SPARKLINE!C1397:E1397</xm:f>
              <xm:sqref>K1397</xm:sqref>
            </x14:sparkline>
          </x14:sparklines>
        </x14:sparklineGroup>
        <x14:sparklineGroup type="column" displayEmptyCellsAs="gap">
          <x14:colorSeries rgb="FF000000"/>
          <x14:sparklines>
            <x14:sparkline>
              <xm:f>SPARKLINE!C1398:E1398</xm:f>
              <xm:sqref>K1398</xm:sqref>
            </x14:sparkline>
          </x14:sparklines>
        </x14:sparklineGroup>
        <x14:sparklineGroup type="column" displayEmptyCellsAs="gap">
          <x14:colorSeries rgb="FF000000"/>
          <x14:sparklines>
            <x14:sparkline>
              <xm:f>SPARKLINE!C1399:E1399</xm:f>
              <xm:sqref>K1399</xm:sqref>
            </x14:sparkline>
          </x14:sparklines>
        </x14:sparklineGroup>
        <x14:sparklineGroup type="column" displayEmptyCellsAs="gap">
          <x14:colorSeries rgb="FF000000"/>
          <x14:sparklines>
            <x14:sparkline>
              <xm:f>SPARKLINE!C1400:E1400</xm:f>
              <xm:sqref>K1400</xm:sqref>
            </x14:sparkline>
          </x14:sparklines>
        </x14:sparklineGroup>
        <x14:sparklineGroup type="column" displayEmptyCellsAs="gap">
          <x14:colorSeries rgb="FF000000"/>
          <x14:sparklines>
            <x14:sparkline>
              <xm:f>SPARKLINE!C1401:E1401</xm:f>
              <xm:sqref>K1401</xm:sqref>
            </x14:sparkline>
          </x14:sparklines>
        </x14:sparklineGroup>
        <x14:sparklineGroup type="column" displayEmptyCellsAs="gap">
          <x14:colorSeries rgb="FF000000"/>
          <x14:sparklines>
            <x14:sparkline>
              <xm:f>SPARKLINE!C1402:E1402</xm:f>
              <xm:sqref>K1402</xm:sqref>
            </x14:sparkline>
          </x14:sparklines>
        </x14:sparklineGroup>
        <x14:sparklineGroup type="column" displayEmptyCellsAs="gap">
          <x14:colorSeries rgb="FF000000"/>
          <x14:sparklines>
            <x14:sparkline>
              <xm:f>SPARKLINE!C1403:E1403</xm:f>
              <xm:sqref>K1403</xm:sqref>
            </x14:sparkline>
          </x14:sparklines>
        </x14:sparklineGroup>
        <x14:sparklineGroup type="column" displayEmptyCellsAs="gap">
          <x14:colorSeries rgb="FF000000"/>
          <x14:sparklines>
            <x14:sparkline>
              <xm:f>SPARKLINE!C1404:E1404</xm:f>
              <xm:sqref>K1404</xm:sqref>
            </x14:sparkline>
          </x14:sparklines>
        </x14:sparklineGroup>
        <x14:sparklineGroup type="column" displayEmptyCellsAs="gap">
          <x14:colorSeries rgb="FF000000"/>
          <x14:sparklines>
            <x14:sparkline>
              <xm:f>SPARKLINE!C1405:E1405</xm:f>
              <xm:sqref>K1405</xm:sqref>
            </x14:sparkline>
          </x14:sparklines>
        </x14:sparklineGroup>
        <x14:sparklineGroup type="column" displayEmptyCellsAs="gap">
          <x14:colorSeries rgb="FF000000"/>
          <x14:sparklines>
            <x14:sparkline>
              <xm:f>SPARKLINE!C1406:E1406</xm:f>
              <xm:sqref>K1406</xm:sqref>
            </x14:sparkline>
          </x14:sparklines>
        </x14:sparklineGroup>
        <x14:sparklineGroup type="column" displayEmptyCellsAs="gap">
          <x14:colorSeries rgb="FF000000"/>
          <x14:sparklines>
            <x14:sparkline>
              <xm:f>SPARKLINE!C1407:E1407</xm:f>
              <xm:sqref>K1407</xm:sqref>
            </x14:sparkline>
          </x14:sparklines>
        </x14:sparklineGroup>
        <x14:sparklineGroup type="column" displayEmptyCellsAs="gap">
          <x14:colorSeries rgb="FF000000"/>
          <x14:sparklines>
            <x14:sparkline>
              <xm:f>SPARKLINE!C1408:E1408</xm:f>
              <xm:sqref>K1408</xm:sqref>
            </x14:sparkline>
          </x14:sparklines>
        </x14:sparklineGroup>
        <x14:sparklineGroup type="column" displayEmptyCellsAs="gap">
          <x14:colorSeries rgb="FF000000"/>
          <x14:sparklines>
            <x14:sparkline>
              <xm:f>SPARKLINE!C1409:E1409</xm:f>
              <xm:sqref>K1409</xm:sqref>
            </x14:sparkline>
          </x14:sparklines>
        </x14:sparklineGroup>
        <x14:sparklineGroup type="column" displayEmptyCellsAs="gap">
          <x14:colorSeries rgb="FF000000"/>
          <x14:sparklines>
            <x14:sparkline>
              <xm:f>SPARKLINE!C1410:E1410</xm:f>
              <xm:sqref>K1410</xm:sqref>
            </x14:sparkline>
          </x14:sparklines>
        </x14:sparklineGroup>
        <x14:sparklineGroup type="column" displayEmptyCellsAs="gap">
          <x14:colorSeries rgb="FF000000"/>
          <x14:sparklines>
            <x14:sparkline>
              <xm:f>SPARKLINE!C1411:E1411</xm:f>
              <xm:sqref>K1411</xm:sqref>
            </x14:sparkline>
          </x14:sparklines>
        </x14:sparklineGroup>
        <x14:sparklineGroup type="column" displayEmptyCellsAs="gap">
          <x14:colorSeries rgb="FF000000"/>
          <x14:sparklines>
            <x14:sparkline>
              <xm:f>SPARKLINE!C1412:E1412</xm:f>
              <xm:sqref>K1412</xm:sqref>
            </x14:sparkline>
          </x14:sparklines>
        </x14:sparklineGroup>
        <x14:sparklineGroup type="column" displayEmptyCellsAs="gap">
          <x14:colorSeries rgb="FF000000"/>
          <x14:sparklines>
            <x14:sparkline>
              <xm:f>SPARKLINE!C1413:E1413</xm:f>
              <xm:sqref>K1413</xm:sqref>
            </x14:sparkline>
          </x14:sparklines>
        </x14:sparklineGroup>
        <x14:sparklineGroup type="column" displayEmptyCellsAs="gap">
          <x14:colorSeries rgb="FF000000"/>
          <x14:sparklines>
            <x14:sparkline>
              <xm:f>SPARKLINE!C1414:E1414</xm:f>
              <xm:sqref>K1414</xm:sqref>
            </x14:sparkline>
          </x14:sparklines>
        </x14:sparklineGroup>
        <x14:sparklineGroup type="column" displayEmptyCellsAs="gap">
          <x14:colorSeries rgb="FF000000"/>
          <x14:sparklines>
            <x14:sparkline>
              <xm:f>SPARKLINE!C1415:E1415</xm:f>
              <xm:sqref>K1415</xm:sqref>
            </x14:sparkline>
          </x14:sparklines>
        </x14:sparklineGroup>
        <x14:sparklineGroup type="column" displayEmptyCellsAs="gap">
          <x14:colorSeries rgb="FF000000"/>
          <x14:sparklines>
            <x14:sparkline>
              <xm:f>SPARKLINE!C1416:E1416</xm:f>
              <xm:sqref>K1416</xm:sqref>
            </x14:sparkline>
          </x14:sparklines>
        </x14:sparklineGroup>
        <x14:sparklineGroup type="column" displayEmptyCellsAs="gap">
          <x14:colorSeries rgb="FF000000"/>
          <x14:sparklines>
            <x14:sparkline>
              <xm:f>SPARKLINE!C1417:E1417</xm:f>
              <xm:sqref>K1417</xm:sqref>
            </x14:sparkline>
          </x14:sparklines>
        </x14:sparklineGroup>
        <x14:sparklineGroup type="column" displayEmptyCellsAs="gap">
          <x14:colorSeries rgb="FF000000"/>
          <x14:sparklines>
            <x14:sparkline>
              <xm:f>SPARKLINE!C1418:E1418</xm:f>
              <xm:sqref>K1418</xm:sqref>
            </x14:sparkline>
          </x14:sparklines>
        </x14:sparklineGroup>
        <x14:sparklineGroup type="column" displayEmptyCellsAs="gap">
          <x14:colorSeries rgb="FF000000"/>
          <x14:sparklines>
            <x14:sparkline>
              <xm:f>SPARKLINE!C1419:E1419</xm:f>
              <xm:sqref>K1419</xm:sqref>
            </x14:sparkline>
          </x14:sparklines>
        </x14:sparklineGroup>
        <x14:sparklineGroup type="column" displayEmptyCellsAs="gap">
          <x14:colorSeries rgb="FF000000"/>
          <x14:sparklines>
            <x14:sparkline>
              <xm:f>SPARKLINE!C1420:E1420</xm:f>
              <xm:sqref>K1420</xm:sqref>
            </x14:sparkline>
          </x14:sparklines>
        </x14:sparklineGroup>
        <x14:sparklineGroup type="column" displayEmptyCellsAs="gap">
          <x14:colorSeries rgb="FF000000"/>
          <x14:sparklines>
            <x14:sparkline>
              <xm:f>SPARKLINE!C1421:E1421</xm:f>
              <xm:sqref>K1421</xm:sqref>
            </x14:sparkline>
          </x14:sparklines>
        </x14:sparklineGroup>
        <x14:sparklineGroup type="column" displayEmptyCellsAs="gap">
          <x14:colorSeries rgb="FF000000"/>
          <x14:sparklines>
            <x14:sparkline>
              <xm:f>SPARKLINE!C1422:E1422</xm:f>
              <xm:sqref>K1422</xm:sqref>
            </x14:sparkline>
          </x14:sparklines>
        </x14:sparklineGroup>
        <x14:sparklineGroup type="column" displayEmptyCellsAs="gap">
          <x14:colorSeries rgb="FF000000"/>
          <x14:sparklines>
            <x14:sparkline>
              <xm:f>SPARKLINE!C1423:E1423</xm:f>
              <xm:sqref>K1423</xm:sqref>
            </x14:sparkline>
          </x14:sparklines>
        </x14:sparklineGroup>
        <x14:sparklineGroup type="column" displayEmptyCellsAs="gap">
          <x14:colorSeries rgb="FF000000"/>
          <x14:sparklines>
            <x14:sparkline>
              <xm:f>SPARKLINE!C1424:E1424</xm:f>
              <xm:sqref>K1424</xm:sqref>
            </x14:sparkline>
          </x14:sparklines>
        </x14:sparklineGroup>
        <x14:sparklineGroup type="column" displayEmptyCellsAs="gap">
          <x14:colorSeries rgb="FF000000"/>
          <x14:sparklines>
            <x14:sparkline>
              <xm:f>SPARKLINE!C1425:E1425</xm:f>
              <xm:sqref>K1425</xm:sqref>
            </x14:sparkline>
          </x14:sparklines>
        </x14:sparklineGroup>
        <x14:sparklineGroup type="column" displayEmptyCellsAs="gap">
          <x14:colorSeries rgb="FF000000"/>
          <x14:sparklines>
            <x14:sparkline>
              <xm:f>SPARKLINE!C1426:E1426</xm:f>
              <xm:sqref>K1426</xm:sqref>
            </x14:sparkline>
          </x14:sparklines>
        </x14:sparklineGroup>
        <x14:sparklineGroup type="column" displayEmptyCellsAs="gap">
          <x14:colorSeries rgb="FF000000"/>
          <x14:sparklines>
            <x14:sparkline>
              <xm:f>SPARKLINE!C1427:E1427</xm:f>
              <xm:sqref>K1427</xm:sqref>
            </x14:sparkline>
          </x14:sparklines>
        </x14:sparklineGroup>
        <x14:sparklineGroup type="column" displayEmptyCellsAs="gap">
          <x14:colorSeries rgb="FF000000"/>
          <x14:sparklines>
            <x14:sparkline>
              <xm:f>SPARKLINE!C1428:E1428</xm:f>
              <xm:sqref>K1428</xm:sqref>
            </x14:sparkline>
          </x14:sparklines>
        </x14:sparklineGroup>
        <x14:sparklineGroup type="column" displayEmptyCellsAs="gap">
          <x14:colorSeries rgb="FF000000"/>
          <x14:sparklines>
            <x14:sparkline>
              <xm:f>SPARKLINE!C1429:E1429</xm:f>
              <xm:sqref>K1429</xm:sqref>
            </x14:sparkline>
          </x14:sparklines>
        </x14:sparklineGroup>
        <x14:sparklineGroup type="column" displayEmptyCellsAs="gap">
          <x14:colorSeries rgb="FF000000"/>
          <x14:sparklines>
            <x14:sparkline>
              <xm:f>SPARKLINE!C1430:E1430</xm:f>
              <xm:sqref>K1430</xm:sqref>
            </x14:sparkline>
          </x14:sparklines>
        </x14:sparklineGroup>
        <x14:sparklineGroup type="column" displayEmptyCellsAs="gap">
          <x14:colorSeries rgb="FF000000"/>
          <x14:sparklines>
            <x14:sparkline>
              <xm:f>SPARKLINE!C1431:E1431</xm:f>
              <xm:sqref>K1431</xm:sqref>
            </x14:sparkline>
          </x14:sparklines>
        </x14:sparklineGroup>
        <x14:sparklineGroup type="column" displayEmptyCellsAs="gap">
          <x14:colorSeries rgb="FF000000"/>
          <x14:sparklines>
            <x14:sparkline>
              <xm:f>SPARKLINE!C1432:E1432</xm:f>
              <xm:sqref>K1432</xm:sqref>
            </x14:sparkline>
          </x14:sparklines>
        </x14:sparklineGroup>
        <x14:sparklineGroup type="column" displayEmptyCellsAs="gap">
          <x14:colorSeries rgb="FF000000"/>
          <x14:sparklines>
            <x14:sparkline>
              <xm:f>SPARKLINE!C1433:E1433</xm:f>
              <xm:sqref>K1433</xm:sqref>
            </x14:sparkline>
          </x14:sparklines>
        </x14:sparklineGroup>
        <x14:sparklineGroup type="column" displayEmptyCellsAs="gap">
          <x14:colorSeries rgb="FF000000"/>
          <x14:sparklines>
            <x14:sparkline>
              <xm:f>SPARKLINE!C1434:E1434</xm:f>
              <xm:sqref>K1434</xm:sqref>
            </x14:sparkline>
          </x14:sparklines>
        </x14:sparklineGroup>
        <x14:sparklineGroup type="column" displayEmptyCellsAs="gap">
          <x14:colorSeries rgb="FF000000"/>
          <x14:sparklines>
            <x14:sparkline>
              <xm:f>SPARKLINE!C1435:E1435</xm:f>
              <xm:sqref>K1435</xm:sqref>
            </x14:sparkline>
          </x14:sparklines>
        </x14:sparklineGroup>
        <x14:sparklineGroup type="column" displayEmptyCellsAs="gap">
          <x14:colorSeries rgb="FF000000"/>
          <x14:sparklines>
            <x14:sparkline>
              <xm:f>SPARKLINE!C1436:E1436</xm:f>
              <xm:sqref>K1436</xm:sqref>
            </x14:sparkline>
          </x14:sparklines>
        </x14:sparklineGroup>
        <x14:sparklineGroup type="column" displayEmptyCellsAs="gap">
          <x14:colorSeries rgb="FF000000"/>
          <x14:sparklines>
            <x14:sparkline>
              <xm:f>SPARKLINE!C1437:E1437</xm:f>
              <xm:sqref>K1437</xm:sqref>
            </x14:sparkline>
          </x14:sparklines>
        </x14:sparklineGroup>
        <x14:sparklineGroup type="column" displayEmptyCellsAs="gap">
          <x14:colorSeries rgb="FF000000"/>
          <x14:sparklines>
            <x14:sparkline>
              <xm:f>SPARKLINE!C1438:E1438</xm:f>
              <xm:sqref>K1438</xm:sqref>
            </x14:sparkline>
          </x14:sparklines>
        </x14:sparklineGroup>
        <x14:sparklineGroup type="column" displayEmptyCellsAs="gap">
          <x14:colorSeries rgb="FF000000"/>
          <x14:sparklines>
            <x14:sparkline>
              <xm:f>SPARKLINE!C1439:E1439</xm:f>
              <xm:sqref>K1439</xm:sqref>
            </x14:sparkline>
          </x14:sparklines>
        </x14:sparklineGroup>
        <x14:sparklineGroup type="column" displayEmptyCellsAs="gap">
          <x14:colorSeries rgb="FF000000"/>
          <x14:sparklines>
            <x14:sparkline>
              <xm:f>SPARKLINE!C1440:E1440</xm:f>
              <xm:sqref>K1440</xm:sqref>
            </x14:sparkline>
          </x14:sparklines>
        </x14:sparklineGroup>
        <x14:sparklineGroup type="column" displayEmptyCellsAs="gap">
          <x14:colorSeries rgb="FF000000"/>
          <x14:sparklines>
            <x14:sparkline>
              <xm:f>SPARKLINE!C1441:E1441</xm:f>
              <xm:sqref>K1441</xm:sqref>
            </x14:sparkline>
          </x14:sparklines>
        </x14:sparklineGroup>
        <x14:sparklineGroup type="column" displayEmptyCellsAs="gap">
          <x14:colorSeries rgb="FF000000"/>
          <x14:sparklines>
            <x14:sparkline>
              <xm:f>SPARKLINE!C1442:E1442</xm:f>
              <xm:sqref>K1442</xm:sqref>
            </x14:sparkline>
          </x14:sparklines>
        </x14:sparklineGroup>
        <x14:sparklineGroup type="column" displayEmptyCellsAs="gap">
          <x14:colorSeries rgb="FF000000"/>
          <x14:sparklines>
            <x14:sparkline>
              <xm:f>SPARKLINE!C1443:E1443</xm:f>
              <xm:sqref>K1443</xm:sqref>
            </x14:sparkline>
          </x14:sparklines>
        </x14:sparklineGroup>
        <x14:sparklineGroup type="column" displayEmptyCellsAs="gap">
          <x14:colorSeries rgb="FF000000"/>
          <x14:sparklines>
            <x14:sparkline>
              <xm:f>SPARKLINE!C1444:E1444</xm:f>
              <xm:sqref>K1444</xm:sqref>
            </x14:sparkline>
          </x14:sparklines>
        </x14:sparklineGroup>
        <x14:sparklineGroup type="column" displayEmptyCellsAs="gap">
          <x14:colorSeries rgb="FF000000"/>
          <x14:sparklines>
            <x14:sparkline>
              <xm:f>SPARKLINE!C1445:E1445</xm:f>
              <xm:sqref>K1445</xm:sqref>
            </x14:sparkline>
          </x14:sparklines>
        </x14:sparklineGroup>
        <x14:sparklineGroup type="column" displayEmptyCellsAs="gap">
          <x14:colorSeries rgb="FF000000"/>
          <x14:sparklines>
            <x14:sparkline>
              <xm:f>SPARKLINE!C1446:E1446</xm:f>
              <xm:sqref>K1446</xm:sqref>
            </x14:sparkline>
          </x14:sparklines>
        </x14:sparklineGroup>
        <x14:sparklineGroup type="column" displayEmptyCellsAs="gap">
          <x14:colorSeries rgb="FF000000"/>
          <x14:sparklines>
            <x14:sparkline>
              <xm:f>SPARKLINE!C1447:E1447</xm:f>
              <xm:sqref>K1447</xm:sqref>
            </x14:sparkline>
          </x14:sparklines>
        </x14:sparklineGroup>
        <x14:sparklineGroup type="column" displayEmptyCellsAs="gap">
          <x14:colorSeries rgb="FF000000"/>
          <x14:sparklines>
            <x14:sparkline>
              <xm:f>SPARKLINE!C1448:E1448</xm:f>
              <xm:sqref>K1448</xm:sqref>
            </x14:sparkline>
          </x14:sparklines>
        </x14:sparklineGroup>
        <x14:sparklineGroup type="column" displayEmptyCellsAs="gap">
          <x14:colorSeries rgb="FF000000"/>
          <x14:sparklines>
            <x14:sparkline>
              <xm:f>SPARKLINE!C1449:E1449</xm:f>
              <xm:sqref>K1449</xm:sqref>
            </x14:sparkline>
          </x14:sparklines>
        </x14:sparklineGroup>
        <x14:sparklineGroup type="column" displayEmptyCellsAs="gap">
          <x14:colorSeries rgb="FF000000"/>
          <x14:sparklines>
            <x14:sparkline>
              <xm:f>SPARKLINE!C1450:E1450</xm:f>
              <xm:sqref>K1450</xm:sqref>
            </x14:sparkline>
          </x14:sparklines>
        </x14:sparklineGroup>
        <x14:sparklineGroup type="column" displayEmptyCellsAs="gap">
          <x14:colorSeries rgb="FF000000"/>
          <x14:sparklines>
            <x14:sparkline>
              <xm:f>SPARKLINE!C1451:E1451</xm:f>
              <xm:sqref>K1451</xm:sqref>
            </x14:sparkline>
          </x14:sparklines>
        </x14:sparklineGroup>
        <x14:sparklineGroup type="column" displayEmptyCellsAs="gap">
          <x14:colorSeries rgb="FF000000"/>
          <x14:sparklines>
            <x14:sparkline>
              <xm:f>SPARKLINE!C1452:E1452</xm:f>
              <xm:sqref>K1452</xm:sqref>
            </x14:sparkline>
          </x14:sparklines>
        </x14:sparklineGroup>
        <x14:sparklineGroup type="column" displayEmptyCellsAs="gap">
          <x14:colorSeries rgb="FF000000"/>
          <x14:sparklines>
            <x14:sparkline>
              <xm:f>SPARKLINE!C1453:E1453</xm:f>
              <xm:sqref>K1453</xm:sqref>
            </x14:sparkline>
          </x14:sparklines>
        </x14:sparklineGroup>
        <x14:sparklineGroup type="column" displayEmptyCellsAs="gap">
          <x14:colorSeries rgb="FF000000"/>
          <x14:sparklines>
            <x14:sparkline>
              <xm:f>SPARKLINE!C1454:E1454</xm:f>
              <xm:sqref>K1454</xm:sqref>
            </x14:sparkline>
          </x14:sparklines>
        </x14:sparklineGroup>
        <x14:sparklineGroup type="column" displayEmptyCellsAs="gap">
          <x14:colorSeries rgb="FF000000"/>
          <x14:sparklines>
            <x14:sparkline>
              <xm:f>SPARKLINE!C1455:E1455</xm:f>
              <xm:sqref>K1455</xm:sqref>
            </x14:sparkline>
          </x14:sparklines>
        </x14:sparklineGroup>
        <x14:sparklineGroup type="column" displayEmptyCellsAs="gap">
          <x14:colorSeries rgb="FF000000"/>
          <x14:sparklines>
            <x14:sparkline>
              <xm:f>SPARKLINE!C1456:E1456</xm:f>
              <xm:sqref>K1456</xm:sqref>
            </x14:sparkline>
          </x14:sparklines>
        </x14:sparklineGroup>
        <x14:sparklineGroup type="column" displayEmptyCellsAs="gap">
          <x14:colorSeries rgb="FF000000"/>
          <x14:sparklines>
            <x14:sparkline>
              <xm:f>SPARKLINE!C1457:E1457</xm:f>
              <xm:sqref>K1457</xm:sqref>
            </x14:sparkline>
          </x14:sparklines>
        </x14:sparklineGroup>
        <x14:sparklineGroup type="column" displayEmptyCellsAs="gap">
          <x14:colorSeries rgb="FF000000"/>
          <x14:sparklines>
            <x14:sparkline>
              <xm:f>SPARKLINE!C1458:E1458</xm:f>
              <xm:sqref>K1458</xm:sqref>
            </x14:sparkline>
          </x14:sparklines>
        </x14:sparklineGroup>
        <x14:sparklineGroup type="column" displayEmptyCellsAs="gap">
          <x14:colorSeries rgb="FF000000"/>
          <x14:sparklines>
            <x14:sparkline>
              <xm:f>SPARKLINE!C1459:E1459</xm:f>
              <xm:sqref>K1459</xm:sqref>
            </x14:sparkline>
          </x14:sparklines>
        </x14:sparklineGroup>
        <x14:sparklineGroup type="column" displayEmptyCellsAs="gap">
          <x14:colorSeries rgb="FF000000"/>
          <x14:sparklines>
            <x14:sparkline>
              <xm:f>SPARKLINE!C1460:E1460</xm:f>
              <xm:sqref>K1460</xm:sqref>
            </x14:sparkline>
          </x14:sparklines>
        </x14:sparklineGroup>
        <x14:sparklineGroup type="column" displayEmptyCellsAs="gap">
          <x14:colorSeries rgb="FF000000"/>
          <x14:sparklines>
            <x14:sparkline>
              <xm:f>SPARKLINE!C1461:E1461</xm:f>
              <xm:sqref>K1461</xm:sqref>
            </x14:sparkline>
          </x14:sparklines>
        </x14:sparklineGroup>
        <x14:sparklineGroup type="column" displayEmptyCellsAs="gap">
          <x14:colorSeries rgb="FF000000"/>
          <x14:sparklines>
            <x14:sparkline>
              <xm:f>SPARKLINE!C1462:E1462</xm:f>
              <xm:sqref>K1462</xm:sqref>
            </x14:sparkline>
          </x14:sparklines>
        </x14:sparklineGroup>
        <x14:sparklineGroup type="column" displayEmptyCellsAs="gap">
          <x14:colorSeries rgb="FF000000"/>
          <x14:sparklines>
            <x14:sparkline>
              <xm:f>SPARKLINE!C1463:E1463</xm:f>
              <xm:sqref>K1463</xm:sqref>
            </x14:sparkline>
          </x14:sparklines>
        </x14:sparklineGroup>
        <x14:sparklineGroup type="column" displayEmptyCellsAs="gap">
          <x14:colorSeries rgb="FF000000"/>
          <x14:sparklines>
            <x14:sparkline>
              <xm:f>SPARKLINE!C1464:E1464</xm:f>
              <xm:sqref>K1464</xm:sqref>
            </x14:sparkline>
          </x14:sparklines>
        </x14:sparklineGroup>
        <x14:sparklineGroup type="column" displayEmptyCellsAs="gap">
          <x14:colorSeries rgb="FF000000"/>
          <x14:sparklines>
            <x14:sparkline>
              <xm:f>SPARKLINE!C1465:E1465</xm:f>
              <xm:sqref>K1465</xm:sqref>
            </x14:sparkline>
          </x14:sparklines>
        </x14:sparklineGroup>
        <x14:sparklineGroup type="column" displayEmptyCellsAs="gap">
          <x14:colorSeries rgb="FF000000"/>
          <x14:sparklines>
            <x14:sparkline>
              <xm:f>SPARKLINE!C1466:E1466</xm:f>
              <xm:sqref>K1466</xm:sqref>
            </x14:sparkline>
          </x14:sparklines>
        </x14:sparklineGroup>
      </x14:sparklineGroups>
    </ext>
  </extLst>
</worksheet>
</file>