
<file path=[Content_Types].xml><?xml version="1.0" encoding="utf-8"?>
<Types xmlns="http://schemas.openxmlformats.org/package/2006/content-types">
  <Default Extension="bin" ContentType="application/vnd.openxmlformats-officedocument.oleObject"/>
  <Override PartName="/xl/printerSettings/printerSettings1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rinterSettings/printerSettings2.bin" ContentType="application/vnd.openxmlformats-officedocument.spreadsheetml.printerSettings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7680"/>
  </bookViews>
  <sheets>
    <sheet name="PROBSHEET" sheetId="11" r:id="rId1"/>
    <sheet name="AnyNormal" sheetId="4" r:id="rId2"/>
    <sheet name="Normalphat" sheetId="2" r:id="rId3"/>
    <sheet name="Normalxbar" sheetId="5" r:id="rId4"/>
    <sheet name="IndepRV" sheetId="14" r:id="rId5"/>
    <sheet name="onep" sheetId="1" r:id="rId6"/>
    <sheet name="twops" sheetId="6" r:id="rId7"/>
    <sheet name="t-table" sheetId="9" r:id="rId8"/>
    <sheet name="BasicStats1" sheetId="7" r:id="rId9"/>
    <sheet name="t-CInHToneMU" sheetId="8" r:id="rId10"/>
    <sheet name="t-SampleSize" sheetId="10" r:id="rId11"/>
    <sheet name="BasicStats2" sheetId="13" r:id="rId12"/>
    <sheet name="t-CInHTtwoMU" sheetId="12" r:id="rId13"/>
    <sheet name="Sheet3" sheetId="3" r:id="rId14"/>
  </sheets>
  <calcPr calcId="125725"/>
</workbook>
</file>

<file path=xl/calcChain.xml><?xml version="1.0" encoding="utf-8"?>
<calcChain xmlns="http://schemas.openxmlformats.org/spreadsheetml/2006/main">
  <c r="D13" i="12"/>
  <c r="L26"/>
  <c r="L21"/>
  <c r="L23" s="1"/>
  <c r="O39"/>
  <c r="D37" i="1"/>
  <c r="D39" s="1"/>
  <c r="C16" i="14"/>
  <c r="C15"/>
  <c r="C8"/>
  <c r="C7"/>
  <c r="E6" i="13"/>
  <c r="E8"/>
  <c r="E7"/>
  <c r="E2"/>
  <c r="E4"/>
  <c r="E3"/>
  <c r="F17" i="12"/>
  <c r="L31"/>
  <c r="D29"/>
  <c r="L25"/>
  <c r="D22"/>
  <c r="O4"/>
  <c r="D5"/>
  <c r="D6" s="1"/>
  <c r="D7" s="1"/>
  <c r="E5" i="9"/>
  <c r="C5" i="5"/>
  <c r="B17"/>
  <c r="C17" s="1"/>
  <c r="G5" i="2"/>
  <c r="C5"/>
  <c r="B17"/>
  <c r="C17" s="1"/>
  <c r="B16" i="4"/>
  <c r="C16"/>
  <c r="D12"/>
  <c r="E12"/>
  <c r="B12"/>
  <c r="E8"/>
  <c r="E7"/>
  <c r="D24" i="11"/>
  <c r="D23"/>
  <c r="D22"/>
  <c r="D21"/>
  <c r="D20"/>
  <c r="D19"/>
  <c r="D18"/>
  <c r="D17"/>
  <c r="D16"/>
  <c r="D15"/>
  <c r="D14"/>
  <c r="D13"/>
  <c r="D12"/>
  <c r="D11"/>
  <c r="D10"/>
  <c r="D9"/>
  <c r="K8"/>
  <c r="D8"/>
  <c r="K7"/>
  <c r="K6"/>
  <c r="B6"/>
  <c r="K5"/>
  <c r="B5"/>
  <c r="B7" s="1"/>
  <c r="K4"/>
  <c r="D10" i="1"/>
  <c r="E4" i="9"/>
  <c r="D9"/>
  <c r="B9"/>
  <c r="B17"/>
  <c r="D4" i="7"/>
  <c r="B7" i="10"/>
  <c r="D12" s="1"/>
  <c r="B16" s="1"/>
  <c r="D18" s="1"/>
  <c r="B13" i="9"/>
  <c r="C30" i="8"/>
  <c r="C23"/>
  <c r="N19"/>
  <c r="N18"/>
  <c r="N26" s="1"/>
  <c r="N30" s="1"/>
  <c r="N39" s="1"/>
  <c r="D18"/>
  <c r="D5"/>
  <c r="C13" s="1"/>
  <c r="Q4"/>
  <c r="D10" i="7"/>
  <c r="F9"/>
  <c r="D9"/>
  <c r="D8"/>
  <c r="F7"/>
  <c r="D7"/>
  <c r="D12" s="1"/>
  <c r="D6"/>
  <c r="D13" s="1"/>
  <c r="D3"/>
  <c r="D2"/>
  <c r="L27" i="6"/>
  <c r="L26"/>
  <c r="L21"/>
  <c r="D19"/>
  <c r="P15"/>
  <c r="L22" s="1"/>
  <c r="L30" s="1"/>
  <c r="L34" s="1"/>
  <c r="L43" s="1"/>
  <c r="O4"/>
  <c r="D4"/>
  <c r="D5"/>
  <c r="D6" s="1"/>
  <c r="D8" s="1"/>
  <c r="D4" i="1"/>
  <c r="Q4"/>
  <c r="D5"/>
  <c r="D6"/>
  <c r="D8" s="1"/>
  <c r="D18"/>
  <c r="N18"/>
  <c r="N19"/>
  <c r="N26" s="1"/>
  <c r="N30" s="1"/>
  <c r="D26"/>
  <c r="G29"/>
  <c r="F14" i="6"/>
  <c r="E9" i="9"/>
  <c r="C29" i="1"/>
  <c r="F12" i="7"/>
  <c r="E8" i="5"/>
  <c r="B13"/>
  <c r="E9"/>
  <c r="D13"/>
  <c r="E13" s="1"/>
  <c r="E8" i="2"/>
  <c r="B13"/>
  <c r="E9"/>
  <c r="D13"/>
  <c r="E13" s="1"/>
  <c r="L35" i="12"/>
  <c r="N41" s="1"/>
  <c r="D19" i="8" l="1"/>
  <c r="D21"/>
  <c r="F24" s="1"/>
  <c r="D20"/>
  <c r="D24" s="1"/>
  <c r="D42" i="1"/>
  <c r="G42" s="1"/>
  <c r="D40"/>
  <c r="D41" s="1"/>
  <c r="F14"/>
  <c r="D19"/>
  <c r="F15"/>
  <c r="F15" i="6"/>
  <c r="F17"/>
  <c r="F20" s="1"/>
  <c r="F16"/>
  <c r="D20" s="1"/>
  <c r="F4" i="11"/>
  <c r="I4"/>
  <c r="I7" s="1"/>
  <c r="F19" i="1"/>
  <c r="F16"/>
  <c r="B26" i="11"/>
  <c r="D6" i="8"/>
  <c r="D7" s="1"/>
  <c r="D14" i="12"/>
  <c r="F18" s="1"/>
  <c r="N39" i="1"/>
  <c r="P39"/>
  <c r="P36"/>
  <c r="D4" i="11"/>
  <c r="D6"/>
  <c r="P39" i="8"/>
  <c r="N40" i="6"/>
  <c r="N44" i="12"/>
  <c r="L44"/>
  <c r="P36" i="8"/>
  <c r="N43" i="6"/>
  <c r="F19" i="12" l="1"/>
  <c r="D23" s="1"/>
  <c r="F20"/>
  <c r="F23" s="1"/>
  <c r="D5" i="11"/>
  <c r="F7" s="1"/>
  <c r="F10" s="1"/>
  <c r="D7"/>
</calcChain>
</file>

<file path=xl/sharedStrings.xml><?xml version="1.0" encoding="utf-8"?>
<sst xmlns="http://schemas.openxmlformats.org/spreadsheetml/2006/main" count="463" uniqueCount="259">
  <si>
    <t>VALUE</t>
  </si>
  <si>
    <t>Mean</t>
  </si>
  <si>
    <t>m =</t>
  </si>
  <si>
    <t>Std Dev</t>
  </si>
  <si>
    <t>s =</t>
  </si>
  <si>
    <t>Given:</t>
  </si>
  <si>
    <t>Area(A &lt; Y &lt; B)</t>
  </si>
  <si>
    <t>A</t>
  </si>
  <si>
    <t>Area(Y &lt; A)</t>
  </si>
  <si>
    <t>B</t>
  </si>
  <si>
    <t>Area(Y &lt; B)</t>
  </si>
  <si>
    <t>Area(Y &gt; C)</t>
  </si>
  <si>
    <t>C</t>
  </si>
  <si>
    <t>Area (Y &lt; C)</t>
  </si>
  <si>
    <t>Area (Y &gt; C)</t>
  </si>
  <si>
    <t>Check</t>
  </si>
  <si>
    <t>Randomization?</t>
  </si>
  <si>
    <t>SRS or unbiased and representative</t>
  </si>
  <si>
    <t>&lt;10% of the population is sampled</t>
  </si>
  <si>
    <t>Success/Failure -        np &gt;=10, n(1-p) &gt;=10</t>
  </si>
  <si>
    <t xml:space="preserve">Population SD = </t>
  </si>
  <si>
    <t xml:space="preserve">I want to be </t>
  </si>
  <si>
    <t>%</t>
  </si>
  <si>
    <t>confident that p lies in my interval.</t>
  </si>
  <si>
    <t>a</t>
  </si>
  <si>
    <r>
      <t>a</t>
    </r>
    <r>
      <rPr>
        <sz val="11"/>
        <rFont val="Arial"/>
        <family val="2"/>
      </rPr>
      <t>/2</t>
    </r>
  </si>
  <si>
    <r>
      <t>1-</t>
    </r>
    <r>
      <rPr>
        <sz val="11"/>
        <rFont val="Symbol"/>
        <family val="1"/>
        <charset val="2"/>
      </rPr>
      <t>a</t>
    </r>
    <r>
      <rPr>
        <sz val="11"/>
        <rFont val="Arial"/>
        <family val="2"/>
      </rPr>
      <t>/2</t>
    </r>
  </si>
  <si>
    <r>
      <t>z</t>
    </r>
    <r>
      <rPr>
        <vertAlign val="subscript"/>
        <sz val="11"/>
        <rFont val="Arial"/>
        <family val="2"/>
      </rPr>
      <t>1-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/2</t>
    </r>
  </si>
  <si>
    <t>phat =</t>
  </si>
  <si>
    <t>This may need to be entered "=X/n".</t>
  </si>
  <si>
    <t>n=</t>
  </si>
  <si>
    <t xml:space="preserve">Confidence interval </t>
  </si>
  <si>
    <t>ME</t>
  </si>
  <si>
    <t>z(1-alpha/2)*sqrt(p(1-p)/n)</t>
  </si>
  <si>
    <t>Lower</t>
  </si>
  <si>
    <t>phat - z(1-alpha/2)*sqrt(p(1-p)/n)</t>
  </si>
  <si>
    <t>Upper</t>
  </si>
  <si>
    <t>phat + z(1-alpha/2)*sqrt(p(1-p)/n)</t>
  </si>
  <si>
    <t>I am</t>
  </si>
  <si>
    <t>confident that the true population proportion (p) lies in</t>
  </si>
  <si>
    <t>(</t>
  </si>
  <si>
    <t>,</t>
  </si>
  <si>
    <t>).</t>
  </si>
  <si>
    <t>Sample Size Calculations:</t>
  </si>
  <si>
    <t>Desired Margin of error =</t>
  </si>
  <si>
    <t>Desired Confidence =</t>
  </si>
  <si>
    <t>=</t>
  </si>
  <si>
    <t>Max has phat = 0.5</t>
  </si>
  <si>
    <t>Given phat =</t>
  </si>
  <si>
    <t xml:space="preserve">n = </t>
  </si>
  <si>
    <r>
      <t>n</t>
    </r>
    <r>
      <rPr>
        <vertAlign val="subscript"/>
        <sz val="11"/>
        <rFont val="Arial"/>
        <family val="2"/>
      </rPr>
      <t>MAX</t>
    </r>
    <r>
      <rPr>
        <sz val="11"/>
        <rFont val="Arial"/>
        <family val="2"/>
      </rPr>
      <t xml:space="preserve"> =</t>
    </r>
  </si>
  <si>
    <t>n = (z(1-alpha/2) / ME)^2 * phat * (1-phat)</t>
  </si>
  <si>
    <t>Step 1:  Formulate Hypotheses</t>
  </si>
  <si>
    <t>Null</t>
  </si>
  <si>
    <r>
      <t>H</t>
    </r>
    <r>
      <rPr>
        <vertAlign val="subscript"/>
        <sz val="10"/>
        <rFont val="Arial"/>
        <family val="2"/>
      </rPr>
      <t xml:space="preserve">O </t>
    </r>
    <r>
      <rPr>
        <sz val="10"/>
        <rFont val="Arial"/>
        <family val="2"/>
      </rPr>
      <t>:</t>
    </r>
  </si>
  <si>
    <t>p</t>
  </si>
  <si>
    <t>Alternative</t>
  </si>
  <si>
    <r>
      <t>H</t>
    </r>
    <r>
      <rPr>
        <vertAlign val="subscript"/>
        <sz val="10"/>
        <rFont val="Arial"/>
        <family val="2"/>
      </rPr>
      <t xml:space="preserve">A </t>
    </r>
    <r>
      <rPr>
        <sz val="10"/>
        <rFont val="Arial"/>
        <family val="2"/>
      </rPr>
      <t>:</t>
    </r>
  </si>
  <si>
    <t>Step 2:  Check Assumptions and decide on a Model</t>
  </si>
  <si>
    <t>Y or N?</t>
  </si>
  <si>
    <t>Independence?</t>
  </si>
  <si>
    <t>Less than 10%?</t>
  </si>
  <si>
    <t>Success/Failure?</t>
  </si>
  <si>
    <t>If all four conditions are met, a normal model and a one proportion z-test are appropriate.</t>
  </si>
  <si>
    <t>phat ~ N(p, sqrt( p(1-p)/n ) )</t>
  </si>
  <si>
    <r>
      <t>Assuming H</t>
    </r>
    <r>
      <rPr>
        <vertAlign val="sub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 xml:space="preserve"> is true.</t>
    </r>
  </si>
  <si>
    <t>mu(phat) =</t>
  </si>
  <si>
    <t xml:space="preserve">sd(phat) = </t>
  </si>
  <si>
    <t>Step 3:  Calculate the standardized test statistic and the P-value</t>
  </si>
  <si>
    <t xml:space="preserve">phat from sample = </t>
  </si>
  <si>
    <t>May need to be "=X/n"</t>
  </si>
  <si>
    <t>zstat = [phat - mu(phat)] / [sd(phat)]</t>
  </si>
  <si>
    <t>Test Statistic:</t>
  </si>
  <si>
    <r>
      <t>P-value = P(get what you got or more in support of H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)</t>
    </r>
  </si>
  <si>
    <t>P-value =</t>
  </si>
  <si>
    <t>Step 4:  Statistical and English Conclusions</t>
  </si>
  <si>
    <t xml:space="preserve">Statistical:  </t>
  </si>
  <si>
    <t>P-value cut off for significance?</t>
  </si>
  <si>
    <r>
      <t>H</t>
    </r>
    <r>
      <rPr>
        <vertAlign val="subscript"/>
        <sz val="10"/>
        <rFont val="Arial"/>
        <family val="2"/>
      </rPr>
      <t>O</t>
    </r>
  </si>
  <si>
    <t>English:</t>
  </si>
  <si>
    <t>There</t>
  </si>
  <si>
    <t>evidence for "the alternative hypothesis".</t>
  </si>
  <si>
    <t>Note:  "the alternative hypothesis" is problem specific and should MATCH the question!</t>
  </si>
  <si>
    <t>Less Than</t>
  </si>
  <si>
    <t>Greater Than</t>
  </si>
  <si>
    <t>Not Equal</t>
  </si>
  <si>
    <r>
      <t>confident that p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p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lies in my interval.</t>
    </r>
  </si>
  <si>
    <t>p1-p2</t>
  </si>
  <si>
    <r>
      <t>phat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=</t>
    </r>
  </si>
  <si>
    <r>
      <t>phat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=</t>
    </r>
  </si>
  <si>
    <r>
      <t>Sucesses</t>
    </r>
    <r>
      <rPr>
        <vertAlign val="subscript"/>
        <sz val="10"/>
        <rFont val="Arial"/>
        <family val="2"/>
      </rPr>
      <t xml:space="preserve">1 </t>
    </r>
    <r>
      <rPr>
        <sz val="11"/>
        <color theme="1"/>
        <rFont val="Calibri"/>
        <family val="2"/>
        <scheme val="minor"/>
      </rPr>
      <t>=</t>
    </r>
  </si>
  <si>
    <r>
      <t>Sucesses</t>
    </r>
    <r>
      <rPr>
        <vertAlign val="subscript"/>
        <sz val="10"/>
        <rFont val="Arial"/>
        <family val="2"/>
      </rPr>
      <t xml:space="preserve">2 </t>
    </r>
    <r>
      <rPr>
        <sz val="11"/>
        <color theme="1"/>
        <rFont val="Calibri"/>
        <family val="2"/>
        <scheme val="minor"/>
      </rPr>
      <t>=</t>
    </r>
  </si>
  <si>
    <t>Sucesses = n*p</t>
  </si>
  <si>
    <r>
      <t>n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=</t>
    </r>
  </si>
  <si>
    <r>
      <t>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=</t>
    </r>
  </si>
  <si>
    <t>Round to whole #</t>
  </si>
  <si>
    <t>Independent Groups?</t>
  </si>
  <si>
    <t>StdEr</t>
  </si>
  <si>
    <t>z(1-alpha/2)*sqrt(phat1(1-phat1)/n1 + phat2(1-phat2)/n2 )</t>
  </si>
  <si>
    <t xml:space="preserve">phatpooled = </t>
  </si>
  <si>
    <t>(phat1 - phat2) - z(1-alpha/2)*sqrt(phat1(1-phat1)/n1 + phat2(1-phat2)/n2 )</t>
  </si>
  <si>
    <t>(phat1 - phat2) + z(1-alpha/2)*sqrt(phat1(1-phat1)/n1 + phat2(1-phat2)/n2 )</t>
  </si>
  <si>
    <t>If all five conditions are met, a normal model and a TWO proportion z-test are appropriate.</t>
  </si>
  <si>
    <t>confident that the true population proportion (p1-p2) lies in</t>
  </si>
  <si>
    <t>phat1 - phat2 ~ N( 0 , sqrt( phat(1-phat)/n1 + phat(1-phat)/n2 ) )</t>
  </si>
  <si>
    <t>mu(phat1 - phat2) =</t>
  </si>
  <si>
    <t xml:space="preserve">sd(phat1 - phat2) = </t>
  </si>
  <si>
    <t xml:space="preserve">phat1 from sample = </t>
  </si>
  <si>
    <t xml:space="preserve">phat2 from sample = </t>
  </si>
  <si>
    <t>zstat = [(phat1 - phat2) - 0] / [sd(phat1 - phat2)]</t>
  </si>
  <si>
    <t>SortedDATA</t>
  </si>
  <si>
    <t>Statistic</t>
  </si>
  <si>
    <t>Value</t>
  </si>
  <si>
    <t>average=</t>
  </si>
  <si>
    <t>stdev=</t>
  </si>
  <si>
    <t>MIN=</t>
  </si>
  <si>
    <t>Q1=</t>
  </si>
  <si>
    <t>lower hinge=</t>
  </si>
  <si>
    <t>Median=</t>
  </si>
  <si>
    <t>Q3=</t>
  </si>
  <si>
    <t>upper hinge=</t>
  </si>
  <si>
    <t>MAX=</t>
  </si>
  <si>
    <t>IQR=</t>
  </si>
  <si>
    <t>InterHingeRange=</t>
  </si>
  <si>
    <t>RANGE=</t>
  </si>
  <si>
    <t>t-test and CI…sigma unknown</t>
  </si>
  <si>
    <r>
      <t xml:space="preserve">confident that </t>
    </r>
    <r>
      <rPr>
        <b/>
        <sz val="11"/>
        <rFont val="Symbol"/>
        <family val="1"/>
        <charset val="2"/>
      </rPr>
      <t>m</t>
    </r>
    <r>
      <rPr>
        <b/>
        <sz val="11"/>
        <rFont val="Arial"/>
        <family val="2"/>
      </rPr>
      <t xml:space="preserve"> lies in my interval.</t>
    </r>
  </si>
  <si>
    <t>m</t>
  </si>
  <si>
    <t>df = n - 1</t>
  </si>
  <si>
    <t>df + 1 = n</t>
  </si>
  <si>
    <r>
      <t xml:space="preserve">Unknown </t>
    </r>
    <r>
      <rPr>
        <sz val="11"/>
        <rFont val="Symbol"/>
        <family val="1"/>
        <charset val="2"/>
      </rPr>
      <t xml:space="preserve">s, </t>
    </r>
    <r>
      <rPr>
        <sz val="11"/>
        <rFont val="Arial"/>
        <family val="2"/>
      </rPr>
      <t>Estimate with s</t>
    </r>
  </si>
  <si>
    <t>n =</t>
  </si>
  <si>
    <t xml:space="preserve">s = </t>
  </si>
  <si>
    <t>Unknown sigma, estimate with s =</t>
  </si>
  <si>
    <t>Shape?</t>
  </si>
  <si>
    <t>No outliers, no strong skewness</t>
  </si>
  <si>
    <r>
      <t>t</t>
    </r>
    <r>
      <rPr>
        <vertAlign val="subscript"/>
        <sz val="11"/>
        <rFont val="Arial"/>
        <family val="2"/>
      </rPr>
      <t>n-1; 1-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/2</t>
    </r>
    <r>
      <rPr>
        <sz val="11"/>
        <rFont val="Arial"/>
        <family val="2"/>
      </rPr>
      <t xml:space="preserve"> =</t>
    </r>
  </si>
  <si>
    <t>If all four conditions are met, a normal model and a one mean t-test are appropriate.</t>
  </si>
  <si>
    <t xml:space="preserve">xbar = </t>
  </si>
  <si>
    <t>t-test, sigma unknown</t>
  </si>
  <si>
    <r>
      <t>(xbar - mu)/(s/sqrt(n)) ~ t</t>
    </r>
    <r>
      <rPr>
        <vertAlign val="subscript"/>
        <sz val="11"/>
        <color indexed="8"/>
        <rFont val="Arial"/>
        <family val="2"/>
      </rPr>
      <t>n-1</t>
    </r>
  </si>
  <si>
    <t>SE(xbar)</t>
  </si>
  <si>
    <t>mu(xbar) =</t>
  </si>
  <si>
    <t>Note ME increases as confidence increases.</t>
  </si>
  <si>
    <t>SE(xbar) =</t>
  </si>
  <si>
    <t>confident that the true population mean lies in</t>
  </si>
  <si>
    <t xml:space="preserve">xbar from sample = </t>
  </si>
  <si>
    <t>tstat = [xbar - mu] / [s/sqrt(n)]</t>
  </si>
  <si>
    <t>Note that ME also = (Upper - Lower)/2</t>
  </si>
  <si>
    <t>t-table</t>
  </si>
  <si>
    <t>one p</t>
  </si>
  <si>
    <t>two ps</t>
  </si>
  <si>
    <t>Degrees of Freedom</t>
  </si>
  <si>
    <t>n - 1 =</t>
  </si>
  <si>
    <t>t</t>
  </si>
  <si>
    <t>Area &lt; t =</t>
  </si>
  <si>
    <t>t =</t>
  </si>
  <si>
    <t>Area(t &lt; A)</t>
  </si>
  <si>
    <t>Area(t &lt; B)</t>
  </si>
  <si>
    <t>Area( |t| &gt; D)</t>
  </si>
  <si>
    <t>D</t>
  </si>
  <si>
    <t>Area (|t| &gt; D)</t>
  </si>
  <si>
    <t>Area(t &gt; C)</t>
  </si>
  <si>
    <t>Area (t &gt; C)</t>
  </si>
  <si>
    <t>Step 1:</t>
  </si>
  <si>
    <t>Estimate n with a z value:</t>
  </si>
  <si>
    <t>At</t>
  </si>
  <si>
    <t xml:space="preserve">confidence, </t>
  </si>
  <si>
    <r>
      <t>z</t>
    </r>
    <r>
      <rPr>
        <vertAlign val="subscript"/>
        <sz val="11"/>
        <color indexed="8"/>
        <rFont val="Calibri"/>
        <family val="2"/>
      </rPr>
      <t>1-</t>
    </r>
    <r>
      <rPr>
        <vertAlign val="subscript"/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 xml:space="preserve">/2 </t>
    </r>
    <r>
      <rPr>
        <sz val="11"/>
        <color indexed="8"/>
        <rFont val="Arial"/>
        <family val="2"/>
      </rPr>
      <t>=</t>
    </r>
  </si>
  <si>
    <t xml:space="preserve">ME desired = </t>
  </si>
  <si>
    <r>
      <t>(z</t>
    </r>
    <r>
      <rPr>
        <vertAlign val="subscript"/>
        <sz val="11"/>
        <color indexed="8"/>
        <rFont val="Calibri"/>
        <family val="2"/>
      </rPr>
      <t>1-</t>
    </r>
    <r>
      <rPr>
        <vertAlign val="subscript"/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Calibri"/>
        <family val="2"/>
      </rPr>
      <t>/2</t>
    </r>
    <r>
      <rPr>
        <sz val="11"/>
        <color indexed="8"/>
        <rFont val="Calibri"/>
        <family val="2"/>
      </rPr>
      <t xml:space="preserve"> *s/ME)^2 =</t>
    </r>
  </si>
  <si>
    <t>Step 2:  Use the n from step 1 with a t(n-1) distribution:</t>
  </si>
  <si>
    <r>
      <t>t</t>
    </r>
    <r>
      <rPr>
        <vertAlign val="subscript"/>
        <sz val="11"/>
        <color indexed="8"/>
        <rFont val="Calibri"/>
        <family val="2"/>
      </rPr>
      <t>1-</t>
    </r>
    <r>
      <rPr>
        <vertAlign val="subscript"/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 xml:space="preserve">/2; n-1 </t>
    </r>
    <r>
      <rPr>
        <sz val="11"/>
        <color indexed="8"/>
        <rFont val="Arial"/>
        <family val="2"/>
      </rPr>
      <t>=</t>
    </r>
  </si>
  <si>
    <r>
      <t>(t</t>
    </r>
    <r>
      <rPr>
        <vertAlign val="subscript"/>
        <sz val="11"/>
        <color indexed="8"/>
        <rFont val="Calibri"/>
        <family val="2"/>
      </rPr>
      <t>1-</t>
    </r>
    <r>
      <rPr>
        <vertAlign val="subscript"/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Calibri"/>
        <family val="2"/>
      </rPr>
      <t>/2</t>
    </r>
    <r>
      <rPr>
        <sz val="11"/>
        <color indexed="8"/>
        <rFont val="Calibri"/>
        <family val="2"/>
      </rPr>
      <t xml:space="preserve"> *s/ME)^2 =</t>
    </r>
  </si>
  <si>
    <t>x</t>
  </si>
  <si>
    <t>P(X=x)</t>
  </si>
  <si>
    <t>(x-mu) squared</t>
  </si>
  <si>
    <t xml:space="preserve">E(X^2) = </t>
  </si>
  <si>
    <t>x^2</t>
  </si>
  <si>
    <t>E(X^2)-[E(X)]^2 =</t>
  </si>
  <si>
    <t>CHECK =</t>
  </si>
  <si>
    <t xml:space="preserve">sigma(X) = </t>
  </si>
  <si>
    <t>CHECK = 1:</t>
  </si>
  <si>
    <t>Area outside |t|</t>
  </si>
  <si>
    <t>Probabilitiy Models:  Enter x and P(X=x) in the yellow squares</t>
  </si>
  <si>
    <r>
      <t xml:space="preserve">E(X) = </t>
    </r>
    <r>
      <rPr>
        <sz val="10"/>
        <rFont val="Symbol"/>
        <family val="1"/>
        <charset val="2"/>
      </rPr>
      <t>m =</t>
    </r>
  </si>
  <si>
    <r>
      <t xml:space="preserve">Var(X) = </t>
    </r>
    <r>
      <rPr>
        <sz val="10"/>
        <rFont val="Symbol"/>
        <family val="1"/>
        <charset val="2"/>
      </rPr>
      <t>s</t>
    </r>
    <r>
      <rPr>
        <vertAlign val="superscript"/>
        <sz val="10"/>
        <rFont val="Symbol"/>
        <family val="1"/>
        <charset val="2"/>
      </rPr>
      <t xml:space="preserve">2 </t>
    </r>
    <r>
      <rPr>
        <sz val="10"/>
        <rFont val="Symbol"/>
        <family val="1"/>
        <charset val="2"/>
      </rPr>
      <t>=</t>
    </r>
  </si>
  <si>
    <t>You may change YELLOW cells ONLY!!!</t>
  </si>
  <si>
    <t>From Problem:</t>
  </si>
  <si>
    <r>
      <t xml:space="preserve">For Area ( Y = N(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, </t>
    </r>
    <r>
      <rPr>
        <sz val="11"/>
        <rFont val="Symbol"/>
        <family val="1"/>
        <charset val="2"/>
      </rPr>
      <t xml:space="preserve">s </t>
    </r>
    <r>
      <rPr>
        <sz val="11"/>
        <color theme="1"/>
        <rFont val="Calibri"/>
        <family val="2"/>
        <scheme val="minor"/>
      </rPr>
      <t xml:space="preserve">) &lt; value ) = prob </t>
    </r>
  </si>
  <si>
    <t>value</t>
  </si>
  <si>
    <t xml:space="preserve">prob = </t>
  </si>
  <si>
    <t>prob (in [0,1])</t>
  </si>
  <si>
    <t>value =</t>
  </si>
  <si>
    <t>Sampling distribution of the sample proportion of sucesses (phat):</t>
  </si>
  <si>
    <r>
      <t xml:space="preserve">m </t>
    </r>
    <r>
      <rPr>
        <sz val="11"/>
        <color indexed="8"/>
        <rFont val="Symbol"/>
        <family val="1"/>
        <charset val="2"/>
      </rPr>
      <t xml:space="preserve"> =</t>
    </r>
  </si>
  <si>
    <r>
      <t>For Area ( Y = phat</t>
    </r>
    <r>
      <rPr>
        <sz val="11"/>
        <color theme="1"/>
        <rFont val="Calibri"/>
        <family val="2"/>
        <scheme val="minor"/>
      </rPr>
      <t xml:space="preserve"> &lt; value ) = prob </t>
    </r>
  </si>
  <si>
    <t>Sampling distribution of the sample mean (xbar):</t>
  </si>
  <si>
    <r>
      <t xml:space="preserve">For Area ( Y= xbar </t>
    </r>
    <r>
      <rPr>
        <sz val="11"/>
        <color theme="1"/>
        <rFont val="Calibri"/>
        <family val="2"/>
        <scheme val="minor"/>
      </rPr>
      <t xml:space="preserve">&lt; value ) = prob </t>
    </r>
  </si>
  <si>
    <r>
      <t xml:space="preserve">confident that </t>
    </r>
    <r>
      <rPr>
        <b/>
        <sz val="11"/>
        <rFont val="Symbol"/>
        <family val="1"/>
        <charset val="2"/>
      </rPr>
      <t>m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</t>
    </r>
    <r>
      <rPr>
        <b/>
        <sz val="11"/>
        <rFont val="Symbol"/>
        <family val="1"/>
        <charset val="2"/>
      </rPr>
      <t>m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lies in my interval.</t>
    </r>
  </si>
  <si>
    <t>t-test and CI…variances unknown</t>
  </si>
  <si>
    <r>
      <t>t</t>
    </r>
    <r>
      <rPr>
        <vertAlign val="subscript"/>
        <sz val="11"/>
        <rFont val="Arial"/>
        <family val="2"/>
      </rPr>
      <t>1-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/2;df</t>
    </r>
  </si>
  <si>
    <r>
      <t>xbar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 xml:space="preserve"> =</t>
    </r>
  </si>
  <si>
    <r>
      <t>xbar</t>
    </r>
    <r>
      <rPr>
        <vertAlign val="subscript"/>
        <sz val="11"/>
        <rFont val="Arial"/>
        <family val="2"/>
      </rPr>
      <t xml:space="preserve">2 </t>
    </r>
    <r>
      <rPr>
        <sz val="11"/>
        <rFont val="Arial"/>
        <family val="2"/>
      </rPr>
      <t>=</t>
    </r>
  </si>
  <si>
    <r>
      <t>s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=</t>
    </r>
  </si>
  <si>
    <r>
      <t>s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=</t>
    </r>
  </si>
  <si>
    <t>sqrt(s1^2/n1+s2^2/n2)</t>
  </si>
  <si>
    <r>
      <t>SE(xbar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-xbar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</si>
  <si>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t>t * SE</t>
  </si>
  <si>
    <t>(xbar1-xbar2) - ME</t>
  </si>
  <si>
    <t>(xbar1-xbar2)+ ME</t>
  </si>
  <si>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>-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Calibri"/>
        <family val="2"/>
      </rPr>
      <t>2</t>
    </r>
  </si>
  <si>
    <r>
      <t>( [xbar1-xbar2] - [mu1-mu2] ) / SE(  [xbar1-xbar2]  ) ~  t</t>
    </r>
    <r>
      <rPr>
        <vertAlign val="subscript"/>
        <sz val="11"/>
        <color indexed="8"/>
        <rFont val="Arial"/>
        <family val="2"/>
      </rPr>
      <t>df</t>
    </r>
  </si>
  <si>
    <t>mu(xbar1 - xbar2) =</t>
  </si>
  <si>
    <t>tstat = ( [xbar1-xbar2] - [mu1-mu2] ) / SE(  [xbar1-xbar2]  )</t>
  </si>
  <si>
    <t xml:space="preserve">se(xbar1 - xbar2) = </t>
  </si>
  <si>
    <t>df =</t>
  </si>
  <si>
    <t>Nearly Normal?</t>
  </si>
  <si>
    <t>exact;</t>
  </si>
  <si>
    <t>two mus</t>
  </si>
  <si>
    <t xml:space="preserve">df exact= </t>
  </si>
  <si>
    <r>
      <t xml:space="preserve">confident that </t>
    </r>
    <r>
      <rPr>
        <sz val="11"/>
        <rFont val="Symbol"/>
        <family val="1"/>
        <charset val="2"/>
      </rPr>
      <t>m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 xml:space="preserve"> - </t>
    </r>
    <r>
      <rPr>
        <sz val="11"/>
        <rFont val="Symbol"/>
        <family val="1"/>
        <charset val="2"/>
      </rPr>
      <t>m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lies in the interval</t>
    </r>
  </si>
  <si>
    <t>Group 1</t>
  </si>
  <si>
    <t>Group 2</t>
  </si>
  <si>
    <t>xbar1=</t>
  </si>
  <si>
    <t>s1=</t>
  </si>
  <si>
    <t>n1=</t>
  </si>
  <si>
    <t>xbar2=</t>
  </si>
  <si>
    <t>s2=</t>
  </si>
  <si>
    <t>n2=</t>
  </si>
  <si>
    <t>If all three conditions are met, a two sample t-test for difference of means is appropriate.</t>
  </si>
  <si>
    <r>
      <t xml:space="preserve">If X1, X2, … Xm are independent random variables with mean </t>
    </r>
    <r>
      <rPr>
        <sz val="11"/>
        <color indexed="8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and sd </t>
    </r>
    <r>
      <rPr>
        <sz val="11"/>
        <color indexed="8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,</t>
    </r>
  </si>
  <si>
    <t xml:space="preserve">m = </t>
  </si>
  <si>
    <r>
      <t>m(</t>
    </r>
    <r>
      <rPr>
        <sz val="11"/>
        <color theme="1"/>
        <rFont val="Calibri"/>
        <family val="2"/>
        <scheme val="minor"/>
      </rPr>
      <t>X1+X2+…Xm) =</t>
    </r>
  </si>
  <si>
    <r>
      <t>s</t>
    </r>
    <r>
      <rPr>
        <sz val="11"/>
        <color theme="1"/>
        <rFont val="Calibri"/>
        <family val="2"/>
        <scheme val="minor"/>
      </rPr>
      <t>(X1+X2+…Xm) =</t>
    </r>
  </si>
  <si>
    <t>If X and Y are independent random variables</t>
  </si>
  <si>
    <r>
      <t>m(</t>
    </r>
    <r>
      <rPr>
        <sz val="11"/>
        <color theme="1"/>
        <rFont val="Calibri"/>
        <family val="2"/>
        <scheme val="minor"/>
      </rPr>
      <t>X) =</t>
    </r>
  </si>
  <si>
    <r>
      <t>m(</t>
    </r>
    <r>
      <rPr>
        <sz val="11"/>
        <color theme="1"/>
        <rFont val="Calibri"/>
        <family val="2"/>
        <scheme val="minor"/>
      </rPr>
      <t>Y) =</t>
    </r>
  </si>
  <si>
    <t>a=</t>
  </si>
  <si>
    <r>
      <t>s</t>
    </r>
    <r>
      <rPr>
        <sz val="11"/>
        <color theme="1"/>
        <rFont val="Calibri"/>
        <family val="2"/>
        <scheme val="minor"/>
      </rPr>
      <t>(X) =</t>
    </r>
  </si>
  <si>
    <r>
      <t>s</t>
    </r>
    <r>
      <rPr>
        <sz val="11"/>
        <color theme="1"/>
        <rFont val="Calibri"/>
        <family val="2"/>
        <scheme val="minor"/>
      </rPr>
      <t>(Y) =</t>
    </r>
  </si>
  <si>
    <t>b=</t>
  </si>
  <si>
    <r>
      <t>m(</t>
    </r>
    <r>
      <rPr>
        <sz val="11"/>
        <color theme="1"/>
        <rFont val="Calibri"/>
        <family val="2"/>
        <scheme val="minor"/>
      </rPr>
      <t>aX+/-bY) =</t>
    </r>
  </si>
  <si>
    <r>
      <t>s(</t>
    </r>
    <r>
      <rPr>
        <sz val="11"/>
        <color theme="1"/>
        <rFont val="Calibri"/>
        <family val="2"/>
        <scheme val="minor"/>
      </rPr>
      <t>aX+/-bY) =</t>
    </r>
  </si>
  <si>
    <t>Solving for Confidence:</t>
  </si>
  <si>
    <t>ME given =</t>
  </si>
  <si>
    <t>n given =</t>
  </si>
  <si>
    <t>phat given =</t>
  </si>
  <si>
    <t>z =ME*sqrt(n/(phat*(1-phat)))</t>
  </si>
  <si>
    <t xml:space="preserve">Area &lt; </t>
  </si>
  <si>
    <r>
      <rPr>
        <sz val="11"/>
        <rFont val="Symbol"/>
        <family val="1"/>
        <charset val="2"/>
      </rPr>
      <t>a</t>
    </r>
    <r>
      <rPr>
        <sz val="11"/>
        <rFont val="Arial"/>
        <family val="2"/>
      </rPr>
      <t>/2=</t>
    </r>
  </si>
  <si>
    <r>
      <t>a</t>
    </r>
    <r>
      <rPr>
        <sz val="11"/>
        <rFont val="Arial"/>
        <family val="2"/>
      </rPr>
      <t>=</t>
    </r>
  </si>
  <si>
    <r>
      <t>1-</t>
    </r>
    <r>
      <rPr>
        <sz val="11"/>
        <rFont val="Symbol"/>
        <family val="1"/>
        <charset val="2"/>
      </rPr>
      <t>a</t>
    </r>
    <r>
      <rPr>
        <sz val="11"/>
        <rFont val="Arial"/>
        <family val="2"/>
      </rPr>
      <t xml:space="preserve">= </t>
    </r>
  </si>
  <si>
    <t xml:space="preserve">We have a </t>
  </si>
  <si>
    <t>% CI.</t>
  </si>
  <si>
    <t>a =</t>
  </si>
  <si>
    <t>t*=</t>
  </si>
  <si>
    <r>
      <t>P-value cut off for significance =</t>
    </r>
    <r>
      <rPr>
        <sz val="11"/>
        <color indexed="8"/>
        <rFont val="Symbol"/>
        <family val="1"/>
        <charset val="2"/>
      </rPr>
      <t xml:space="preserve"> a </t>
    </r>
    <r>
      <rPr>
        <sz val="11"/>
        <color theme="1"/>
        <rFont val="Calibri"/>
        <family val="2"/>
        <scheme val="minor"/>
      </rPr>
      <t>(entered above)</t>
    </r>
  </si>
  <si>
    <t>t-critical has area outside CI = alpha if Ha has not equal, and 2alpha for &lt;,&gt;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</si>
</sst>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Symbol"/>
      <family val="1"/>
      <charset val="2"/>
    </font>
    <font>
      <vertAlign val="subscript"/>
      <sz val="11"/>
      <name val="Arial"/>
      <family val="2"/>
    </font>
    <font>
      <vertAlign val="subscript"/>
      <sz val="11"/>
      <name val="Symbol"/>
      <family val="1"/>
      <charset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4"/>
      <name val="Arial"/>
      <family val="2"/>
    </font>
    <font>
      <b/>
      <sz val="11"/>
      <name val="Symbol"/>
      <family val="1"/>
      <charset val="2"/>
    </font>
    <font>
      <vertAlign val="subscript"/>
      <sz val="11"/>
      <color indexed="8"/>
      <name val="Arial"/>
      <family val="2"/>
    </font>
    <font>
      <sz val="11"/>
      <name val="Calibri"/>
      <family val="2"/>
    </font>
    <font>
      <vertAlign val="subscript"/>
      <sz val="11"/>
      <color indexed="8"/>
      <name val="Calibri"/>
      <family val="2"/>
    </font>
    <font>
      <vertAlign val="subscript"/>
      <sz val="11"/>
      <color indexed="8"/>
      <name val="Symbol"/>
      <family val="1"/>
      <charset val="2"/>
    </font>
    <font>
      <sz val="10"/>
      <name val="Symbol"/>
      <family val="1"/>
      <charset val="2"/>
    </font>
    <font>
      <vertAlign val="superscript"/>
      <sz val="10"/>
      <name val="Symbol"/>
      <family val="1"/>
      <charset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CC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3" fillId="7" borderId="9" xfId="0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0" fillId="2" borderId="10" xfId="0" applyFont="1" applyFill="1" applyBorder="1"/>
    <xf numFmtId="0" fontId="11" fillId="0" borderId="0" xfId="0" applyFont="1"/>
    <xf numFmtId="0" fontId="9" fillId="2" borderId="0" xfId="0" applyFont="1" applyFill="1"/>
    <xf numFmtId="0" fontId="9" fillId="4" borderId="11" xfId="0" applyFont="1" applyFill="1" applyBorder="1"/>
    <xf numFmtId="0" fontId="9" fillId="4" borderId="12" xfId="0" applyFont="1" applyFill="1" applyBorder="1"/>
    <xf numFmtId="0" fontId="9" fillId="4" borderId="13" xfId="0" applyFont="1" applyFill="1" applyBorder="1"/>
    <xf numFmtId="0" fontId="9" fillId="4" borderId="14" xfId="0" applyFont="1" applyFill="1" applyBorder="1"/>
    <xf numFmtId="0" fontId="9" fillId="4" borderId="15" xfId="0" applyFont="1" applyFill="1" applyBorder="1" applyAlignment="1">
      <alignment horizontal="right"/>
    </xf>
    <xf numFmtId="0" fontId="9" fillId="4" borderId="15" xfId="0" applyFont="1" applyFill="1" applyBorder="1"/>
    <xf numFmtId="0" fontId="9" fillId="4" borderId="16" xfId="0" applyFont="1" applyFill="1" applyBorder="1"/>
    <xf numFmtId="0" fontId="9" fillId="5" borderId="0" xfId="0" applyFont="1" applyFill="1"/>
    <xf numFmtId="0" fontId="9" fillId="8" borderId="0" xfId="0" applyFont="1" applyFill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11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9" fillId="0" borderId="0" xfId="0" applyFont="1" applyFill="1"/>
    <xf numFmtId="0" fontId="10" fillId="0" borderId="0" xfId="0" applyFont="1" applyFill="1"/>
    <xf numFmtId="0" fontId="17" fillId="0" borderId="0" xfId="0" applyFont="1" applyFill="1"/>
    <xf numFmtId="0" fontId="19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9" fillId="4" borderId="0" xfId="0" applyFont="1" applyFill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2" fillId="9" borderId="6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0" borderId="0" xfId="0" applyFont="1"/>
    <xf numFmtId="0" fontId="0" fillId="10" borderId="0" xfId="0" applyFill="1"/>
    <xf numFmtId="0" fontId="0" fillId="0" borderId="8" xfId="0" applyBorder="1" applyAlignment="1">
      <alignment horizontal="center"/>
    </xf>
    <xf numFmtId="0" fontId="4" fillId="0" borderId="0" xfId="0" applyFont="1" applyFill="1"/>
    <xf numFmtId="0" fontId="0" fillId="12" borderId="8" xfId="0" applyFill="1" applyBorder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4" borderId="0" xfId="0" applyFill="1"/>
    <xf numFmtId="0" fontId="0" fillId="12" borderId="8" xfId="0" applyFill="1" applyBorder="1"/>
    <xf numFmtId="0" fontId="4" fillId="0" borderId="0" xfId="0" applyFont="1" applyAlignment="1">
      <alignment horizontal="center"/>
    </xf>
    <xf numFmtId="0" fontId="3" fillId="0" borderId="9" xfId="0" applyFont="1" applyFill="1" applyBorder="1" applyAlignment="1">
      <alignment horizontal="right"/>
    </xf>
    <xf numFmtId="0" fontId="0" fillId="11" borderId="1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5" borderId="8" xfId="0" applyFill="1" applyBorder="1"/>
    <xf numFmtId="0" fontId="0" fillId="13" borderId="0" xfId="0" applyFill="1" applyAlignment="1">
      <alignment horizontal="center"/>
    </xf>
    <xf numFmtId="0" fontId="8" fillId="0" borderId="9" xfId="0" applyFont="1" applyFill="1" applyBorder="1" applyAlignment="1">
      <alignment horizontal="right"/>
    </xf>
    <xf numFmtId="0" fontId="9" fillId="11" borderId="0" xfId="0" applyFont="1" applyFill="1"/>
    <xf numFmtId="0" fontId="9" fillId="16" borderId="0" xfId="0" applyFont="1" applyFill="1"/>
    <xf numFmtId="0" fontId="0" fillId="16" borderId="0" xfId="0" applyFill="1"/>
    <xf numFmtId="0" fontId="0" fillId="0" borderId="0" xfId="0" applyFill="1" applyAlignment="1">
      <alignment horizontal="right"/>
    </xf>
    <xf numFmtId="0" fontId="8" fillId="0" borderId="0" xfId="0" applyFont="1" applyAlignment="1">
      <alignment horizontal="right"/>
    </xf>
    <xf numFmtId="0" fontId="0" fillId="17" borderId="8" xfId="0" applyFill="1" applyBorder="1" applyAlignment="1">
      <alignment horizontal="center"/>
    </xf>
    <xf numFmtId="0" fontId="0" fillId="17" borderId="8" xfId="0" applyFill="1" applyBorder="1"/>
    <xf numFmtId="0" fontId="0" fillId="0" borderId="9" xfId="0" applyBorder="1"/>
    <xf numFmtId="0" fontId="0" fillId="11" borderId="1" xfId="0" applyFill="1" applyBorder="1"/>
    <xf numFmtId="0" fontId="29" fillId="0" borderId="9" xfId="0" applyFont="1" applyBorder="1"/>
    <xf numFmtId="0" fontId="29" fillId="0" borderId="0" xfId="0" applyFont="1"/>
    <xf numFmtId="0" fontId="29" fillId="0" borderId="0" xfId="0" applyFont="1" applyFill="1" applyBorder="1"/>
    <xf numFmtId="0" fontId="0" fillId="0" borderId="0" xfId="0" applyFont="1" applyFill="1" applyBorder="1"/>
    <xf numFmtId="0" fontId="0" fillId="11" borderId="0" xfId="0" applyFill="1"/>
    <xf numFmtId="0" fontId="27" fillId="0" borderId="0" xfId="0" applyFont="1"/>
    <xf numFmtId="0" fontId="27" fillId="11" borderId="0" xfId="0" applyFont="1" applyFill="1"/>
    <xf numFmtId="0" fontId="27" fillId="13" borderId="0" xfId="0" applyFont="1" applyFill="1"/>
    <xf numFmtId="0" fontId="27" fillId="18" borderId="0" xfId="0" applyFont="1" applyFill="1"/>
    <xf numFmtId="0" fontId="9" fillId="18" borderId="0" xfId="0" applyFont="1" applyFill="1"/>
    <xf numFmtId="0" fontId="27" fillId="19" borderId="0" xfId="0" applyFont="1" applyFill="1"/>
    <xf numFmtId="0" fontId="9" fillId="19" borderId="0" xfId="0" applyFont="1" applyFill="1"/>
    <xf numFmtId="0" fontId="29" fillId="0" borderId="0" xfId="0" applyFont="1" applyFill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/>
    <xf numFmtId="0" fontId="9" fillId="21" borderId="12" xfId="0" applyFont="1" applyFill="1" applyBorder="1"/>
    <xf numFmtId="0" fontId="0" fillId="21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14" fillId="20" borderId="0" xfId="0" applyFont="1" applyFill="1" applyAlignment="1">
      <alignment horizontal="center" vertical="center" wrapText="1"/>
    </xf>
    <xf numFmtId="0" fontId="9" fillId="5" borderId="0" xfId="0" applyFont="1" applyFill="1"/>
    <xf numFmtId="0" fontId="9" fillId="8" borderId="0" xfId="0" applyFont="1" applyFill="1"/>
    <xf numFmtId="0" fontId="9" fillId="0" borderId="0" xfId="0" applyFont="1" applyFill="1"/>
  </cellXfs>
  <cellStyles count="1">
    <cellStyle name="Normal" xfId="0" builtinId="0"/>
  </cellStyles>
  <dxfs count="12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57150</xdr:rowOff>
    </xdr:from>
    <xdr:to>
      <xdr:col>3</xdr:col>
      <xdr:colOff>685800</xdr:colOff>
      <xdr:row>1</xdr:row>
      <xdr:rowOff>238125</xdr:rowOff>
    </xdr:to>
    <xdr:pic>
      <xdr:nvPicPr>
        <xdr:cNvPr id="1176" name="Object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5150" y="247650"/>
          <a:ext cx="314325" cy="180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1</xdr:row>
      <xdr:rowOff>47625</xdr:rowOff>
    </xdr:from>
    <xdr:to>
      <xdr:col>3</xdr:col>
      <xdr:colOff>609600</xdr:colOff>
      <xdr:row>1</xdr:row>
      <xdr:rowOff>228600</xdr:rowOff>
    </xdr:to>
    <xdr:pic>
      <xdr:nvPicPr>
        <xdr:cNvPr id="2200" name="Object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8950" y="238125"/>
          <a:ext cx="314325" cy="180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topLeftCell="A4" workbookViewId="0">
      <selection activeCell="B12" sqref="B12"/>
    </sheetView>
  </sheetViews>
  <sheetFormatPr defaultRowHeight="15"/>
  <cols>
    <col min="1" max="1" width="14" customWidth="1"/>
    <col min="2" max="2" width="12" bestFit="1" customWidth="1"/>
    <col min="3" max="3" width="6" customWidth="1"/>
    <col min="4" max="4" width="14.5703125" customWidth="1"/>
    <col min="5" max="5" width="1.7109375" customWidth="1"/>
    <col min="6" max="6" width="12" bestFit="1" customWidth="1"/>
    <col min="7" max="7" width="2.5703125" style="54" customWidth="1"/>
    <col min="9" max="9" width="14.85546875" bestFit="1" customWidth="1"/>
    <col min="10" max="10" width="3" customWidth="1"/>
    <col min="11" max="11" width="9" customWidth="1"/>
  </cols>
  <sheetData>
    <row r="1" spans="1:11">
      <c r="A1" s="15" t="s">
        <v>184</v>
      </c>
      <c r="B1" s="1"/>
      <c r="H1" s="1"/>
    </row>
    <row r="2" spans="1:11">
      <c r="A2" s="1"/>
      <c r="B2" s="1"/>
      <c r="H2" s="1"/>
    </row>
    <row r="3" spans="1:11">
      <c r="A3" s="79" t="s">
        <v>174</v>
      </c>
      <c r="B3" s="79" t="s">
        <v>175</v>
      </c>
      <c r="D3" t="s">
        <v>176</v>
      </c>
      <c r="F3" s="16" t="s">
        <v>185</v>
      </c>
      <c r="G3" s="80"/>
      <c r="H3" s="1"/>
      <c r="I3" t="s">
        <v>177</v>
      </c>
      <c r="K3" t="s">
        <v>178</v>
      </c>
    </row>
    <row r="4" spans="1:11">
      <c r="A4" s="81">
        <v>1</v>
      </c>
      <c r="B4" s="81">
        <v>0.48</v>
      </c>
      <c r="D4">
        <f>IF(ISBLANK(A4),"",(A4-$F$4)^2)</f>
        <v>0.86677589606399974</v>
      </c>
      <c r="F4" s="82">
        <f>SUMPRODUCT(A4:A24,B4:B24)</f>
        <v>1.9310079999999998</v>
      </c>
      <c r="H4" s="1"/>
      <c r="I4">
        <f>SUMPRODUCT(K4:K24,B4:B24)</f>
        <v>4.8962559999999993</v>
      </c>
      <c r="K4">
        <f>A4^2</f>
        <v>1</v>
      </c>
    </row>
    <row r="5" spans="1:11">
      <c r="A5" s="81">
        <v>2</v>
      </c>
      <c r="B5" s="81">
        <f>0.52*0.48</f>
        <v>0.24959999999999999</v>
      </c>
      <c r="D5">
        <f t="shared" ref="D5:D24" si="0">IF(ISBLANK(A5),"",(A5-$F$4)^2)</f>
        <v>4.7598960640000227E-3</v>
      </c>
      <c r="H5" s="1"/>
      <c r="K5">
        <f>A5^2</f>
        <v>4</v>
      </c>
    </row>
    <row r="6" spans="1:11">
      <c r="A6" s="81">
        <v>3</v>
      </c>
      <c r="B6" s="81">
        <f>0.52^2*0.48</f>
        <v>0.12979200000000002</v>
      </c>
      <c r="D6">
        <f t="shared" si="0"/>
        <v>1.1427438960640004</v>
      </c>
      <c r="F6" s="16" t="s">
        <v>186</v>
      </c>
      <c r="G6" s="80"/>
      <c r="H6" s="1"/>
      <c r="I6" t="s">
        <v>179</v>
      </c>
      <c r="K6">
        <f>A6^2</f>
        <v>9</v>
      </c>
    </row>
    <row r="7" spans="1:11">
      <c r="A7" s="81">
        <v>4</v>
      </c>
      <c r="B7" s="81">
        <f>1-SUM(B4:B6)</f>
        <v>0.14060799999999996</v>
      </c>
      <c r="D7">
        <f t="shared" si="0"/>
        <v>4.2807278960640005</v>
      </c>
      <c r="F7" s="82">
        <f>SUMPRODUCT(D4:D24,B4:B24)</f>
        <v>1.1674641039359996</v>
      </c>
      <c r="H7" s="83" t="s">
        <v>180</v>
      </c>
      <c r="I7" s="84">
        <f>I4-F4^2</f>
        <v>1.1674641039360001</v>
      </c>
      <c r="K7">
        <f>A7^2</f>
        <v>16</v>
      </c>
    </row>
    <row r="8" spans="1:11">
      <c r="A8" s="81"/>
      <c r="B8" s="81"/>
      <c r="D8" t="str">
        <f t="shared" si="0"/>
        <v/>
      </c>
      <c r="H8" s="1"/>
      <c r="K8">
        <f>A8^2</f>
        <v>0</v>
      </c>
    </row>
    <row r="9" spans="1:11">
      <c r="A9" s="81"/>
      <c r="B9" s="81"/>
      <c r="D9" t="str">
        <f t="shared" si="0"/>
        <v/>
      </c>
      <c r="F9" t="s">
        <v>181</v>
      </c>
      <c r="H9" s="1"/>
    </row>
    <row r="10" spans="1:11">
      <c r="A10" s="81"/>
      <c r="B10" s="81"/>
      <c r="D10" t="str">
        <f t="shared" si="0"/>
        <v/>
      </c>
      <c r="F10" s="82">
        <f>SQRT(F7)</f>
        <v>1.0804925284035978</v>
      </c>
      <c r="H10" s="1"/>
    </row>
    <row r="11" spans="1:11">
      <c r="A11" s="81"/>
      <c r="B11" s="81"/>
      <c r="D11" t="str">
        <f t="shared" si="0"/>
        <v/>
      </c>
      <c r="H11" s="1"/>
    </row>
    <row r="12" spans="1:11">
      <c r="A12" s="81"/>
      <c r="B12" s="81"/>
      <c r="D12" t="str">
        <f t="shared" si="0"/>
        <v/>
      </c>
      <c r="H12" s="1"/>
    </row>
    <row r="13" spans="1:11">
      <c r="A13" s="81"/>
      <c r="B13" s="81"/>
      <c r="D13" t="str">
        <f t="shared" si="0"/>
        <v/>
      </c>
      <c r="H13" s="1"/>
    </row>
    <row r="14" spans="1:11">
      <c r="A14" s="81"/>
      <c r="B14" s="81"/>
      <c r="D14" t="str">
        <f t="shared" si="0"/>
        <v/>
      </c>
      <c r="H14" s="1"/>
    </row>
    <row r="15" spans="1:11">
      <c r="A15" s="85"/>
      <c r="B15" s="85"/>
      <c r="D15" t="str">
        <f t="shared" si="0"/>
        <v/>
      </c>
      <c r="H15" s="1"/>
    </row>
    <row r="16" spans="1:11">
      <c r="A16" s="85"/>
      <c r="B16" s="85"/>
      <c r="D16" t="str">
        <f t="shared" si="0"/>
        <v/>
      </c>
    </row>
    <row r="17" spans="1:4">
      <c r="A17" s="85"/>
      <c r="B17" s="85"/>
      <c r="D17" t="str">
        <f t="shared" si="0"/>
        <v/>
      </c>
    </row>
    <row r="18" spans="1:4">
      <c r="A18" s="85"/>
      <c r="B18" s="85"/>
      <c r="D18" t="str">
        <f t="shared" si="0"/>
        <v/>
      </c>
    </row>
    <row r="19" spans="1:4">
      <c r="A19" s="85"/>
      <c r="B19" s="85"/>
      <c r="D19" t="str">
        <f t="shared" si="0"/>
        <v/>
      </c>
    </row>
    <row r="20" spans="1:4">
      <c r="A20" s="85"/>
      <c r="B20" s="85"/>
      <c r="D20" t="str">
        <f t="shared" si="0"/>
        <v/>
      </c>
    </row>
    <row r="21" spans="1:4">
      <c r="A21" s="85"/>
      <c r="B21" s="85"/>
      <c r="D21" t="str">
        <f t="shared" si="0"/>
        <v/>
      </c>
    </row>
    <row r="22" spans="1:4">
      <c r="A22" s="85"/>
      <c r="B22" s="85"/>
      <c r="D22" t="str">
        <f t="shared" si="0"/>
        <v/>
      </c>
    </row>
    <row r="23" spans="1:4">
      <c r="A23" s="85"/>
      <c r="B23" s="85"/>
      <c r="D23" t="str">
        <f t="shared" si="0"/>
        <v/>
      </c>
    </row>
    <row r="24" spans="1:4">
      <c r="A24" s="85"/>
      <c r="B24" s="85"/>
      <c r="D24" t="str">
        <f t="shared" si="0"/>
        <v/>
      </c>
    </row>
    <row r="26" spans="1:4">
      <c r="A26" s="83" t="s">
        <v>182</v>
      </c>
      <c r="B26" s="83">
        <f>SUM(B4:B24)</f>
        <v>1</v>
      </c>
    </row>
  </sheetData>
  <conditionalFormatting sqref="A26:B26">
    <cfRule type="expression" dxfId="11" priority="5" stopIfTrue="1">
      <formula>NOT($B$26=1)</formula>
    </cfRule>
  </conditionalFormatting>
  <conditionalFormatting sqref="B4:B24">
    <cfRule type="expression" dxfId="10" priority="1">
      <formula>OR(B4&gt;1,B4&lt;0)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48"/>
  <sheetViews>
    <sheetView workbookViewId="0">
      <selection activeCell="D29" sqref="D29"/>
    </sheetView>
  </sheetViews>
  <sheetFormatPr defaultRowHeight="15"/>
  <cols>
    <col min="2" max="2" width="10.28515625" customWidth="1"/>
    <col min="4" max="4" width="11.28515625" customWidth="1"/>
    <col min="5" max="5" width="3" customWidth="1"/>
    <col min="6" max="6" width="11.42578125" customWidth="1"/>
    <col min="13" max="13" width="32.7109375" customWidth="1"/>
    <col min="16" max="16" width="16.7109375" customWidth="1"/>
  </cols>
  <sheetData>
    <row r="1" spans="1:19" ht="18">
      <c r="A1" s="62" t="s">
        <v>125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46" t="s">
        <v>52</v>
      </c>
      <c r="N1" s="47"/>
      <c r="O1" s="48"/>
      <c r="P1" s="47"/>
      <c r="Q1" s="46"/>
      <c r="R1" s="46"/>
      <c r="S1" s="46"/>
    </row>
    <row r="2" spans="1:19" ht="18.75" thickBot="1">
      <c r="A2" s="62"/>
      <c r="B2" s="32"/>
      <c r="C2" s="32"/>
      <c r="D2" s="32"/>
      <c r="E2" s="32"/>
      <c r="F2" s="32"/>
      <c r="G2" s="32"/>
      <c r="H2" s="32"/>
      <c r="I2" s="32"/>
      <c r="J2" s="32"/>
      <c r="K2" s="33"/>
      <c r="L2" s="33"/>
      <c r="N2" s="1"/>
      <c r="O2" s="49"/>
      <c r="P2" s="1"/>
    </row>
    <row r="3" spans="1:19" ht="16.5" thickBot="1">
      <c r="A3" s="33"/>
      <c r="B3" s="33" t="s">
        <v>21</v>
      </c>
      <c r="C3" s="33"/>
      <c r="D3" s="34">
        <v>95</v>
      </c>
      <c r="E3" s="33" t="s">
        <v>22</v>
      </c>
      <c r="F3" s="33" t="s">
        <v>126</v>
      </c>
      <c r="G3" s="33"/>
      <c r="H3" s="33"/>
      <c r="I3" s="33"/>
      <c r="J3" s="33"/>
      <c r="K3" s="32"/>
      <c r="L3" s="32"/>
      <c r="M3" t="s">
        <v>53</v>
      </c>
      <c r="N3" s="1" t="s">
        <v>54</v>
      </c>
      <c r="O3" s="63" t="s">
        <v>127</v>
      </c>
      <c r="P3" s="1" t="s">
        <v>46</v>
      </c>
      <c r="Q3" s="50">
        <v>160</v>
      </c>
    </row>
    <row r="4" spans="1:19" ht="28.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t="s">
        <v>56</v>
      </c>
      <c r="N4" s="1" t="s">
        <v>57</v>
      </c>
      <c r="O4" s="63" t="s">
        <v>127</v>
      </c>
      <c r="P4" s="51"/>
      <c r="Q4">
        <f>Q3</f>
        <v>160</v>
      </c>
    </row>
    <row r="5" spans="1:19">
      <c r="A5" s="32"/>
      <c r="B5" s="35" t="s">
        <v>24</v>
      </c>
      <c r="C5" s="32"/>
      <c r="D5" s="32">
        <f>1-D3/100</f>
        <v>5.0000000000000044E-2</v>
      </c>
      <c r="E5" s="32"/>
      <c r="F5" s="32"/>
      <c r="G5" s="32"/>
      <c r="H5" s="32"/>
      <c r="I5" s="32"/>
      <c r="J5" s="32"/>
      <c r="K5" s="32"/>
      <c r="L5" s="32"/>
      <c r="N5" s="1"/>
      <c r="O5" s="49"/>
      <c r="P5" s="1"/>
    </row>
    <row r="6" spans="1:19">
      <c r="A6" s="32"/>
      <c r="B6" s="35" t="s">
        <v>25</v>
      </c>
      <c r="C6" s="32"/>
      <c r="D6" s="32">
        <f>D5/2</f>
        <v>2.5000000000000022E-2</v>
      </c>
      <c r="E6" s="32"/>
      <c r="F6" s="32"/>
      <c r="G6" s="32"/>
      <c r="H6" s="32"/>
      <c r="I6" s="32"/>
      <c r="J6" s="32"/>
      <c r="K6" s="32"/>
      <c r="L6" s="32"/>
      <c r="M6" s="46" t="s">
        <v>58</v>
      </c>
      <c r="N6" s="47"/>
      <c r="O6" s="48"/>
      <c r="P6" s="47"/>
      <c r="Q6" s="46"/>
      <c r="R6" s="46"/>
      <c r="S6" s="46"/>
    </row>
    <row r="7" spans="1:19">
      <c r="A7" s="32"/>
      <c r="B7" s="32" t="s">
        <v>26</v>
      </c>
      <c r="C7" s="32"/>
      <c r="D7" s="32">
        <f>1-D6</f>
        <v>0.97499999999999998</v>
      </c>
      <c r="E7" s="32"/>
      <c r="F7" s="32"/>
      <c r="G7" s="32"/>
      <c r="H7" s="32"/>
      <c r="I7" s="32"/>
      <c r="J7" s="32"/>
      <c r="K7" s="32"/>
      <c r="L7" s="32"/>
      <c r="M7" s="46"/>
      <c r="N7" s="47"/>
      <c r="O7" s="48"/>
      <c r="P7" s="47"/>
      <c r="Q7" s="46"/>
      <c r="R7" s="46"/>
      <c r="S7" s="46"/>
    </row>
    <row r="8" spans="1:19">
      <c r="A8" s="32"/>
      <c r="B8" s="32"/>
      <c r="C8" s="32"/>
      <c r="D8" s="32"/>
      <c r="E8" s="32"/>
      <c r="F8" s="32" t="s">
        <v>128</v>
      </c>
      <c r="G8" s="32"/>
      <c r="H8" s="32"/>
      <c r="I8" s="32"/>
      <c r="J8" s="32"/>
      <c r="K8" s="32"/>
      <c r="L8" s="32"/>
      <c r="M8" s="1"/>
      <c r="N8" s="1" t="s">
        <v>59</v>
      </c>
    </row>
    <row r="9" spans="1:19">
      <c r="A9" s="32"/>
      <c r="B9" s="32" t="s">
        <v>30</v>
      </c>
      <c r="C9" s="32"/>
      <c r="D9" s="36">
        <v>10</v>
      </c>
      <c r="E9" s="32"/>
      <c r="F9" s="32" t="s">
        <v>129</v>
      </c>
      <c r="G9" s="32"/>
      <c r="H9" s="32"/>
      <c r="I9" s="32"/>
      <c r="J9" s="32"/>
      <c r="K9" s="32"/>
      <c r="L9" s="32"/>
      <c r="M9" s="1" t="s">
        <v>60</v>
      </c>
      <c r="N9" s="1"/>
    </row>
    <row r="10" spans="1:19">
      <c r="A10" s="32"/>
      <c r="B10" s="32"/>
      <c r="C10" s="32"/>
      <c r="D10" s="59"/>
      <c r="E10" s="32"/>
      <c r="F10" s="32"/>
      <c r="G10" s="32"/>
      <c r="H10" s="32"/>
      <c r="I10" s="32"/>
      <c r="J10" s="32"/>
      <c r="K10" s="32"/>
      <c r="L10" s="32"/>
      <c r="M10" s="1" t="s">
        <v>16</v>
      </c>
      <c r="P10" s="64"/>
      <c r="Q10" s="64"/>
      <c r="R10" s="64"/>
    </row>
    <row r="11" spans="1:19">
      <c r="A11" s="32"/>
      <c r="B11" s="32" t="s">
        <v>130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" t="s">
        <v>61</v>
      </c>
      <c r="P11" s="64" t="s">
        <v>131</v>
      </c>
      <c r="Q11" s="64"/>
      <c r="R11" s="64"/>
    </row>
    <row r="12" spans="1:19">
      <c r="A12" s="32"/>
      <c r="B12" s="32" t="s">
        <v>132</v>
      </c>
      <c r="C12" s="36">
        <v>2.8126894997888141</v>
      </c>
      <c r="D12" s="32"/>
      <c r="E12" s="32"/>
      <c r="F12" s="32"/>
      <c r="G12" s="32"/>
      <c r="H12" s="32"/>
      <c r="I12" s="32"/>
      <c r="J12" s="32"/>
      <c r="K12" s="32"/>
      <c r="L12" s="32"/>
      <c r="M12" s="49" t="s">
        <v>133</v>
      </c>
      <c r="N12" s="50">
        <v>13</v>
      </c>
      <c r="P12" s="65">
        <v>25</v>
      </c>
      <c r="Q12" s="64" t="s">
        <v>134</v>
      </c>
      <c r="R12" s="64" t="s">
        <v>135</v>
      </c>
    </row>
    <row r="13" spans="1:19" ht="18.75">
      <c r="A13" s="32"/>
      <c r="B13" s="32" t="s">
        <v>136</v>
      </c>
      <c r="C13" s="66">
        <f>TINV(D5,D9-1)</f>
        <v>2.262157158173582</v>
      </c>
      <c r="D13" s="32"/>
      <c r="E13" s="32"/>
      <c r="F13" s="32"/>
      <c r="G13" s="32"/>
      <c r="H13" s="32"/>
      <c r="I13" s="32"/>
      <c r="J13" s="32"/>
      <c r="K13" s="32"/>
      <c r="L13" s="32"/>
      <c r="M13" s="1"/>
    </row>
    <row r="14" spans="1:19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7" t="s">
        <v>137</v>
      </c>
      <c r="N14" s="68"/>
      <c r="O14" s="68"/>
      <c r="P14" s="68"/>
      <c r="Q14" s="68"/>
      <c r="R14" s="68"/>
    </row>
    <row r="15" spans="1:19">
      <c r="A15" s="32"/>
      <c r="B15" s="32" t="s">
        <v>138</v>
      </c>
      <c r="C15" s="36">
        <v>10.83</v>
      </c>
      <c r="D15" s="32"/>
      <c r="E15" s="32"/>
      <c r="F15" s="32"/>
      <c r="G15" s="32"/>
      <c r="H15" s="59"/>
      <c r="I15" s="32"/>
      <c r="J15" s="32"/>
      <c r="K15" s="32"/>
      <c r="L15" s="32"/>
      <c r="M15" s="68" t="s">
        <v>139</v>
      </c>
      <c r="N15" s="68"/>
      <c r="O15" s="68"/>
      <c r="P15" s="1"/>
      <c r="Q15" s="68"/>
      <c r="R15" s="68"/>
    </row>
    <row r="16" spans="1:19" ht="18.7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7" t="s">
        <v>140</v>
      </c>
      <c r="N16" s="69"/>
      <c r="O16" s="67"/>
      <c r="P16" s="1"/>
      <c r="Q16" s="68"/>
      <c r="R16" s="68"/>
    </row>
    <row r="17" spans="1:19">
      <c r="A17" s="32"/>
      <c r="B17" s="32" t="s">
        <v>31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N17" s="1"/>
      <c r="O17" s="49"/>
      <c r="P17" s="1"/>
    </row>
    <row r="18" spans="1:19">
      <c r="A18" s="32"/>
      <c r="B18" s="32"/>
      <c r="C18" s="32" t="s">
        <v>141</v>
      </c>
      <c r="D18" s="32">
        <f>C12/SQRT(D9)</f>
        <v>0.88945051701723399</v>
      </c>
      <c r="E18" s="32"/>
      <c r="F18" s="32"/>
      <c r="G18" s="32"/>
      <c r="H18" s="32"/>
      <c r="I18" s="32"/>
      <c r="J18" s="32"/>
      <c r="K18" s="32"/>
      <c r="L18" s="32"/>
      <c r="M18" s="49" t="s">
        <v>142</v>
      </c>
      <c r="N18" s="52">
        <f>Q3</f>
        <v>160</v>
      </c>
      <c r="O18" s="49"/>
      <c r="P18" s="1"/>
    </row>
    <row r="19" spans="1:19">
      <c r="A19" s="32"/>
      <c r="B19" s="32"/>
      <c r="C19" s="32" t="s">
        <v>32</v>
      </c>
      <c r="D19" s="32">
        <f>C13*C12/SQRT(D9)</f>
        <v>2.0120768539117293</v>
      </c>
      <c r="E19" s="32"/>
      <c r="F19" s="32" t="s">
        <v>143</v>
      </c>
      <c r="G19" s="32"/>
      <c r="H19" s="57"/>
      <c r="I19" s="32"/>
      <c r="J19" s="32"/>
      <c r="K19" s="32"/>
      <c r="L19" s="32"/>
      <c r="M19" s="49" t="s">
        <v>144</v>
      </c>
      <c r="N19" s="52">
        <f>N12/SQRT(P12)</f>
        <v>2.6</v>
      </c>
      <c r="O19" s="49"/>
      <c r="P19" s="1"/>
      <c r="Q19" s="70"/>
    </row>
    <row r="20" spans="1:19">
      <c r="A20" s="32"/>
      <c r="B20" s="32"/>
      <c r="C20" s="32" t="s">
        <v>34</v>
      </c>
      <c r="D20" s="32">
        <f>C15-C13*C12/SQRT(D9)</f>
        <v>8.8179231460882708</v>
      </c>
      <c r="E20" s="32"/>
      <c r="F20" s="32"/>
      <c r="G20" s="32"/>
      <c r="H20" s="57"/>
      <c r="I20" s="32"/>
      <c r="J20" s="32"/>
      <c r="K20" s="32"/>
      <c r="L20" s="32"/>
      <c r="N20" s="1"/>
      <c r="O20" s="49"/>
      <c r="P20" s="1"/>
    </row>
    <row r="21" spans="1:19">
      <c r="A21" s="32"/>
      <c r="B21" s="32"/>
      <c r="C21" s="32" t="s">
        <v>36</v>
      </c>
      <c r="D21" s="32">
        <f>C15+C13*C12/SQRT(D9)</f>
        <v>12.842076853911729</v>
      </c>
      <c r="E21" s="32"/>
      <c r="F21" s="32"/>
      <c r="G21" s="32"/>
      <c r="H21" s="57"/>
      <c r="I21" s="32"/>
      <c r="J21" s="32"/>
      <c r="K21" s="32"/>
      <c r="L21" s="32"/>
      <c r="M21" s="46" t="s">
        <v>68</v>
      </c>
      <c r="N21" s="47"/>
      <c r="O21" s="48"/>
      <c r="P21" s="47"/>
      <c r="Q21" s="46"/>
      <c r="R21" s="46"/>
      <c r="S21" s="46"/>
    </row>
    <row r="22" spans="1:19" ht="15.75" thickBo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M22" s="1"/>
      <c r="N22" s="49"/>
      <c r="O22" s="1"/>
      <c r="S22" s="32"/>
    </row>
    <row r="23" spans="1:19">
      <c r="A23" s="59"/>
      <c r="B23" s="37" t="s">
        <v>38</v>
      </c>
      <c r="C23" s="38">
        <f>D3</f>
        <v>95</v>
      </c>
      <c r="D23" s="38" t="s">
        <v>22</v>
      </c>
      <c r="E23" s="38" t="s">
        <v>145</v>
      </c>
      <c r="F23" s="38"/>
      <c r="G23" s="38"/>
      <c r="H23" s="38"/>
      <c r="I23" s="38"/>
      <c r="J23" s="39"/>
      <c r="K23" s="32"/>
      <c r="L23" s="32"/>
      <c r="M23" t="s">
        <v>146</v>
      </c>
      <c r="N23" s="51">
        <v>165</v>
      </c>
      <c r="O23" s="49"/>
      <c r="P23" s="15"/>
    </row>
    <row r="24" spans="1:19" ht="15.75" thickBot="1">
      <c r="A24" s="59"/>
      <c r="B24" s="40"/>
      <c r="C24" s="41" t="s">
        <v>40</v>
      </c>
      <c r="D24" s="42">
        <f>D20</f>
        <v>8.8179231460882708</v>
      </c>
      <c r="E24" s="42" t="s">
        <v>41</v>
      </c>
      <c r="F24" s="42">
        <f>D21</f>
        <v>12.842076853911729</v>
      </c>
      <c r="G24" s="42" t="s">
        <v>42</v>
      </c>
      <c r="H24" s="42"/>
      <c r="I24" s="42"/>
      <c r="J24" s="43"/>
      <c r="K24" s="71"/>
      <c r="L24" s="32"/>
      <c r="N24" s="1"/>
      <c r="O24" s="49"/>
      <c r="P24" s="1"/>
    </row>
    <row r="25" spans="1:19">
      <c r="A25" s="59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t="s">
        <v>147</v>
      </c>
      <c r="N25" s="1"/>
      <c r="O25" s="49"/>
      <c r="P25" s="1"/>
    </row>
    <row r="26" spans="1:19">
      <c r="A26" s="59"/>
      <c r="B26" s="60" t="s">
        <v>148</v>
      </c>
      <c r="C26" s="59"/>
      <c r="D26" s="59"/>
      <c r="E26" s="59"/>
      <c r="F26" s="59"/>
      <c r="G26" s="59"/>
      <c r="H26" s="59"/>
      <c r="I26" s="59"/>
      <c r="J26" s="32"/>
      <c r="K26" s="32"/>
      <c r="L26" s="32"/>
      <c r="M26" t="s">
        <v>72</v>
      </c>
      <c r="N26" s="52">
        <f>(N23-N18)/N19</f>
        <v>1.9230769230769229</v>
      </c>
      <c r="O26" s="49"/>
      <c r="P26" s="1"/>
    </row>
    <row r="27" spans="1:19">
      <c r="A27" s="59"/>
      <c r="B27" s="59"/>
      <c r="C27" s="59"/>
      <c r="D27" s="59"/>
      <c r="E27" s="59"/>
      <c r="F27" s="59"/>
      <c r="G27" s="59"/>
      <c r="H27" s="59"/>
      <c r="I27" s="59"/>
      <c r="J27" s="32"/>
      <c r="K27" s="32"/>
      <c r="L27" s="32"/>
      <c r="N27" s="1"/>
      <c r="O27" s="49"/>
      <c r="P27" s="1"/>
    </row>
    <row r="28" spans="1:19" ht="15.75">
      <c r="A28" s="59"/>
      <c r="B28" s="59" t="s">
        <v>36</v>
      </c>
      <c r="C28" s="36">
        <v>67.959999999999994</v>
      </c>
      <c r="D28" s="59"/>
      <c r="E28" s="59"/>
      <c r="F28" s="59"/>
      <c r="G28" s="59"/>
      <c r="H28" s="59"/>
      <c r="I28" s="59"/>
      <c r="J28" s="32"/>
      <c r="K28" s="32"/>
      <c r="L28" s="32"/>
      <c r="M28" t="s">
        <v>73</v>
      </c>
      <c r="N28" s="1"/>
      <c r="O28" s="49"/>
      <c r="P28" s="1"/>
    </row>
    <row r="29" spans="1:19">
      <c r="A29" s="59"/>
      <c r="B29" s="59" t="s">
        <v>34</v>
      </c>
      <c r="C29" s="36">
        <v>63.45</v>
      </c>
      <c r="D29" s="59"/>
      <c r="E29" s="59"/>
      <c r="F29" s="59"/>
      <c r="G29" s="59"/>
      <c r="H29" s="59"/>
      <c r="I29" s="59"/>
      <c r="J29" s="32"/>
      <c r="K29" s="32"/>
      <c r="L29" s="32"/>
      <c r="N29" s="53" t="s">
        <v>74</v>
      </c>
      <c r="O29" s="49"/>
      <c r="P29" s="1"/>
    </row>
    <row r="30" spans="1:19">
      <c r="A30" s="59"/>
      <c r="B30" s="59" t="s">
        <v>32</v>
      </c>
      <c r="C30" s="66">
        <f>(C28-C29)/2</f>
        <v>2.2549999999999955</v>
      </c>
      <c r="D30" s="59"/>
      <c r="E30" s="59"/>
      <c r="F30" s="59"/>
      <c r="G30" s="59"/>
      <c r="H30" s="59"/>
      <c r="I30" s="59"/>
      <c r="J30" s="32"/>
      <c r="K30" s="32"/>
      <c r="L30" s="32"/>
      <c r="N30" s="53">
        <f>IF(N26&gt;0,IF(Sheet3!A6=1,1-TDIST(N26,P12-1,1),IF(Sheet3!A6=2,TDIST(N26,P12-1,1), TDIST(ABS(N26),P12-1,2))),IF(Sheet3!A6=1,TDIST(-N26,P12-1,1),IF(Sheet3!A6=2,1-TDIST(-N26,P12-1,1), TDIST(ABS(N26),P12-1,2))))</f>
        <v>0.96679318454773155</v>
      </c>
      <c r="O30" s="49"/>
      <c r="P30" s="1"/>
    </row>
    <row r="31" spans="1:19">
      <c r="A31" s="59"/>
      <c r="B31" s="59"/>
      <c r="C31" s="59"/>
      <c r="D31" s="59"/>
      <c r="E31" s="59"/>
      <c r="F31" s="59"/>
      <c r="G31" s="59"/>
      <c r="H31" s="59"/>
      <c r="I31" s="59"/>
      <c r="J31" s="32"/>
      <c r="K31" s="32"/>
      <c r="L31" s="32"/>
      <c r="N31" s="1"/>
      <c r="O31" s="49"/>
      <c r="P31" s="1"/>
    </row>
    <row r="32" spans="1:19">
      <c r="A32" s="59"/>
      <c r="B32" s="61"/>
      <c r="C32" s="59"/>
      <c r="D32" s="59"/>
      <c r="E32" s="59"/>
      <c r="F32" s="59"/>
      <c r="G32" s="59"/>
      <c r="H32" s="59"/>
      <c r="I32" s="59"/>
      <c r="J32" s="32"/>
      <c r="K32" s="32"/>
      <c r="L32" s="32"/>
      <c r="M32" s="46" t="s">
        <v>75</v>
      </c>
      <c r="N32" s="47"/>
      <c r="O32" s="48"/>
      <c r="P32" s="47"/>
      <c r="Q32" s="46"/>
      <c r="R32" s="46"/>
      <c r="S32" s="46"/>
    </row>
    <row r="33" spans="1:17">
      <c r="A33" s="59"/>
      <c r="B33" s="59"/>
      <c r="C33" s="59"/>
      <c r="D33" s="59"/>
      <c r="E33" s="59"/>
      <c r="F33" s="59"/>
      <c r="G33" s="59"/>
      <c r="H33" s="59"/>
      <c r="I33" s="59"/>
      <c r="J33" s="32"/>
      <c r="K33" s="32"/>
      <c r="L33" s="32"/>
      <c r="N33" s="1"/>
      <c r="O33" s="49"/>
      <c r="P33" s="1"/>
    </row>
    <row r="34" spans="1:17">
      <c r="A34" s="32"/>
      <c r="B34" s="59"/>
      <c r="C34" s="129"/>
      <c r="D34" s="129"/>
      <c r="E34" s="59"/>
      <c r="F34" s="59"/>
      <c r="G34" s="129"/>
      <c r="H34" s="129"/>
      <c r="I34" s="59"/>
      <c r="J34" s="32"/>
      <c r="K34" s="32"/>
      <c r="L34" s="32"/>
      <c r="M34" t="s">
        <v>76</v>
      </c>
      <c r="N34" s="15" t="s">
        <v>77</v>
      </c>
      <c r="O34" s="49"/>
      <c r="P34" s="1"/>
      <c r="Q34" s="50">
        <v>0.01</v>
      </c>
    </row>
    <row r="35" spans="1:17">
      <c r="A35" s="32"/>
      <c r="B35" s="59"/>
      <c r="C35" s="59"/>
      <c r="D35" s="59"/>
      <c r="E35" s="59"/>
      <c r="F35" s="59"/>
      <c r="G35" s="59"/>
      <c r="H35" s="59"/>
      <c r="I35" s="59"/>
      <c r="J35" s="32"/>
      <c r="K35" s="32"/>
      <c r="L35" s="32"/>
      <c r="N35" s="1"/>
      <c r="O35" s="49"/>
      <c r="P35" s="1"/>
    </row>
    <row r="36" spans="1:17" ht="15.75">
      <c r="A36" s="32"/>
      <c r="B36" s="59"/>
      <c r="C36" s="59"/>
      <c r="D36" s="59"/>
      <c r="E36" s="59"/>
      <c r="F36" s="59"/>
      <c r="G36" s="59"/>
      <c r="H36" s="59"/>
      <c r="I36" s="59"/>
      <c r="J36" s="32"/>
      <c r="K36" s="32"/>
      <c r="L36" s="32"/>
      <c r="N36" s="1"/>
      <c r="O36" s="49"/>
      <c r="P36" s="52" t="str">
        <f>IF(N30&lt;Q34,"Reject","Fail to reject")</f>
        <v>Fail to reject</v>
      </c>
      <c r="Q36" s="52" t="s">
        <v>78</v>
      </c>
    </row>
    <row r="37" spans="1:1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N37" s="1"/>
      <c r="O37" s="49"/>
      <c r="P37" s="1"/>
    </row>
    <row r="38" spans="1:17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t="s">
        <v>79</v>
      </c>
      <c r="N38" s="1" t="s">
        <v>80</v>
      </c>
      <c r="O38" s="49"/>
      <c r="P38" s="1"/>
    </row>
    <row r="39" spans="1:17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N39" s="52" t="str">
        <f>IF(N30&lt;Q34,"is","is not")</f>
        <v>is not</v>
      </c>
      <c r="O39" s="49"/>
      <c r="P39" s="52" t="str">
        <f>IF(AND(N30&lt;Q34,N30&lt;0.01),"strong",IF(AND(N30&lt;Q34,N30&lt;0.1,N30&gt;0.05),"weak",""))</f>
        <v/>
      </c>
    </row>
    <row r="40" spans="1:17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N40" s="15" t="s">
        <v>81</v>
      </c>
      <c r="O40" s="49"/>
      <c r="P40" s="1"/>
    </row>
    <row r="41" spans="1:17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N41" s="1"/>
      <c r="O41" s="49"/>
      <c r="P41" s="1"/>
    </row>
    <row r="42" spans="1:17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t="s">
        <v>82</v>
      </c>
      <c r="N42" s="1"/>
      <c r="O42" s="49"/>
      <c r="P42" s="1"/>
    </row>
    <row r="43" spans="1:17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N43" s="1"/>
      <c r="O43" s="49"/>
      <c r="P43" s="1"/>
    </row>
    <row r="44" spans="1:17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46"/>
      <c r="N44" s="1"/>
      <c r="O44" s="49"/>
      <c r="P44" s="1"/>
    </row>
    <row r="45" spans="1:17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N45" s="1"/>
      <c r="O45" s="49"/>
      <c r="P45" s="1"/>
    </row>
    <row r="46" spans="1:17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N46" s="1"/>
      <c r="O46" s="49"/>
      <c r="P46" s="1"/>
    </row>
    <row r="47" spans="1:1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N47" s="1"/>
      <c r="O47" s="49"/>
      <c r="P47" s="1"/>
    </row>
    <row r="48" spans="1:17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N48" s="1"/>
      <c r="O48" s="49"/>
      <c r="P48" s="1"/>
    </row>
  </sheetData>
  <mergeCells count="2">
    <mergeCell ref="C34:D34"/>
    <mergeCell ref="G34:H3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J14" sqref="J14"/>
    </sheetView>
  </sheetViews>
  <sheetFormatPr defaultRowHeight="15"/>
  <cols>
    <col min="1" max="1" width="13.5703125" customWidth="1"/>
  </cols>
  <sheetData>
    <row r="1" spans="1:4">
      <c r="A1" s="77" t="s">
        <v>164</v>
      </c>
    </row>
    <row r="3" spans="1:4">
      <c r="A3" t="s">
        <v>165</v>
      </c>
    </row>
    <row r="5" spans="1:4">
      <c r="A5" t="s">
        <v>166</v>
      </c>
      <c r="B5" s="50">
        <v>95</v>
      </c>
      <c r="C5" t="s">
        <v>22</v>
      </c>
      <c r="D5" t="s">
        <v>167</v>
      </c>
    </row>
    <row r="6" spans="1:4">
      <c r="B6" s="54"/>
    </row>
    <row r="7" spans="1:4" ht="18.75">
      <c r="A7" t="s">
        <v>168</v>
      </c>
      <c r="B7" s="78">
        <f>NORMINV(1-(1-B5/100)/2,0,1)</f>
        <v>1.959963984540054</v>
      </c>
    </row>
    <row r="9" spans="1:4">
      <c r="A9" t="s">
        <v>4</v>
      </c>
      <c r="B9" s="50">
        <v>1.5</v>
      </c>
    </row>
    <row r="10" spans="1:4">
      <c r="A10" t="s">
        <v>169</v>
      </c>
      <c r="B10" s="50">
        <v>0.25</v>
      </c>
    </row>
    <row r="12" spans="1:4" ht="18">
      <c r="A12" t="s">
        <v>49</v>
      </c>
      <c r="B12" t="s">
        <v>170</v>
      </c>
      <c r="D12" s="78">
        <f>(B7*B9/B10)^2</f>
        <v>138.2925175449885</v>
      </c>
    </row>
    <row r="14" spans="1:4">
      <c r="A14" s="77" t="s">
        <v>171</v>
      </c>
    </row>
    <row r="16" spans="1:4" ht="18.75">
      <c r="A16" t="s">
        <v>172</v>
      </c>
      <c r="B16" s="78">
        <f>TINV((1-B5/100),CEILING(D12,1)-1)</f>
        <v>1.9773035123380969</v>
      </c>
    </row>
    <row r="18" spans="1:4" ht="18">
      <c r="A18" t="s">
        <v>49</v>
      </c>
      <c r="B18" t="s">
        <v>173</v>
      </c>
      <c r="D18" s="53">
        <f>(B16*B9/B10)^2</f>
        <v>140.7502504765647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5" sqref="A5:B31"/>
    </sheetView>
  </sheetViews>
  <sheetFormatPr defaultRowHeight="15"/>
  <cols>
    <col min="1" max="1" width="11.7109375" style="104" customWidth="1"/>
    <col min="2" max="2" width="11.7109375" style="85" customWidth="1"/>
    <col min="6" max="6" width="19.42578125" customWidth="1"/>
  </cols>
  <sheetData>
    <row r="1" spans="1:8" s="54" customFormat="1">
      <c r="A1" s="103" t="s">
        <v>222</v>
      </c>
      <c r="B1" s="81" t="s">
        <v>223</v>
      </c>
      <c r="D1" s="101" t="s">
        <v>111</v>
      </c>
      <c r="E1" s="70" t="s">
        <v>112</v>
      </c>
      <c r="F1" s="101"/>
      <c r="G1" s="125"/>
      <c r="H1" s="125"/>
    </row>
    <row r="2" spans="1:8">
      <c r="A2" s="104">
        <v>44.1</v>
      </c>
      <c r="B2" s="85">
        <v>21.8</v>
      </c>
      <c r="D2" s="49" t="s">
        <v>226</v>
      </c>
      <c r="E2" s="96">
        <f>COUNT(A:A)</f>
        <v>3</v>
      </c>
      <c r="F2" s="49"/>
      <c r="G2" s="125"/>
      <c r="H2" s="125"/>
    </row>
    <row r="3" spans="1:8">
      <c r="A3" s="104">
        <v>57.3</v>
      </c>
      <c r="B3" s="85">
        <v>27</v>
      </c>
      <c r="D3" s="49" t="s">
        <v>224</v>
      </c>
      <c r="E3" s="96">
        <f>AVERAGE(A:A)</f>
        <v>49.20000000000001</v>
      </c>
      <c r="F3" s="49"/>
      <c r="G3" s="125"/>
      <c r="H3" s="125"/>
    </row>
    <row r="4" spans="1:8">
      <c r="A4" s="104">
        <v>46.2</v>
      </c>
      <c r="B4" s="85">
        <v>3.8</v>
      </c>
      <c r="D4" s="49" t="s">
        <v>225</v>
      </c>
      <c r="E4" s="96">
        <f>STDEV(A:A)</f>
        <v>7.0929542505220331</v>
      </c>
      <c r="F4" s="49"/>
      <c r="G4" s="125"/>
      <c r="H4" s="125"/>
    </row>
    <row r="5" spans="1:8">
      <c r="F5" s="49"/>
      <c r="G5" s="125"/>
      <c r="H5" s="125"/>
    </row>
    <row r="6" spans="1:8">
      <c r="D6" s="101" t="s">
        <v>229</v>
      </c>
      <c r="E6" s="96">
        <f>COUNT(B:B)</f>
        <v>3</v>
      </c>
      <c r="F6" s="101"/>
      <c r="G6" s="125"/>
      <c r="H6" s="125"/>
    </row>
    <row r="7" spans="1:8">
      <c r="D7" s="101" t="s">
        <v>227</v>
      </c>
      <c r="E7" s="96">
        <f>AVERAGE(B:B)</f>
        <v>17.533333333333331</v>
      </c>
      <c r="F7" s="101"/>
      <c r="G7" s="125"/>
      <c r="H7" s="125"/>
    </row>
    <row r="8" spans="1:8">
      <c r="D8" s="101" t="s">
        <v>228</v>
      </c>
      <c r="E8" s="96">
        <f>STDEV(B:B)</f>
        <v>12.174289849241042</v>
      </c>
      <c r="F8" s="101"/>
      <c r="G8" s="125"/>
      <c r="H8" s="125"/>
    </row>
    <row r="9" spans="1:8">
      <c r="F9" s="101"/>
      <c r="G9" s="125"/>
      <c r="H9" s="125"/>
    </row>
    <row r="10" spans="1:8">
      <c r="D10" s="101"/>
      <c r="E10" s="70"/>
      <c r="F10" s="101"/>
      <c r="G10" s="125"/>
      <c r="H10" s="125"/>
    </row>
    <row r="11" spans="1:8">
      <c r="D11" s="101"/>
      <c r="E11" s="70"/>
      <c r="F11" s="101"/>
      <c r="G11" s="125"/>
      <c r="H11" s="125"/>
    </row>
    <row r="12" spans="1:8">
      <c r="D12" s="101"/>
      <c r="E12" s="70"/>
      <c r="F12" s="101"/>
      <c r="G12" s="125"/>
      <c r="H12" s="125"/>
    </row>
    <row r="13" spans="1:8">
      <c r="D13" s="101"/>
      <c r="E13" s="70"/>
      <c r="F13" s="101"/>
      <c r="G13" s="125"/>
      <c r="H13" s="125"/>
    </row>
    <row r="14" spans="1:8">
      <c r="D14" s="101"/>
      <c r="E14" s="70"/>
      <c r="F14" s="101"/>
      <c r="G14" s="125"/>
      <c r="H14" s="125"/>
    </row>
    <row r="15" spans="1:8">
      <c r="D15" s="101"/>
      <c r="E15" s="70"/>
      <c r="F15" s="49"/>
      <c r="G15" s="125"/>
      <c r="H15" s="125"/>
    </row>
    <row r="16" spans="1:8">
      <c r="D16" s="49"/>
      <c r="E16" s="1"/>
      <c r="G16" s="125"/>
      <c r="H16" s="125"/>
    </row>
    <row r="17" spans="7:8">
      <c r="G17" s="125"/>
      <c r="H17" s="125"/>
    </row>
    <row r="18" spans="7:8">
      <c r="G18" s="125"/>
      <c r="H18" s="125"/>
    </row>
    <row r="19" spans="7:8">
      <c r="G19" s="125"/>
      <c r="H19" s="125"/>
    </row>
    <row r="20" spans="7:8">
      <c r="G20" s="125"/>
      <c r="H20" s="125"/>
    </row>
    <row r="21" spans="7:8">
      <c r="G21" s="125"/>
      <c r="H21" s="125"/>
    </row>
    <row r="22" spans="7:8">
      <c r="G22" s="125"/>
      <c r="H22" s="125"/>
    </row>
    <row r="23" spans="7:8">
      <c r="G23" s="125"/>
      <c r="H23" s="125"/>
    </row>
    <row r="24" spans="7:8">
      <c r="G24" s="125"/>
      <c r="H24" s="125"/>
    </row>
    <row r="25" spans="7:8">
      <c r="G25" s="125"/>
      <c r="H25" s="125"/>
    </row>
    <row r="26" spans="7:8">
      <c r="G26" s="125"/>
      <c r="H26" s="125"/>
    </row>
    <row r="27" spans="7:8">
      <c r="G27" s="125"/>
      <c r="H27" s="125"/>
    </row>
    <row r="28" spans="7:8">
      <c r="G28" s="125"/>
      <c r="H28" s="125"/>
    </row>
    <row r="29" spans="7:8">
      <c r="G29" s="125"/>
      <c r="H29" s="125"/>
    </row>
    <row r="30" spans="7:8">
      <c r="G30" s="125"/>
      <c r="H30" s="125"/>
    </row>
    <row r="31" spans="7:8">
      <c r="G31" s="125"/>
      <c r="H31" s="1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55"/>
  <sheetViews>
    <sheetView zoomScaleNormal="100" workbookViewId="0">
      <selection activeCell="H13" sqref="H13"/>
    </sheetView>
  </sheetViews>
  <sheetFormatPr defaultRowHeight="15"/>
  <cols>
    <col min="1" max="1" width="4.42578125" customWidth="1"/>
    <col min="2" max="2" width="12.28515625" customWidth="1"/>
    <col min="3" max="3" width="1.7109375" bestFit="1" customWidth="1"/>
    <col min="4" max="4" width="16.28515625" customWidth="1"/>
    <col min="5" max="5" width="2.85546875" bestFit="1" customWidth="1"/>
    <col min="6" max="6" width="12" customWidth="1"/>
    <col min="7" max="7" width="2.28515625" bestFit="1" customWidth="1"/>
    <col min="8" max="8" width="27.140625" customWidth="1"/>
    <col min="9" max="9" width="2.5703125" customWidth="1"/>
    <col min="10" max="10" width="7.85546875" customWidth="1"/>
    <col min="11" max="11" width="20.5703125" customWidth="1"/>
    <col min="12" max="12" width="14.28515625" customWidth="1"/>
    <col min="13" max="13" width="7.5703125" style="1" customWidth="1"/>
    <col min="14" max="14" width="24.140625" customWidth="1"/>
    <col min="15" max="15" width="12.42578125" customWidth="1"/>
    <col min="16" max="16" width="22.28515625" customWidth="1"/>
    <col min="17" max="17" width="2.28515625" customWidth="1"/>
    <col min="18" max="18" width="17.42578125" bestFit="1" customWidth="1"/>
  </cols>
  <sheetData>
    <row r="1" spans="1:18" ht="22.5" customHeight="1">
      <c r="A1" s="62" t="s">
        <v>200</v>
      </c>
      <c r="K1" s="46" t="s">
        <v>52</v>
      </c>
      <c r="L1" s="47"/>
      <c r="M1" s="47"/>
      <c r="N1" s="47"/>
      <c r="O1" s="46"/>
      <c r="P1" s="46"/>
      <c r="Q1" s="46"/>
      <c r="R1" s="32"/>
    </row>
    <row r="2" spans="1:18" ht="15.75" thickBot="1">
      <c r="A2" s="32"/>
      <c r="B2" s="32"/>
      <c r="C2" s="32"/>
      <c r="D2" s="32"/>
      <c r="E2" s="32"/>
      <c r="F2" s="32"/>
      <c r="G2" s="32"/>
      <c r="H2" s="32"/>
      <c r="I2" s="32"/>
      <c r="J2" s="32"/>
      <c r="L2" s="1"/>
      <c r="N2" s="1"/>
      <c r="R2" s="33"/>
    </row>
    <row r="3" spans="1:18" ht="18.75" thickBot="1">
      <c r="A3" s="33"/>
      <c r="B3" s="33" t="s">
        <v>21</v>
      </c>
      <c r="C3" s="33"/>
      <c r="D3" s="34">
        <v>95</v>
      </c>
      <c r="E3" s="33" t="s">
        <v>22</v>
      </c>
      <c r="F3" s="33" t="s">
        <v>199</v>
      </c>
      <c r="G3" s="33"/>
      <c r="H3" s="33"/>
      <c r="I3" s="33"/>
      <c r="J3" s="33"/>
      <c r="K3" t="s">
        <v>53</v>
      </c>
      <c r="L3" s="1" t="s">
        <v>54</v>
      </c>
      <c r="M3" s="1" t="s">
        <v>211</v>
      </c>
      <c r="N3" s="1" t="s">
        <v>46</v>
      </c>
      <c r="O3" s="54">
        <v>0</v>
      </c>
      <c r="R3" s="32"/>
    </row>
    <row r="4" spans="1:18" ht="23.2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t="s">
        <v>56</v>
      </c>
      <c r="L4" s="1" t="s">
        <v>57</v>
      </c>
      <c r="M4" s="1" t="s">
        <v>211</v>
      </c>
      <c r="N4" s="55"/>
      <c r="O4">
        <f>O3</f>
        <v>0</v>
      </c>
      <c r="R4" s="32"/>
    </row>
    <row r="5" spans="1:18" ht="24.75" customHeight="1">
      <c r="A5" s="32"/>
      <c r="B5" s="35" t="s">
        <v>24</v>
      </c>
      <c r="C5" s="32"/>
      <c r="D5" s="32">
        <f>1-D3/100</f>
        <v>5.0000000000000044E-2</v>
      </c>
      <c r="E5" s="32"/>
      <c r="F5" s="32"/>
      <c r="G5" s="32"/>
      <c r="H5" s="32"/>
      <c r="I5" s="32"/>
      <c r="J5" s="32"/>
      <c r="L5" s="1"/>
      <c r="N5" s="1"/>
      <c r="R5" s="32"/>
    </row>
    <row r="6" spans="1:18">
      <c r="A6" s="32"/>
      <c r="B6" s="35" t="s">
        <v>25</v>
      </c>
      <c r="C6" s="32"/>
      <c r="D6" s="32">
        <f>D5/2</f>
        <v>2.5000000000000022E-2</v>
      </c>
      <c r="E6" s="32"/>
      <c r="F6" s="32"/>
      <c r="G6" s="32"/>
      <c r="H6" s="32"/>
      <c r="I6" s="32"/>
      <c r="J6" s="32"/>
      <c r="K6" s="46" t="s">
        <v>58</v>
      </c>
      <c r="L6" s="47"/>
      <c r="M6" s="47"/>
      <c r="N6" s="47"/>
      <c r="O6" s="46"/>
      <c r="P6" s="46"/>
      <c r="Q6" s="46"/>
      <c r="R6" s="32"/>
    </row>
    <row r="7" spans="1:18">
      <c r="A7" s="32"/>
      <c r="B7" s="32" t="s">
        <v>26</v>
      </c>
      <c r="C7" s="32"/>
      <c r="D7" s="32">
        <f>1-D6</f>
        <v>0.97499999999999998</v>
      </c>
      <c r="E7" s="32"/>
      <c r="F7" s="32"/>
      <c r="G7" s="32"/>
      <c r="H7" s="32"/>
      <c r="I7" s="32"/>
      <c r="J7" s="32"/>
      <c r="K7" s="46"/>
      <c r="L7" s="47"/>
      <c r="M7" s="47"/>
      <c r="N7" s="47"/>
      <c r="O7" s="46"/>
      <c r="P7" s="46"/>
      <c r="Q7" s="46"/>
      <c r="R7" s="32"/>
    </row>
    <row r="8" spans="1:18">
      <c r="A8" s="32"/>
      <c r="B8" s="32"/>
      <c r="C8" s="32"/>
      <c r="D8" s="32"/>
      <c r="E8" s="32"/>
      <c r="F8" s="32"/>
      <c r="G8" s="32"/>
      <c r="H8" s="32"/>
      <c r="I8" s="32"/>
      <c r="J8" s="32"/>
      <c r="K8" s="1"/>
      <c r="L8" s="1" t="s">
        <v>59</v>
      </c>
      <c r="R8" s="32"/>
    </row>
    <row r="9" spans="1:18" ht="18.75">
      <c r="A9" s="32"/>
      <c r="B9" s="32" t="s">
        <v>93</v>
      </c>
      <c r="C9" s="32"/>
      <c r="D9" s="36">
        <v>20</v>
      </c>
      <c r="E9" s="32"/>
      <c r="F9" s="32" t="s">
        <v>94</v>
      </c>
      <c r="G9" s="32"/>
      <c r="H9" s="36">
        <v>30</v>
      </c>
      <c r="I9" s="32"/>
      <c r="J9" s="32"/>
      <c r="K9" s="1" t="s">
        <v>16</v>
      </c>
      <c r="L9" s="1"/>
      <c r="R9" s="32"/>
    </row>
    <row r="10" spans="1:18" ht="18.75">
      <c r="A10" s="32"/>
      <c r="B10" s="32" t="s">
        <v>202</v>
      </c>
      <c r="C10" s="32"/>
      <c r="D10" s="98">
        <v>46.425000000000004</v>
      </c>
      <c r="E10" s="32"/>
      <c r="F10" s="32" t="s">
        <v>203</v>
      </c>
      <c r="G10" s="32"/>
      <c r="H10" s="98">
        <v>10.813333333333333</v>
      </c>
      <c r="I10" s="32"/>
      <c r="J10" s="32"/>
      <c r="K10" s="1" t="s">
        <v>217</v>
      </c>
      <c r="N10" s="1"/>
      <c r="O10" s="64"/>
      <c r="P10" s="64"/>
      <c r="R10" s="32"/>
    </row>
    <row r="11" spans="1:18" ht="18.75">
      <c r="A11" s="32"/>
      <c r="B11" s="32" t="s">
        <v>204</v>
      </c>
      <c r="C11" s="32"/>
      <c r="D11" s="36">
        <v>6.9968319898891478</v>
      </c>
      <c r="E11" s="32"/>
      <c r="F11" s="32" t="s">
        <v>205</v>
      </c>
      <c r="G11" s="32"/>
      <c r="H11" s="36">
        <v>7.7901234257555716</v>
      </c>
      <c r="I11" s="32"/>
      <c r="J11" s="32"/>
      <c r="K11" s="1" t="s">
        <v>96</v>
      </c>
      <c r="N11" s="59"/>
      <c r="O11" s="54"/>
      <c r="P11" s="59"/>
      <c r="R11" s="32"/>
    </row>
    <row r="12" spans="1:18">
      <c r="A12" s="32"/>
      <c r="I12" s="32"/>
      <c r="J12" s="32"/>
      <c r="K12" s="1"/>
      <c r="N12" s="59"/>
      <c r="O12" s="54"/>
      <c r="P12" s="59"/>
      <c r="R12" s="32"/>
    </row>
    <row r="13" spans="1:18" ht="18.75">
      <c r="A13" s="32"/>
      <c r="B13" s="32" t="s">
        <v>220</v>
      </c>
      <c r="D13" s="100">
        <f>(D11^2/D9+H11^2/H9)^2/(1/(D9-1)*(D11^2/D9)^2+(1/(H9-1)*(H11^2/H9)^2))</f>
        <v>43.787041230722053</v>
      </c>
      <c r="I13" s="32"/>
      <c r="J13" s="32"/>
      <c r="K13" s="32" t="s">
        <v>93</v>
      </c>
      <c r="L13" s="36">
        <v>26</v>
      </c>
      <c r="N13" s="32" t="s">
        <v>94</v>
      </c>
      <c r="O13" s="36">
        <v>32</v>
      </c>
      <c r="R13" s="32"/>
    </row>
    <row r="14" spans="1:18" ht="18.75">
      <c r="A14" s="32"/>
      <c r="B14" s="32" t="s">
        <v>201</v>
      </c>
      <c r="C14" s="32"/>
      <c r="D14" s="99">
        <f>TINV(D5,D13)</f>
        <v>2.0166921734373453</v>
      </c>
      <c r="E14" s="32"/>
      <c r="F14" s="32"/>
      <c r="G14" s="32"/>
      <c r="H14" s="32"/>
      <c r="I14" s="32"/>
      <c r="J14" s="32"/>
      <c r="K14" s="32" t="s">
        <v>202</v>
      </c>
      <c r="L14" s="98">
        <v>80</v>
      </c>
      <c r="N14" s="32" t="s">
        <v>203</v>
      </c>
      <c r="O14" s="98">
        <v>74</v>
      </c>
      <c r="R14" s="32"/>
    </row>
    <row r="15" spans="1:18" ht="18.7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 t="s">
        <v>204</v>
      </c>
      <c r="L15" s="36">
        <v>5</v>
      </c>
      <c r="N15" s="32" t="s">
        <v>205</v>
      </c>
      <c r="O15" s="36">
        <v>6</v>
      </c>
      <c r="R15" s="32"/>
    </row>
    <row r="16" spans="1:18">
      <c r="A16" s="32"/>
      <c r="B16" s="32" t="s">
        <v>31</v>
      </c>
      <c r="C16" s="32"/>
      <c r="D16" s="32"/>
      <c r="E16" s="32"/>
      <c r="F16" s="32"/>
      <c r="G16" s="32"/>
      <c r="H16" s="32"/>
      <c r="I16" s="32"/>
      <c r="J16" s="32"/>
      <c r="K16" s="1"/>
      <c r="N16" s="54"/>
      <c r="O16" s="54"/>
      <c r="P16" s="54"/>
      <c r="R16" s="32"/>
    </row>
    <row r="17" spans="1:18" ht="18.75">
      <c r="A17" s="32"/>
      <c r="B17" s="32"/>
      <c r="C17" s="32"/>
      <c r="D17" s="32" t="s">
        <v>207</v>
      </c>
      <c r="E17" s="32"/>
      <c r="F17" s="32">
        <f>SQRT(D11^2/D9+H11^2/H9)</f>
        <v>2.1143912428136371</v>
      </c>
      <c r="G17" s="32"/>
      <c r="H17" s="32" t="s">
        <v>206</v>
      </c>
      <c r="I17" s="32"/>
      <c r="J17" s="32"/>
      <c r="K17" s="1"/>
      <c r="R17" s="32"/>
    </row>
    <row r="18" spans="1:18">
      <c r="A18" s="32"/>
      <c r="B18" s="32"/>
      <c r="C18" s="32"/>
      <c r="D18" s="32" t="s">
        <v>32</v>
      </c>
      <c r="E18" s="32"/>
      <c r="F18" s="32">
        <f>D14*F17</f>
        <v>4.2640762709667239</v>
      </c>
      <c r="G18" s="32"/>
      <c r="H18" s="32" t="s">
        <v>208</v>
      </c>
      <c r="I18" s="32"/>
      <c r="J18" s="32"/>
      <c r="K18" s="15" t="s">
        <v>230</v>
      </c>
      <c r="R18" s="32"/>
    </row>
    <row r="19" spans="1:18">
      <c r="A19" s="32"/>
      <c r="B19" s="32"/>
      <c r="C19" s="32"/>
      <c r="D19" s="32" t="s">
        <v>34</v>
      </c>
      <c r="E19" s="32"/>
      <c r="F19" s="32">
        <f>(D10-H10)-F18</f>
        <v>31.347590395699946</v>
      </c>
      <c r="G19" s="32"/>
      <c r="H19" s="32" t="s">
        <v>209</v>
      </c>
      <c r="I19" s="32"/>
      <c r="J19" s="32"/>
      <c r="K19" s="1"/>
      <c r="R19" s="32"/>
    </row>
    <row r="20" spans="1:18" ht="18.75">
      <c r="A20" s="32"/>
      <c r="B20" s="32"/>
      <c r="C20" s="32"/>
      <c r="D20" s="32" t="s">
        <v>36</v>
      </c>
      <c r="E20" s="32"/>
      <c r="F20" s="32">
        <f>(D10-H10)+F18</f>
        <v>39.875742937633397</v>
      </c>
      <c r="G20" s="32"/>
      <c r="H20" s="32" t="s">
        <v>210</v>
      </c>
      <c r="I20" s="32"/>
      <c r="J20" s="32"/>
      <c r="K20" s="67" t="s">
        <v>212</v>
      </c>
      <c r="L20" s="1"/>
      <c r="N20" s="1"/>
      <c r="O20" s="15" t="s">
        <v>65</v>
      </c>
      <c r="R20" s="32"/>
    </row>
    <row r="21" spans="1:18" ht="15.75" thickBo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102" t="s">
        <v>216</v>
      </c>
      <c r="L21" s="123">
        <f>(L15^2/L13+O15^2/O13)^2/(1/(L13-1)*(L15^2/L13)^2+(1/(O13-1)*(O15^2/O13)^2))</f>
        <v>55.95304534478133</v>
      </c>
      <c r="M21" s="1" t="s">
        <v>218</v>
      </c>
      <c r="N21" s="1"/>
      <c r="O21" s="64"/>
      <c r="R21" s="32"/>
    </row>
    <row r="22" spans="1:18" ht="18.75">
      <c r="A22" s="32"/>
      <c r="B22" s="37" t="s">
        <v>38</v>
      </c>
      <c r="C22" s="38"/>
      <c r="D22" s="38">
        <f>D3</f>
        <v>95</v>
      </c>
      <c r="E22" s="38" t="s">
        <v>22</v>
      </c>
      <c r="F22" s="122" t="s">
        <v>221</v>
      </c>
      <c r="G22" s="38"/>
      <c r="H22" s="38"/>
      <c r="I22" s="39"/>
      <c r="J22" s="32"/>
      <c r="K22" s="119" t="s">
        <v>255</v>
      </c>
      <c r="L22" s="124">
        <v>0.05</v>
      </c>
      <c r="M22" s="70"/>
      <c r="R22" s="32"/>
    </row>
    <row r="23" spans="1:18" ht="15.75" thickBot="1">
      <c r="A23" s="32"/>
      <c r="B23" s="40"/>
      <c r="C23" s="41" t="s">
        <v>40</v>
      </c>
      <c r="D23" s="42">
        <f>F19</f>
        <v>31.347590395699946</v>
      </c>
      <c r="E23" s="42" t="s">
        <v>41</v>
      </c>
      <c r="F23" s="42">
        <f>F20</f>
        <v>39.875742937633397</v>
      </c>
      <c r="G23" s="42" t="s">
        <v>42</v>
      </c>
      <c r="H23" s="42"/>
      <c r="I23" s="43"/>
      <c r="J23" s="32"/>
      <c r="K23" s="120" t="s">
        <v>256</v>
      </c>
      <c r="L23" s="121">
        <f>IF(Sheet3!A7=1,TINV(2*L22,L21),IF(Sheet3!A7=2,TINV(2*L22,L21),IF(Sheet3!A7=3,TINV(L22,L21))))</f>
        <v>1.6730339657719231</v>
      </c>
      <c r="N23" s="15" t="s">
        <v>258</v>
      </c>
      <c r="R23" s="32"/>
    </row>
    <row r="24" spans="1:18">
      <c r="A24" s="32"/>
      <c r="B24" s="32"/>
      <c r="C24" s="32"/>
      <c r="D24" s="32"/>
      <c r="E24" s="32"/>
      <c r="F24" s="32"/>
      <c r="G24" s="32"/>
      <c r="H24" s="32"/>
      <c r="I24" s="32"/>
      <c r="J24" s="32"/>
      <c r="L24" s="1"/>
      <c r="N24" s="120"/>
      <c r="O24" s="121"/>
      <c r="R24" s="32"/>
    </row>
    <row r="25" spans="1:18">
      <c r="A25" s="59"/>
      <c r="B25" s="60" t="s">
        <v>148</v>
      </c>
      <c r="C25" s="59"/>
      <c r="D25" s="59"/>
      <c r="E25" s="59"/>
      <c r="F25" s="59"/>
      <c r="G25" s="59"/>
      <c r="H25" s="59"/>
      <c r="I25" s="32"/>
      <c r="J25" s="32"/>
      <c r="K25" s="49" t="s">
        <v>213</v>
      </c>
      <c r="L25" s="52">
        <f>O3</f>
        <v>0</v>
      </c>
      <c r="N25" s="1"/>
      <c r="R25" s="32"/>
    </row>
    <row r="26" spans="1:18">
      <c r="A26" s="59"/>
      <c r="B26" s="59"/>
      <c r="C26" s="59"/>
      <c r="D26" s="59"/>
      <c r="E26" s="59"/>
      <c r="F26" s="59"/>
      <c r="G26" s="59"/>
      <c r="H26" s="59"/>
      <c r="I26" s="32"/>
      <c r="J26" s="32"/>
      <c r="K26" s="49" t="s">
        <v>215</v>
      </c>
      <c r="L26" s="52">
        <f>SQRT(L15^2/L13+O15^2/O13)</f>
        <v>1.4444855352472248</v>
      </c>
      <c r="N26" s="1"/>
      <c r="Q26" s="46"/>
      <c r="R26" s="32"/>
    </row>
    <row r="27" spans="1:18">
      <c r="A27" s="59"/>
      <c r="B27" s="59" t="s">
        <v>36</v>
      </c>
      <c r="D27" s="36">
        <v>67.959999999999994</v>
      </c>
      <c r="E27" s="59"/>
      <c r="F27" s="59"/>
      <c r="G27" s="59"/>
      <c r="H27" s="59"/>
      <c r="I27" s="32"/>
      <c r="J27" s="32"/>
      <c r="L27" s="1"/>
      <c r="N27" s="1"/>
      <c r="P27" s="46"/>
      <c r="R27" s="32"/>
    </row>
    <row r="28" spans="1:18">
      <c r="A28" s="59"/>
      <c r="B28" s="59" t="s">
        <v>34</v>
      </c>
      <c r="D28" s="36">
        <v>63.45</v>
      </c>
      <c r="E28" s="59"/>
      <c r="F28" s="59"/>
      <c r="G28" s="59"/>
      <c r="H28" s="59"/>
      <c r="I28" s="32"/>
      <c r="J28" s="32"/>
      <c r="K28" s="46" t="s">
        <v>68</v>
      </c>
      <c r="L28" s="47"/>
      <c r="M28" s="47"/>
      <c r="N28" s="47"/>
      <c r="O28" s="46"/>
      <c r="R28" s="32"/>
    </row>
    <row r="29" spans="1:18">
      <c r="A29" s="59"/>
      <c r="B29" s="59" t="s">
        <v>32</v>
      </c>
      <c r="D29" s="66">
        <f>(D27-D28)/2</f>
        <v>2.2549999999999955</v>
      </c>
      <c r="E29" s="59"/>
      <c r="F29" s="59"/>
      <c r="G29" s="59"/>
      <c r="H29" s="59"/>
      <c r="I29" s="32"/>
      <c r="J29" s="32"/>
      <c r="L29" s="1"/>
      <c r="N29" s="1"/>
      <c r="R29" s="32"/>
    </row>
    <row r="30" spans="1:18">
      <c r="A30" s="59"/>
      <c r="B30" s="59"/>
      <c r="C30" s="59"/>
      <c r="D30" s="59"/>
      <c r="E30" s="59"/>
      <c r="F30" s="59"/>
      <c r="G30" s="59"/>
      <c r="H30" s="59"/>
      <c r="I30" s="32"/>
      <c r="J30" s="32"/>
      <c r="K30" t="s">
        <v>214</v>
      </c>
      <c r="L30" s="1"/>
      <c r="N30" s="1"/>
      <c r="R30" s="32"/>
    </row>
    <row r="31" spans="1:18">
      <c r="A31" s="59"/>
      <c r="B31" s="61"/>
      <c r="C31" s="59"/>
      <c r="D31" s="59"/>
      <c r="E31" s="59"/>
      <c r="F31" s="59"/>
      <c r="G31" s="59"/>
      <c r="H31" s="59"/>
      <c r="I31" s="32"/>
      <c r="J31" s="32"/>
      <c r="K31" t="s">
        <v>72</v>
      </c>
      <c r="L31" s="52">
        <f>(L14-O14)/L26</f>
        <v>4.1537279907569964</v>
      </c>
      <c r="N31" s="1"/>
      <c r="R31" s="32"/>
    </row>
    <row r="32" spans="1:18">
      <c r="A32" s="59"/>
      <c r="B32" s="59"/>
      <c r="C32" s="59"/>
      <c r="D32" s="59"/>
      <c r="E32" s="59"/>
      <c r="F32" s="59"/>
      <c r="G32" s="59"/>
      <c r="H32" s="59"/>
      <c r="I32" s="32"/>
      <c r="J32" s="32"/>
      <c r="L32" s="1"/>
      <c r="N32" s="1"/>
      <c r="R32" s="32"/>
    </row>
    <row r="33" spans="1:18" ht="15.75">
      <c r="A33" s="59"/>
      <c r="B33" s="59"/>
      <c r="C33" s="129"/>
      <c r="D33" s="129"/>
      <c r="E33" s="59"/>
      <c r="F33" s="59"/>
      <c r="G33" s="129"/>
      <c r="H33" s="129"/>
      <c r="I33" s="32"/>
      <c r="J33" s="32"/>
      <c r="K33" t="s">
        <v>73</v>
      </c>
      <c r="L33" s="1"/>
      <c r="N33" s="1"/>
      <c r="R33" s="32"/>
    </row>
    <row r="34" spans="1:18">
      <c r="A34" s="59"/>
      <c r="B34" s="59"/>
      <c r="C34" s="59"/>
      <c r="D34" s="59"/>
      <c r="E34" s="59"/>
      <c r="F34" s="59"/>
      <c r="G34" s="59"/>
      <c r="H34" s="59"/>
      <c r="I34" s="32"/>
      <c r="J34" s="32"/>
      <c r="L34" s="53" t="s">
        <v>74</v>
      </c>
      <c r="N34" s="1"/>
      <c r="R34" s="32"/>
    </row>
    <row r="35" spans="1:18">
      <c r="A35" s="59"/>
      <c r="B35" s="59"/>
      <c r="C35" s="59"/>
      <c r="D35" s="59"/>
      <c r="E35" s="59"/>
      <c r="F35" s="59"/>
      <c r="G35" s="59"/>
      <c r="H35" s="59"/>
      <c r="I35" s="32"/>
      <c r="J35" s="32"/>
      <c r="L35" s="53">
        <f>IF(L31&gt;0,IF(Sheet3!A7=1,1-TDIST(L31,L21,1),IF(Sheet3!A7=2,TDIST(L31,L21,1), TDIST(ABS(L31),L21,2))),IF(Sheet3!A7=1,TDIST(-L31,L21,1),IF(Sheet3!A7=2,1-TDIST(-L31,L21,1), TDIST(ABS(L31),L21,2))))</f>
        <v>5.7471660715359139E-5</v>
      </c>
      <c r="N35" s="1"/>
      <c r="Q35" s="46"/>
      <c r="R35" s="32"/>
    </row>
    <row r="36" spans="1:18">
      <c r="A36" s="32"/>
      <c r="B36" s="32"/>
      <c r="C36" s="32"/>
      <c r="D36" s="32"/>
      <c r="E36" s="32"/>
      <c r="F36" s="32"/>
      <c r="G36" s="32"/>
      <c r="H36" s="32"/>
      <c r="I36" s="32"/>
      <c r="J36" s="32"/>
      <c r="L36" s="1"/>
      <c r="N36" s="1"/>
      <c r="P36" s="46"/>
      <c r="R36" s="32"/>
    </row>
    <row r="37" spans="1: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46" t="s">
        <v>75</v>
      </c>
      <c r="L37" s="47"/>
      <c r="M37" s="47"/>
      <c r="N37" s="47"/>
      <c r="O37" s="46"/>
      <c r="R37" s="32"/>
    </row>
    <row r="38" spans="1:18">
      <c r="A38" s="32"/>
      <c r="B38" s="32"/>
      <c r="C38" s="32"/>
      <c r="D38" s="32"/>
      <c r="E38" s="32"/>
      <c r="F38" s="32"/>
      <c r="G38" s="32"/>
      <c r="H38" s="32"/>
      <c r="I38" s="32"/>
      <c r="J38" s="32"/>
      <c r="L38" s="1"/>
      <c r="N38" s="1"/>
      <c r="R38" s="32"/>
    </row>
    <row r="39" spans="1: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t="s">
        <v>76</v>
      </c>
      <c r="L39" s="15" t="s">
        <v>257</v>
      </c>
      <c r="N39" s="1"/>
      <c r="O39" s="100">
        <f>L22</f>
        <v>0.05</v>
      </c>
      <c r="R39" s="32"/>
    </row>
    <row r="40" spans="1:18">
      <c r="A40" s="32"/>
      <c r="B40" s="32"/>
      <c r="C40" s="32"/>
      <c r="D40" s="32"/>
      <c r="E40" s="32"/>
      <c r="F40" s="32"/>
      <c r="G40" s="32"/>
      <c r="H40" s="32"/>
      <c r="I40" s="32"/>
      <c r="J40" s="32"/>
      <c r="L40" s="1"/>
      <c r="N40" s="1"/>
      <c r="R40" s="32"/>
    </row>
    <row r="41" spans="1:18" ht="15.75">
      <c r="A41" s="32"/>
      <c r="B41" s="32"/>
      <c r="C41" s="32"/>
      <c r="D41" s="32"/>
      <c r="E41" s="32"/>
      <c r="F41" s="32"/>
      <c r="G41" s="32"/>
      <c r="H41" s="32"/>
      <c r="I41" s="32"/>
      <c r="J41" s="32"/>
      <c r="L41" s="1"/>
      <c r="N41" s="52" t="str">
        <f>IF(L35&lt;O39,"Reject","Fail to reject")</f>
        <v>Reject</v>
      </c>
      <c r="O41" s="52" t="s">
        <v>78</v>
      </c>
      <c r="R41" s="32"/>
    </row>
    <row r="42" spans="1:18">
      <c r="A42" s="32"/>
      <c r="B42" s="32"/>
      <c r="C42" s="32"/>
      <c r="D42" s="32"/>
      <c r="E42" s="32"/>
      <c r="F42" s="32"/>
      <c r="G42" s="32"/>
      <c r="H42" s="32"/>
      <c r="I42" s="32"/>
      <c r="J42" s="32"/>
      <c r="L42" s="1"/>
      <c r="N42" s="1"/>
      <c r="R42" s="32"/>
    </row>
    <row r="43" spans="1: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t="s">
        <v>79</v>
      </c>
      <c r="L43" s="1" t="s">
        <v>80</v>
      </c>
      <c r="N43" s="1"/>
      <c r="R43" s="32"/>
    </row>
    <row r="44" spans="1:18">
      <c r="A44" s="32"/>
      <c r="B44" s="32"/>
      <c r="C44" s="32"/>
      <c r="D44" s="32"/>
      <c r="E44" s="32"/>
      <c r="F44" s="32"/>
      <c r="G44" s="32"/>
      <c r="H44" s="32"/>
      <c r="I44" s="32"/>
      <c r="J44" s="32"/>
      <c r="L44" s="52" t="str">
        <f>IF(L35&lt;O39,"is","is not")</f>
        <v>is</v>
      </c>
      <c r="N44" s="52" t="str">
        <f>IF(AND(L35&lt;O39,L35&lt;0.01),"strong",IF(AND(L35&lt;O39,L35&lt;0.1,L35&gt;0.05),"weak",""))</f>
        <v>strong</v>
      </c>
      <c r="R44" s="32"/>
    </row>
    <row r="45" spans="1:18">
      <c r="A45" s="32"/>
      <c r="B45" s="32"/>
      <c r="C45" s="32"/>
      <c r="D45" s="32"/>
      <c r="E45" s="32"/>
      <c r="F45" s="32"/>
      <c r="G45" s="32"/>
      <c r="H45" s="32"/>
      <c r="I45" s="32"/>
      <c r="J45" s="32"/>
      <c r="L45" s="15" t="s">
        <v>81</v>
      </c>
      <c r="N45" s="1"/>
      <c r="R45" s="32"/>
    </row>
    <row r="46" spans="1:18">
      <c r="A46" s="32"/>
      <c r="B46" s="32"/>
      <c r="C46" s="32"/>
      <c r="D46" s="32"/>
      <c r="E46" s="32"/>
      <c r="F46" s="32"/>
      <c r="G46" s="32"/>
      <c r="H46" s="32"/>
      <c r="I46" s="32"/>
      <c r="J46" s="32"/>
      <c r="L46" s="1"/>
      <c r="N46" s="1"/>
      <c r="R46" s="32"/>
    </row>
    <row r="47" spans="1: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t="s">
        <v>82</v>
      </c>
      <c r="L47" s="1"/>
      <c r="N47" s="1"/>
      <c r="R47" s="32"/>
    </row>
    <row r="48" spans="1:18">
      <c r="A48" s="32"/>
      <c r="B48" s="32"/>
      <c r="C48" s="32"/>
      <c r="D48" s="32"/>
      <c r="E48" s="32"/>
      <c r="F48" s="32"/>
      <c r="G48" s="32"/>
      <c r="H48" s="32"/>
      <c r="I48" s="32"/>
      <c r="J48" s="32"/>
      <c r="L48" s="1"/>
      <c r="N48" s="1"/>
      <c r="R48" s="32"/>
    </row>
    <row r="49" spans="1: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46"/>
      <c r="L49" s="1"/>
      <c r="N49" s="1"/>
      <c r="R49" s="32"/>
    </row>
    <row r="50" spans="1:18">
      <c r="A50" s="32"/>
      <c r="B50" s="32"/>
      <c r="C50" s="32"/>
      <c r="D50" s="32"/>
      <c r="E50" s="32"/>
      <c r="F50" s="32"/>
      <c r="G50" s="32"/>
      <c r="H50" s="32"/>
      <c r="I50" s="32"/>
      <c r="J50" s="32"/>
      <c r="L50" s="1"/>
      <c r="N50" s="1"/>
      <c r="R50" s="32"/>
    </row>
    <row r="51" spans="1:18">
      <c r="A51" s="32"/>
      <c r="B51" s="32"/>
      <c r="C51" s="32"/>
      <c r="D51" s="32"/>
      <c r="E51" s="32"/>
      <c r="F51" s="32"/>
      <c r="G51" s="32"/>
      <c r="H51" s="32"/>
      <c r="I51" s="32"/>
      <c r="J51" s="32"/>
      <c r="L51" s="1"/>
      <c r="N51" s="1"/>
      <c r="R51" s="32"/>
    </row>
    <row r="52" spans="1:18">
      <c r="A52" s="32"/>
      <c r="B52" s="32"/>
      <c r="C52" s="32"/>
      <c r="D52" s="32"/>
      <c r="E52" s="32"/>
      <c r="F52" s="32"/>
      <c r="G52" s="32"/>
      <c r="H52" s="32"/>
      <c r="I52" s="32"/>
      <c r="J52" s="32"/>
      <c r="L52" s="1"/>
      <c r="N52" s="1"/>
    </row>
    <row r="53" spans="1:18">
      <c r="A53" s="32"/>
      <c r="B53" s="32"/>
      <c r="C53" s="32"/>
      <c r="D53" s="32"/>
      <c r="E53" s="32"/>
      <c r="F53" s="32"/>
      <c r="G53" s="32"/>
      <c r="H53" s="32"/>
      <c r="I53" s="32"/>
      <c r="J53" s="32"/>
      <c r="L53" s="1"/>
      <c r="N53" s="1"/>
    </row>
    <row r="54" spans="1:18">
      <c r="A54" s="32"/>
      <c r="B54" s="32"/>
      <c r="C54" s="32"/>
      <c r="D54" s="32"/>
      <c r="E54" s="32"/>
      <c r="F54" s="32"/>
      <c r="G54" s="32"/>
      <c r="H54" s="32"/>
      <c r="I54" s="32"/>
      <c r="J54" s="32"/>
    </row>
    <row r="55" spans="1:18">
      <c r="A55" s="32"/>
      <c r="B55" s="32"/>
      <c r="C55" s="32"/>
      <c r="D55" s="32"/>
      <c r="E55" s="32"/>
      <c r="F55" s="32"/>
      <c r="G55" s="32"/>
      <c r="H55" s="32"/>
      <c r="I55" s="32"/>
    </row>
  </sheetData>
  <mergeCells count="2">
    <mergeCell ref="C33:D33"/>
    <mergeCell ref="G33:H3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7" sqref="A7"/>
    </sheetView>
  </sheetViews>
  <sheetFormatPr defaultRowHeight="15"/>
  <cols>
    <col min="1" max="1" width="13.7109375" customWidth="1"/>
  </cols>
  <sheetData>
    <row r="1" spans="1:2">
      <c r="A1" t="s">
        <v>83</v>
      </c>
    </row>
    <row r="2" spans="1:2">
      <c r="A2" t="s">
        <v>84</v>
      </c>
    </row>
    <row r="3" spans="1:2">
      <c r="A3" t="s">
        <v>85</v>
      </c>
    </row>
    <row r="4" spans="1:2">
      <c r="A4">
        <v>1</v>
      </c>
      <c r="B4" t="s">
        <v>150</v>
      </c>
    </row>
    <row r="5" spans="1:2">
      <c r="A5">
        <v>3</v>
      </c>
      <c r="B5" t="s">
        <v>151</v>
      </c>
    </row>
    <row r="6" spans="1:2">
      <c r="A6">
        <v>1</v>
      </c>
      <c r="B6" t="s">
        <v>149</v>
      </c>
    </row>
    <row r="7" spans="1:2">
      <c r="A7">
        <v>2</v>
      </c>
      <c r="B7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9" sqref="C9"/>
    </sheetView>
  </sheetViews>
  <sheetFormatPr defaultRowHeight="15"/>
  <cols>
    <col min="1" max="1" width="13.85546875" style="1" bestFit="1" customWidth="1"/>
    <col min="2" max="2" width="15.140625" style="1" customWidth="1"/>
    <col min="3" max="3" width="11" style="1" bestFit="1" customWidth="1"/>
    <col min="4" max="4" width="12.85546875" style="1" bestFit="1" customWidth="1"/>
    <col min="5" max="5" width="13.85546875" style="1" bestFit="1" customWidth="1"/>
  </cols>
  <sheetData>
    <row r="1" spans="1:5">
      <c r="E1" s="126" t="s">
        <v>187</v>
      </c>
    </row>
    <row r="2" spans="1:5" ht="15" customHeight="1">
      <c r="C2" s="86" t="s">
        <v>188</v>
      </c>
      <c r="E2" s="126"/>
    </row>
    <row r="3" spans="1:5">
      <c r="A3" s="1" t="s">
        <v>1</v>
      </c>
      <c r="B3" s="87" t="s">
        <v>2</v>
      </c>
      <c r="C3" s="2">
        <v>0</v>
      </c>
      <c r="E3" s="126"/>
    </row>
    <row r="4" spans="1:5">
      <c r="A4" s="1" t="s">
        <v>3</v>
      </c>
      <c r="B4" s="87" t="s">
        <v>4</v>
      </c>
      <c r="C4" s="3">
        <v>1</v>
      </c>
      <c r="E4" s="126"/>
    </row>
    <row r="6" spans="1:5">
      <c r="B6" s="86" t="s">
        <v>189</v>
      </c>
    </row>
    <row r="7" spans="1:5" ht="15.75" thickBot="1">
      <c r="A7" s="4" t="s">
        <v>5</v>
      </c>
      <c r="B7" s="5" t="s">
        <v>190</v>
      </c>
      <c r="C7" s="88">
        <v>1.2</v>
      </c>
      <c r="D7" s="6" t="s">
        <v>191</v>
      </c>
      <c r="E7" s="6">
        <f>NORMDIST(C7,C3,C4,1)</f>
        <v>0.88493032977829178</v>
      </c>
    </row>
    <row r="8" spans="1:5" ht="16.5" thickTop="1" thickBot="1">
      <c r="A8" s="4" t="s">
        <v>5</v>
      </c>
      <c r="B8" s="89" t="s">
        <v>192</v>
      </c>
      <c r="C8" s="90">
        <v>0.3</v>
      </c>
      <c r="D8" s="7" t="s">
        <v>193</v>
      </c>
      <c r="E8" s="7">
        <f>NORMINV(C8,C3,C4)</f>
        <v>-0.52440051270804089</v>
      </c>
    </row>
    <row r="9" spans="1:5" ht="15.75" thickTop="1"/>
    <row r="10" spans="1:5" ht="15.75" thickBot="1">
      <c r="A10" s="86" t="s">
        <v>6</v>
      </c>
    </row>
    <row r="11" spans="1:5">
      <c r="A11" s="8" t="s">
        <v>7</v>
      </c>
      <c r="B11" s="91" t="s">
        <v>8</v>
      </c>
      <c r="C11" s="9" t="s">
        <v>9</v>
      </c>
      <c r="D11" s="10" t="s">
        <v>10</v>
      </c>
      <c r="E11" s="11" t="s">
        <v>6</v>
      </c>
    </row>
    <row r="12" spans="1:5" ht="15.75" thickBot="1">
      <c r="A12" s="92">
        <v>950</v>
      </c>
      <c r="B12" s="9">
        <f>NORMDIST(A12,$C$3,$C$4,1)</f>
        <v>1</v>
      </c>
      <c r="C12" s="93">
        <v>1200</v>
      </c>
      <c r="D12" s="10">
        <f>NORMDIST(C12,$C$3,$C$4,1)</f>
        <v>1</v>
      </c>
      <c r="E12" s="12">
        <f>D12-B12</f>
        <v>0</v>
      </c>
    </row>
    <row r="14" spans="1:5" ht="15.75" thickBot="1">
      <c r="A14" s="1" t="s">
        <v>11</v>
      </c>
    </row>
    <row r="15" spans="1:5">
      <c r="A15" s="8" t="s">
        <v>12</v>
      </c>
      <c r="B15" s="1" t="s">
        <v>13</v>
      </c>
      <c r="C15" s="13" t="s">
        <v>14</v>
      </c>
    </row>
    <row r="16" spans="1:5" ht="15.75" thickBot="1">
      <c r="A16" s="92">
        <v>65</v>
      </c>
      <c r="B16" s="1">
        <f>NORMDIST(A16,C3,C4,1)</f>
        <v>1</v>
      </c>
      <c r="C16" s="14">
        <f>1-B16</f>
        <v>0</v>
      </c>
    </row>
  </sheetData>
  <mergeCells count="1">
    <mergeCell ref="E1:E4"/>
  </mergeCells>
  <conditionalFormatting sqref="C8">
    <cfRule type="expression" dxfId="9" priority="1">
      <formula>OR($C$8&gt;=1,$C$8&lt;=0)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10" sqref="C10"/>
    </sheetView>
  </sheetViews>
  <sheetFormatPr defaultRowHeight="15"/>
  <cols>
    <col min="1" max="1" width="15.85546875" style="1" bestFit="1" customWidth="1"/>
    <col min="2" max="3" width="12.5703125" style="1" bestFit="1" customWidth="1"/>
    <col min="4" max="4" width="25.5703125" style="1" customWidth="1"/>
    <col min="5" max="5" width="15.85546875" style="1" bestFit="1" customWidth="1"/>
    <col min="6" max="6" width="21.28515625" style="16" customWidth="1"/>
    <col min="7" max="7" width="22.42578125" style="17" customWidth="1"/>
  </cols>
  <sheetData>
    <row r="1" spans="1:7">
      <c r="A1" s="15" t="s">
        <v>194</v>
      </c>
    </row>
    <row r="2" spans="1:7" ht="21" customHeight="1">
      <c r="D2" s="15"/>
      <c r="F2" s="18" t="s">
        <v>15</v>
      </c>
    </row>
    <row r="3" spans="1:7" s="21" customFormat="1" ht="29.25" customHeight="1">
      <c r="A3" s="19"/>
      <c r="B3" s="19"/>
      <c r="C3" s="19" t="s">
        <v>0</v>
      </c>
      <c r="D3" s="20">
        <v>200</v>
      </c>
      <c r="F3" s="22" t="s">
        <v>16</v>
      </c>
      <c r="G3" s="22" t="s">
        <v>17</v>
      </c>
    </row>
    <row r="4" spans="1:7" s="26" customFormat="1" ht="29.25" customHeight="1">
      <c r="A4" s="23" t="s">
        <v>1</v>
      </c>
      <c r="B4" s="24" t="s">
        <v>195</v>
      </c>
      <c r="C4" s="25">
        <v>0.03</v>
      </c>
      <c r="D4" s="23"/>
      <c r="F4" s="27">
        <v>0.1</v>
      </c>
      <c r="G4" s="28" t="s">
        <v>18</v>
      </c>
    </row>
    <row r="5" spans="1:7" s="26" customFormat="1" ht="59.25" customHeight="1">
      <c r="A5" s="23" t="s">
        <v>3</v>
      </c>
      <c r="B5" s="29" t="s">
        <v>4</v>
      </c>
      <c r="C5" s="30">
        <f>SQRT(C4*(1-C4)/D3)</f>
        <v>1.2062338081814818E-2</v>
      </c>
      <c r="D5" s="23"/>
      <c r="F5" s="28" t="s">
        <v>19</v>
      </c>
      <c r="G5" s="31" t="str">
        <f>IF(AND(D3*C4 &gt;=10,D3*(1-C4)&gt;=10),"YES","NO")</f>
        <v>NO</v>
      </c>
    </row>
    <row r="7" spans="1:7">
      <c r="B7" s="86" t="s">
        <v>196</v>
      </c>
    </row>
    <row r="8" spans="1:7" ht="15.75" thickBot="1">
      <c r="A8" s="4" t="s">
        <v>5</v>
      </c>
      <c r="B8" s="5" t="s">
        <v>190</v>
      </c>
      <c r="C8" s="88">
        <v>1.2</v>
      </c>
      <c r="D8" s="6" t="s">
        <v>191</v>
      </c>
      <c r="E8" s="6">
        <f>NORMDIST(C8,C4,C5,1)</f>
        <v>1</v>
      </c>
    </row>
    <row r="9" spans="1:7" ht="16.5" thickTop="1" thickBot="1">
      <c r="A9" s="4" t="s">
        <v>5</v>
      </c>
      <c r="B9" s="89" t="s">
        <v>192</v>
      </c>
      <c r="C9" s="90">
        <v>0.5</v>
      </c>
      <c r="D9" s="7" t="s">
        <v>193</v>
      </c>
      <c r="E9" s="7">
        <f>NORMINV(C9,C4,C5)</f>
        <v>0.03</v>
      </c>
    </row>
    <row r="10" spans="1:7" ht="15.75" thickTop="1"/>
    <row r="11" spans="1:7" ht="15.75" thickBot="1">
      <c r="A11" s="86" t="s">
        <v>6</v>
      </c>
    </row>
    <row r="12" spans="1:7">
      <c r="A12" s="8" t="s">
        <v>7</v>
      </c>
      <c r="B12" s="91" t="s">
        <v>8</v>
      </c>
      <c r="C12" s="9" t="s">
        <v>9</v>
      </c>
      <c r="D12" s="10" t="s">
        <v>10</v>
      </c>
      <c r="E12" s="11" t="s">
        <v>6</v>
      </c>
    </row>
    <row r="13" spans="1:7" ht="15.75" thickBot="1">
      <c r="A13" s="92">
        <v>950</v>
      </c>
      <c r="B13" s="9">
        <f>NORMDIST(A13,$C$4,$C$5,1)</f>
        <v>1</v>
      </c>
      <c r="C13" s="93">
        <v>1200</v>
      </c>
      <c r="D13" s="10">
        <f>NORMDIST(C13,$C$4,$C$5,1)</f>
        <v>1</v>
      </c>
      <c r="E13" s="12">
        <f>D13-B13</f>
        <v>0</v>
      </c>
    </row>
    <row r="15" spans="1:7" ht="15.75" thickBot="1">
      <c r="A15" s="1" t="s">
        <v>11</v>
      </c>
    </row>
    <row r="16" spans="1:7">
      <c r="A16" s="8" t="s">
        <v>12</v>
      </c>
      <c r="B16" s="1" t="s">
        <v>13</v>
      </c>
      <c r="C16" s="13" t="s">
        <v>14</v>
      </c>
    </row>
    <row r="17" spans="1:3" ht="15.75" thickBot="1">
      <c r="A17" s="92">
        <v>0.14000000000000001</v>
      </c>
      <c r="B17" s="1">
        <f>NORMDIST(A17,C4,C5,1)</f>
        <v>1</v>
      </c>
      <c r="C17" s="14">
        <f>1-B17</f>
        <v>0</v>
      </c>
    </row>
  </sheetData>
  <conditionalFormatting sqref="C4">
    <cfRule type="expression" dxfId="8" priority="2" stopIfTrue="1">
      <formula>OR($C$4&gt;=1,$C$4&lt;=0)</formula>
    </cfRule>
  </conditionalFormatting>
  <conditionalFormatting sqref="C9">
    <cfRule type="expression" dxfId="7" priority="1" stopIfTrue="1">
      <formula>OR($C$9&lt;=0,$C$9&gt;=1)</formula>
    </cfRule>
  </conditionalFormatting>
  <pageMargins left="0.7" right="0.7" top="0.75" bottom="0.75" header="0.3" footer="0.3"/>
  <drawing r:id="rId1"/>
  <legacyDrawing r:id="rId2"/>
  <oleObjects>
    <oleObject progId="Equation.3" shapeId="1136" r:id="rId3"/>
    <oleObject progId="Equation.3" shapeId="1137" r:id="rId4"/>
    <oleObject progId="Equation.3" shapeId="1138" r:id="rId5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J9" sqref="J9"/>
    </sheetView>
  </sheetViews>
  <sheetFormatPr defaultRowHeight="15"/>
  <cols>
    <col min="1" max="1" width="15.85546875" style="1" bestFit="1" customWidth="1"/>
    <col min="2" max="3" width="12.5703125" style="1" bestFit="1" customWidth="1"/>
    <col min="4" max="4" width="20.5703125" style="1" customWidth="1"/>
    <col min="5" max="5" width="15.85546875" style="1" bestFit="1" customWidth="1"/>
  </cols>
  <sheetData>
    <row r="1" spans="1:5">
      <c r="A1" s="15" t="s">
        <v>197</v>
      </c>
    </row>
    <row r="2" spans="1:5" ht="21" customHeight="1">
      <c r="D2" s="15"/>
      <c r="E2" s="1" t="s">
        <v>20</v>
      </c>
    </row>
    <row r="3" spans="1:5" s="21" customFormat="1" ht="15.75">
      <c r="A3" s="19"/>
      <c r="B3" s="19"/>
      <c r="C3" s="19" t="s">
        <v>0</v>
      </c>
      <c r="D3" s="20">
        <v>50</v>
      </c>
      <c r="E3" s="20">
        <v>10</v>
      </c>
    </row>
    <row r="4" spans="1:5" s="26" customFormat="1" ht="27" customHeight="1">
      <c r="A4" s="23" t="s">
        <v>1</v>
      </c>
      <c r="B4" s="24" t="s">
        <v>195</v>
      </c>
      <c r="C4" s="25">
        <v>0.2</v>
      </c>
      <c r="D4" s="15"/>
      <c r="E4" s="23"/>
    </row>
    <row r="5" spans="1:5" s="26" customFormat="1" ht="51.75" customHeight="1">
      <c r="A5" s="23" t="s">
        <v>3</v>
      </c>
      <c r="B5" s="29" t="s">
        <v>4</v>
      </c>
      <c r="C5" s="30">
        <f>E3/SQRT(D3)</f>
        <v>1.4142135623730949</v>
      </c>
      <c r="D5" s="23"/>
      <c r="E5" s="23"/>
    </row>
    <row r="7" spans="1:5">
      <c r="B7" s="86" t="s">
        <v>198</v>
      </c>
    </row>
    <row r="8" spans="1:5" ht="15.75" thickBot="1">
      <c r="A8" s="4" t="s">
        <v>5</v>
      </c>
      <c r="B8" s="5" t="s">
        <v>190</v>
      </c>
      <c r="C8" s="88">
        <v>1.2</v>
      </c>
      <c r="D8" s="6" t="s">
        <v>191</v>
      </c>
      <c r="E8" s="6">
        <f>NORMDIST(C8,C4,C5,1)</f>
        <v>0.76024993890652337</v>
      </c>
    </row>
    <row r="9" spans="1:5" ht="16.5" thickTop="1" thickBot="1">
      <c r="A9" s="4" t="s">
        <v>5</v>
      </c>
      <c r="B9" s="89" t="s">
        <v>192</v>
      </c>
      <c r="C9" s="90">
        <v>0.9</v>
      </c>
      <c r="D9" s="7" t="s">
        <v>193</v>
      </c>
      <c r="E9" s="7">
        <f>NORMINV(C9,C4,C5)</f>
        <v>2.0123876048736462</v>
      </c>
    </row>
    <row r="10" spans="1:5" ht="15.75" thickTop="1"/>
    <row r="11" spans="1:5" ht="15.75" thickBot="1">
      <c r="A11" s="86" t="s">
        <v>6</v>
      </c>
    </row>
    <row r="12" spans="1:5">
      <c r="A12" s="8" t="s">
        <v>7</v>
      </c>
      <c r="B12" s="91" t="s">
        <v>8</v>
      </c>
      <c r="C12" s="9" t="s">
        <v>9</v>
      </c>
      <c r="D12" s="10" t="s">
        <v>10</v>
      </c>
      <c r="E12" s="11" t="s">
        <v>6</v>
      </c>
    </row>
    <row r="13" spans="1:5" ht="15.75" thickBot="1">
      <c r="A13" s="92">
        <v>950</v>
      </c>
      <c r="B13" s="9">
        <f>NORMDIST(A13,$C$4,$C$5,1)</f>
        <v>1</v>
      </c>
      <c r="C13" s="93">
        <v>1200</v>
      </c>
      <c r="D13" s="10">
        <f>NORMDIST(C13,$C$4,$C$5,1)</f>
        <v>1</v>
      </c>
      <c r="E13" s="12">
        <f>D13-B13</f>
        <v>0</v>
      </c>
    </row>
    <row r="15" spans="1:5" ht="15.75" thickBot="1">
      <c r="A15" s="1" t="s">
        <v>11</v>
      </c>
    </row>
    <row r="16" spans="1:5">
      <c r="A16" s="8" t="s">
        <v>12</v>
      </c>
      <c r="B16" s="1" t="s">
        <v>13</v>
      </c>
      <c r="C16" s="13" t="s">
        <v>14</v>
      </c>
    </row>
    <row r="17" spans="1:3" ht="15.75" thickBot="1">
      <c r="A17" s="92">
        <v>65</v>
      </c>
      <c r="B17" s="1">
        <f>NORMDIST(A17,C4,C5,1)</f>
        <v>1</v>
      </c>
      <c r="C17" s="14">
        <f>1-B17</f>
        <v>0</v>
      </c>
    </row>
  </sheetData>
  <pageMargins left="0.7" right="0.7" top="0.75" bottom="0.75" header="0.3" footer="0.3"/>
  <pageSetup orientation="portrait" r:id="rId1"/>
  <drawing r:id="rId2"/>
  <legacyDrawing r:id="rId3"/>
  <oleObjects>
    <oleObject progId="Equation.3" shapeId="2160" r:id="rId4"/>
    <oleObject progId="Equation.3" shapeId="2161" r:id="rId5"/>
    <oleObject progId="Equation.3" shapeId="2162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J23" sqref="J23"/>
    </sheetView>
  </sheetViews>
  <sheetFormatPr defaultRowHeight="15"/>
  <cols>
    <col min="2" max="2" width="7.28515625" customWidth="1"/>
  </cols>
  <sheetData>
    <row r="1" spans="1:6">
      <c r="A1" t="s">
        <v>231</v>
      </c>
    </row>
    <row r="3" spans="1:6">
      <c r="A3" s="105" t="s">
        <v>232</v>
      </c>
      <c r="B3" s="106"/>
    </row>
    <row r="4" spans="1:6">
      <c r="A4" s="107" t="s">
        <v>232</v>
      </c>
      <c r="B4" s="106"/>
    </row>
    <row r="5" spans="1:6">
      <c r="A5" s="107" t="s">
        <v>4</v>
      </c>
      <c r="B5" s="106"/>
    </row>
    <row r="7" spans="1:6">
      <c r="A7" s="108" t="s">
        <v>233</v>
      </c>
      <c r="C7" s="82">
        <f>B3*B4</f>
        <v>0</v>
      </c>
    </row>
    <row r="8" spans="1:6">
      <c r="A8" s="109" t="s">
        <v>234</v>
      </c>
      <c r="C8" s="82">
        <f>SQRT(B3)*B5</f>
        <v>0</v>
      </c>
    </row>
    <row r="10" spans="1:6">
      <c r="A10" s="110" t="s">
        <v>235</v>
      </c>
    </row>
    <row r="12" spans="1:6">
      <c r="A12" s="108" t="s">
        <v>236</v>
      </c>
      <c r="B12" s="111"/>
      <c r="C12" s="108" t="s">
        <v>237</v>
      </c>
      <c r="D12" s="111"/>
      <c r="E12" t="s">
        <v>238</v>
      </c>
      <c r="F12" s="111"/>
    </row>
    <row r="13" spans="1:6">
      <c r="A13" s="109" t="s">
        <v>239</v>
      </c>
      <c r="B13" s="111"/>
      <c r="C13" s="109" t="s">
        <v>240</v>
      </c>
      <c r="D13" s="111"/>
      <c r="E13" t="s">
        <v>241</v>
      </c>
      <c r="F13" s="111"/>
    </row>
    <row r="15" spans="1:6">
      <c r="A15" s="108" t="s">
        <v>242</v>
      </c>
      <c r="C15" s="82">
        <f>F12*B12+F13*D12</f>
        <v>0</v>
      </c>
    </row>
    <row r="16" spans="1:6">
      <c r="A16" s="108" t="s">
        <v>243</v>
      </c>
      <c r="C16" s="82">
        <f>SQRT(F12^2*B13^2+F13^2*D13^2)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S42"/>
  <sheetViews>
    <sheetView workbookViewId="0">
      <selection activeCell="N24" sqref="N24"/>
    </sheetView>
  </sheetViews>
  <sheetFormatPr defaultRowHeight="14.25"/>
  <cols>
    <col min="1" max="1" width="2.42578125" style="32" customWidth="1"/>
    <col min="2" max="2" width="9.140625" style="32"/>
    <col min="3" max="3" width="3.85546875" style="32" customWidth="1"/>
    <col min="4" max="4" width="9.140625" style="32"/>
    <col min="5" max="5" width="3.5703125" style="32" customWidth="1"/>
    <col min="6" max="12" width="9.140625" style="32"/>
    <col min="13" max="13" width="18.140625" style="32" customWidth="1"/>
    <col min="14" max="14" width="9.140625" style="32"/>
    <col min="15" max="15" width="4.7109375" style="32" customWidth="1"/>
    <col min="16" max="16" width="16.5703125" style="32" customWidth="1"/>
    <col min="17" max="16384" width="9.140625" style="32"/>
  </cols>
  <sheetData>
    <row r="1" spans="2:19" ht="15" thickBot="1">
      <c r="M1" s="46" t="s">
        <v>52</v>
      </c>
      <c r="N1" s="47"/>
      <c r="O1" s="48"/>
      <c r="P1" s="47"/>
      <c r="Q1" s="46"/>
      <c r="R1" s="46"/>
      <c r="S1" s="46"/>
    </row>
    <row r="2" spans="2:19" s="33" customFormat="1" ht="15.75" thickBot="1">
      <c r="B2" s="33" t="s">
        <v>21</v>
      </c>
      <c r="D2" s="34">
        <v>95</v>
      </c>
      <c r="E2" s="33" t="s">
        <v>22</v>
      </c>
      <c r="F2" s="33" t="s">
        <v>23</v>
      </c>
      <c r="M2"/>
      <c r="N2" s="1"/>
      <c r="O2" s="49"/>
      <c r="P2" s="1"/>
      <c r="Q2"/>
      <c r="R2"/>
      <c r="S2"/>
    </row>
    <row r="3" spans="2:19" ht="15.75">
      <c r="M3" t="s">
        <v>53</v>
      </c>
      <c r="N3" s="1" t="s">
        <v>54</v>
      </c>
      <c r="O3" s="49" t="s">
        <v>55</v>
      </c>
      <c r="P3" s="1" t="s">
        <v>46</v>
      </c>
      <c r="Q3" s="50">
        <v>0.5</v>
      </c>
      <c r="R3"/>
      <c r="S3"/>
    </row>
    <row r="4" spans="2:19" ht="24" customHeight="1">
      <c r="B4" s="35" t="s">
        <v>24</v>
      </c>
      <c r="D4" s="32">
        <f>1-D2/100</f>
        <v>5.0000000000000044E-2</v>
      </c>
      <c r="M4" t="s">
        <v>56</v>
      </c>
      <c r="N4" s="1" t="s">
        <v>57</v>
      </c>
      <c r="O4" s="49" t="s">
        <v>55</v>
      </c>
      <c r="P4" s="55"/>
      <c r="Q4">
        <f>Q3</f>
        <v>0.5</v>
      </c>
      <c r="R4"/>
      <c r="S4"/>
    </row>
    <row r="5" spans="2:19" ht="15">
      <c r="B5" s="35" t="s">
        <v>25</v>
      </c>
      <c r="D5" s="32">
        <f>D4/2</f>
        <v>2.5000000000000022E-2</v>
      </c>
      <c r="M5"/>
      <c r="N5" s="1"/>
      <c r="O5" s="49"/>
      <c r="P5" s="1"/>
      <c r="Q5"/>
      <c r="R5"/>
      <c r="S5"/>
    </row>
    <row r="6" spans="2:19" ht="15">
      <c r="B6" s="32" t="s">
        <v>26</v>
      </c>
      <c r="D6" s="32">
        <f>1-D5</f>
        <v>0.97499999999999998</v>
      </c>
      <c r="M6" s="46" t="s">
        <v>58</v>
      </c>
      <c r="N6" s="47"/>
      <c r="O6" s="48"/>
      <c r="P6" s="47"/>
      <c r="Q6" s="46"/>
      <c r="R6" s="46"/>
      <c r="S6" s="46"/>
    </row>
    <row r="7" spans="2:19">
      <c r="M7" s="46"/>
      <c r="N7" s="47"/>
      <c r="O7" s="48"/>
      <c r="P7" s="47"/>
      <c r="Q7" s="46"/>
      <c r="R7" s="46"/>
      <c r="S7" s="46"/>
    </row>
    <row r="8" spans="2:19" ht="18.75">
      <c r="B8" s="32" t="s">
        <v>27</v>
      </c>
      <c r="D8" s="32">
        <f>NORMINV(D6,0,1)</f>
        <v>1.959963984540054</v>
      </c>
      <c r="M8" s="1"/>
      <c r="N8" s="1" t="s">
        <v>59</v>
      </c>
      <c r="O8"/>
      <c r="P8"/>
      <c r="Q8"/>
      <c r="R8"/>
      <c r="S8"/>
    </row>
    <row r="9" spans="2:19" ht="15">
      <c r="M9" s="1" t="s">
        <v>60</v>
      </c>
      <c r="N9"/>
      <c r="O9"/>
      <c r="P9" s="1"/>
      <c r="Q9"/>
      <c r="R9"/>
      <c r="S9"/>
    </row>
    <row r="10" spans="2:19" ht="15">
      <c r="B10" s="32" t="s">
        <v>28</v>
      </c>
      <c r="D10" s="36">
        <f>79/120</f>
        <v>0.65833333333333333</v>
      </c>
      <c r="F10" s="32" t="s">
        <v>29</v>
      </c>
      <c r="M10" s="1" t="s">
        <v>16</v>
      </c>
      <c r="N10"/>
      <c r="O10"/>
      <c r="P10" s="1"/>
      <c r="Q10"/>
      <c r="R10"/>
      <c r="S10"/>
    </row>
    <row r="11" spans="2:19" ht="15">
      <c r="B11" s="32" t="s">
        <v>30</v>
      </c>
      <c r="D11" s="36">
        <v>120</v>
      </c>
      <c r="M11" s="1" t="s">
        <v>61</v>
      </c>
      <c r="N11"/>
      <c r="O11"/>
      <c r="P11" t="s">
        <v>30</v>
      </c>
      <c r="Q11"/>
      <c r="R11"/>
      <c r="S11"/>
    </row>
    <row r="12" spans="2:19" ht="15">
      <c r="M12" s="1" t="s">
        <v>62</v>
      </c>
      <c r="N12"/>
      <c r="O12"/>
      <c r="P12" s="50">
        <v>120</v>
      </c>
      <c r="Q12"/>
      <c r="R12"/>
      <c r="S12"/>
    </row>
    <row r="13" spans="2:19" ht="15">
      <c r="B13" s="32" t="s">
        <v>31</v>
      </c>
      <c r="M13" s="1"/>
      <c r="N13"/>
      <c r="O13"/>
      <c r="P13"/>
      <c r="Q13"/>
      <c r="R13"/>
      <c r="S13"/>
    </row>
    <row r="14" spans="2:19" ht="15">
      <c r="D14" s="32" t="s">
        <v>32</v>
      </c>
      <c r="F14" s="32">
        <f>$D$8*SQRT($D$10*(1-$D$10)/$D$11)</f>
        <v>8.4855831987874136E-2</v>
      </c>
      <c r="H14" s="32" t="s">
        <v>33</v>
      </c>
      <c r="M14" s="15" t="s">
        <v>63</v>
      </c>
      <c r="N14"/>
      <c r="O14"/>
      <c r="P14"/>
      <c r="Q14"/>
      <c r="R14"/>
      <c r="S14"/>
    </row>
    <row r="15" spans="2:19" ht="15">
      <c r="D15" s="32" t="s">
        <v>34</v>
      </c>
      <c r="F15" s="32">
        <f>$D$10-$D$8*SQRT($D$10*(1-$D$10)/$D$11)</f>
        <v>0.57347750134545916</v>
      </c>
      <c r="H15" s="32" t="s">
        <v>35</v>
      </c>
      <c r="M15" s="1"/>
      <c r="N15"/>
      <c r="O15"/>
      <c r="P15"/>
      <c r="Q15"/>
      <c r="R15"/>
      <c r="S15"/>
    </row>
    <row r="16" spans="2:19" ht="15.75">
      <c r="D16" s="32" t="s">
        <v>36</v>
      </c>
      <c r="F16" s="32">
        <f>$D$10+$D$8*SQRT($D$10*(1-$D$10)/D$11)</f>
        <v>0.74318916532120749</v>
      </c>
      <c r="H16" s="32" t="s">
        <v>37</v>
      </c>
      <c r="M16" s="15" t="s">
        <v>64</v>
      </c>
      <c r="N16" s="1"/>
      <c r="O16" s="49"/>
      <c r="P16" s="15" t="s">
        <v>65</v>
      </c>
      <c r="Q16"/>
      <c r="R16"/>
      <c r="S16"/>
    </row>
    <row r="17" spans="2:19" ht="15.75" thickBot="1">
      <c r="M17"/>
      <c r="N17" s="1"/>
      <c r="O17" s="49"/>
      <c r="P17" s="1"/>
      <c r="Q17"/>
      <c r="R17"/>
      <c r="S17"/>
    </row>
    <row r="18" spans="2:19" ht="15">
      <c r="B18" s="37" t="s">
        <v>38</v>
      </c>
      <c r="C18" s="38"/>
      <c r="D18" s="38">
        <f>D2</f>
        <v>95</v>
      </c>
      <c r="E18" s="38" t="s">
        <v>22</v>
      </c>
      <c r="F18" s="38" t="s">
        <v>39</v>
      </c>
      <c r="G18" s="38"/>
      <c r="H18" s="38"/>
      <c r="I18" s="38"/>
      <c r="J18" s="38"/>
      <c r="K18" s="39"/>
      <c r="M18" s="49" t="s">
        <v>66</v>
      </c>
      <c r="N18" s="1">
        <f>Q3</f>
        <v>0.5</v>
      </c>
      <c r="O18" s="49"/>
      <c r="P18" s="1"/>
      <c r="Q18"/>
      <c r="R18"/>
      <c r="S18"/>
    </row>
    <row r="19" spans="2:19" ht="15.75" thickBot="1">
      <c r="B19" s="40"/>
      <c r="C19" s="41" t="s">
        <v>40</v>
      </c>
      <c r="D19" s="42">
        <f>$D$10-$D$8*SQRT($D$10*(1-$D$10)/$D$11)</f>
        <v>0.57347750134545916</v>
      </c>
      <c r="E19" s="42" t="s">
        <v>41</v>
      </c>
      <c r="F19" s="42">
        <f>$D$10+$D$8*SQRT($D$10*(1-$D$10)/D$11)</f>
        <v>0.74318916532120749</v>
      </c>
      <c r="G19" s="42" t="s">
        <v>42</v>
      </c>
      <c r="H19" s="42"/>
      <c r="I19" s="42"/>
      <c r="J19" s="42"/>
      <c r="K19" s="43"/>
      <c r="M19" s="49" t="s">
        <v>67</v>
      </c>
      <c r="N19" s="1">
        <f>SQRT(Q3*(1-Q3)/P12)</f>
        <v>4.564354645876384E-2</v>
      </c>
      <c r="O19" s="49"/>
      <c r="P19" s="1"/>
      <c r="Q19"/>
      <c r="R19"/>
      <c r="S19"/>
    </row>
    <row r="20" spans="2:19" ht="15">
      <c r="M20"/>
      <c r="N20" s="1"/>
      <c r="O20" s="49"/>
      <c r="P20" s="1"/>
      <c r="Q20"/>
      <c r="R20"/>
      <c r="S20"/>
    </row>
    <row r="21" spans="2:19" ht="15">
      <c r="B21" s="33" t="s">
        <v>43</v>
      </c>
      <c r="M21" s="46" t="s">
        <v>68</v>
      </c>
      <c r="N21" s="47"/>
      <c r="O21" s="48"/>
      <c r="P21" s="47"/>
      <c r="Q21" s="46"/>
      <c r="R21" s="46"/>
      <c r="S21" s="46"/>
    </row>
    <row r="22" spans="2:19" ht="15">
      <c r="M22"/>
      <c r="N22" s="1"/>
      <c r="O22" s="49"/>
      <c r="P22" s="1"/>
      <c r="Q22"/>
      <c r="R22"/>
      <c r="S22"/>
    </row>
    <row r="23" spans="2:19" ht="15">
      <c r="B23" s="32" t="s">
        <v>44</v>
      </c>
      <c r="F23" s="36">
        <v>1.2E-2</v>
      </c>
      <c r="M23" t="s">
        <v>69</v>
      </c>
      <c r="N23" s="50">
        <v>0.25</v>
      </c>
      <c r="O23" s="49"/>
      <c r="P23" s="15" t="s">
        <v>70</v>
      </c>
      <c r="Q23"/>
      <c r="R23"/>
      <c r="S23"/>
    </row>
    <row r="24" spans="2:19" ht="15">
      <c r="B24" s="32" t="s">
        <v>45</v>
      </c>
      <c r="F24" s="36">
        <v>90</v>
      </c>
      <c r="G24" s="32" t="s">
        <v>22</v>
      </c>
      <c r="M24"/>
      <c r="N24" s="1"/>
      <c r="O24" s="49"/>
      <c r="P24" s="1"/>
      <c r="Q24"/>
      <c r="R24"/>
      <c r="S24"/>
    </row>
    <row r="25" spans="2:19" ht="15">
      <c r="M25" t="s">
        <v>71</v>
      </c>
      <c r="N25" s="1"/>
      <c r="O25" s="49"/>
      <c r="P25" s="1"/>
      <c r="Q25"/>
      <c r="R25"/>
      <c r="S25"/>
    </row>
    <row r="26" spans="2:19" ht="18.75">
      <c r="B26" s="32" t="s">
        <v>27</v>
      </c>
      <c r="C26" s="32" t="s">
        <v>46</v>
      </c>
      <c r="D26" s="32">
        <f>NORMINV(1-(1-F24/100)/2,0,1)</f>
        <v>1.6448536269514724</v>
      </c>
      <c r="G26" s="32" t="s">
        <v>47</v>
      </c>
      <c r="M26" t="s">
        <v>72</v>
      </c>
      <c r="N26" s="52">
        <f>(N23-Q3)/(N19)</f>
        <v>-5.4772255750516612</v>
      </c>
      <c r="O26" s="49"/>
      <c r="P26" s="1"/>
      <c r="Q26"/>
      <c r="R26"/>
      <c r="S26"/>
    </row>
    <row r="27" spans="2:19" ht="15">
      <c r="B27" s="32" t="s">
        <v>48</v>
      </c>
      <c r="D27" s="36">
        <v>0.1</v>
      </c>
      <c r="G27" s="32" t="s">
        <v>51</v>
      </c>
      <c r="M27"/>
      <c r="N27" s="1"/>
      <c r="O27" s="49"/>
      <c r="P27" s="1"/>
      <c r="Q27"/>
      <c r="R27"/>
      <c r="S27"/>
    </row>
    <row r="28" spans="2:19" ht="15.75">
      <c r="M28" t="s">
        <v>73</v>
      </c>
      <c r="N28" s="1"/>
      <c r="O28" s="49"/>
      <c r="P28" s="1"/>
      <c r="Q28"/>
      <c r="R28"/>
      <c r="S28"/>
    </row>
    <row r="29" spans="2:19" ht="18.75">
      <c r="B29" s="44" t="s">
        <v>49</v>
      </c>
      <c r="C29" s="127">
        <f>(D26/F23)^2*(D27*(1-D27))</f>
        <v>1690.9646588096339</v>
      </c>
      <c r="D29" s="127"/>
      <c r="F29" s="45" t="s">
        <v>50</v>
      </c>
      <c r="G29" s="128">
        <f>(D26/F23)^2*0.5^2</f>
        <v>4697.1240522489825</v>
      </c>
      <c r="H29" s="128"/>
      <c r="M29"/>
      <c r="N29" s="53" t="s">
        <v>74</v>
      </c>
      <c r="O29" s="49"/>
      <c r="P29" s="1"/>
      <c r="Q29"/>
      <c r="R29"/>
      <c r="S29"/>
    </row>
    <row r="30" spans="2:19" ht="15">
      <c r="M30"/>
      <c r="N30" s="53">
        <f>IF(Sheet3!A4=1,NORMDIST(N26,0,1,1),IF(Sheet3!A4=2,1-NORMDIST(N26,0,1,1), IF(N23&gt;Q3, 2*(1-NORMDIST(N26,0,1,1)),2*NORMDIST(N26,0,1,1))))</f>
        <v>2.1602315289110915E-8</v>
      </c>
      <c r="O30" s="49"/>
      <c r="P30" s="1"/>
      <c r="Q30"/>
      <c r="R30"/>
      <c r="S30"/>
    </row>
    <row r="31" spans="2:19" ht="15">
      <c r="B31" s="33" t="s">
        <v>244</v>
      </c>
      <c r="C31" s="112"/>
      <c r="D31" s="112"/>
      <c r="E31" s="112"/>
      <c r="F31" s="112"/>
      <c r="G31" s="112"/>
      <c r="H31" s="112"/>
      <c r="M31"/>
      <c r="N31" s="1"/>
      <c r="O31" s="49"/>
      <c r="P31" s="1"/>
      <c r="Q31"/>
      <c r="R31"/>
      <c r="S31"/>
    </row>
    <row r="32" spans="2:19">
      <c r="B32" s="112"/>
      <c r="C32" s="112"/>
      <c r="D32" s="112"/>
      <c r="E32" s="112"/>
      <c r="F32" s="112"/>
      <c r="G32" s="112"/>
      <c r="H32" s="112"/>
      <c r="M32" s="46" t="s">
        <v>75</v>
      </c>
      <c r="N32" s="47"/>
      <c r="O32" s="48"/>
      <c r="P32" s="47"/>
      <c r="Q32" s="46"/>
      <c r="R32" s="46"/>
      <c r="S32" s="46"/>
    </row>
    <row r="33" spans="2:19" ht="15">
      <c r="B33" s="32" t="s">
        <v>245</v>
      </c>
      <c r="C33" s="112"/>
      <c r="D33" s="113">
        <v>0.03</v>
      </c>
      <c r="E33" s="112"/>
      <c r="F33" s="112"/>
      <c r="G33" s="112"/>
      <c r="H33" s="112"/>
      <c r="M33"/>
      <c r="N33" s="1"/>
      <c r="O33" s="49"/>
      <c r="P33" s="1"/>
      <c r="Q33"/>
      <c r="R33"/>
      <c r="S33"/>
    </row>
    <row r="34" spans="2:19" ht="15">
      <c r="B34" s="32" t="s">
        <v>246</v>
      </c>
      <c r="C34" s="112"/>
      <c r="D34" s="113">
        <v>1507</v>
      </c>
      <c r="E34" s="112"/>
      <c r="F34" s="112"/>
      <c r="G34" s="112"/>
      <c r="H34" s="112"/>
      <c r="M34" t="s">
        <v>76</v>
      </c>
      <c r="N34" s="15" t="s">
        <v>77</v>
      </c>
      <c r="O34" s="49"/>
      <c r="P34" s="1"/>
      <c r="Q34" s="50">
        <v>0.1</v>
      </c>
      <c r="R34"/>
      <c r="S34"/>
    </row>
    <row r="35" spans="2:19" ht="15">
      <c r="B35" s="32" t="s">
        <v>247</v>
      </c>
      <c r="C35" s="112"/>
      <c r="D35" s="113">
        <v>0.49</v>
      </c>
      <c r="E35" s="112"/>
      <c r="F35" s="112"/>
      <c r="G35" s="112"/>
      <c r="H35" s="112"/>
      <c r="M35"/>
      <c r="N35" s="1"/>
      <c r="O35" s="49"/>
      <c r="P35" s="1"/>
      <c r="Q35"/>
      <c r="R35"/>
      <c r="S35"/>
    </row>
    <row r="36" spans="2:19" ht="15.75">
      <c r="B36" s="112"/>
      <c r="C36" s="112"/>
      <c r="D36" s="112"/>
      <c r="E36" s="112"/>
      <c r="F36" s="112"/>
      <c r="G36" s="112"/>
      <c r="H36" s="112"/>
      <c r="M36"/>
      <c r="N36" s="1"/>
      <c r="O36" s="49"/>
      <c r="P36" s="52" t="str">
        <f>IF(N30&lt;Q34,"Reject","Fail to reject")</f>
        <v>Reject</v>
      </c>
      <c r="Q36" s="52" t="s">
        <v>78</v>
      </c>
      <c r="R36"/>
      <c r="S36"/>
    </row>
    <row r="37" spans="2:19" ht="18.75">
      <c r="B37" s="112" t="s">
        <v>27</v>
      </c>
      <c r="C37" s="32" t="s">
        <v>46</v>
      </c>
      <c r="D37" s="114">
        <f>D33*SQRT(D34/(D35*(1-D35)))</f>
        <v>2.3296718542274037</v>
      </c>
      <c r="E37" s="112"/>
      <c r="F37" s="32" t="s">
        <v>248</v>
      </c>
      <c r="G37" s="112"/>
      <c r="H37" s="112"/>
      <c r="M37"/>
      <c r="N37" s="1"/>
      <c r="O37" s="49"/>
      <c r="P37" s="1"/>
      <c r="Q37"/>
      <c r="R37"/>
      <c r="S37"/>
    </row>
    <row r="38" spans="2:19" ht="15">
      <c r="B38" s="112"/>
      <c r="C38" s="112"/>
      <c r="D38" s="112"/>
      <c r="E38" s="112"/>
      <c r="F38" s="112"/>
      <c r="G38" s="112"/>
      <c r="H38" s="112"/>
      <c r="M38" t="s">
        <v>79</v>
      </c>
      <c r="N38" s="1" t="s">
        <v>80</v>
      </c>
      <c r="O38" s="49"/>
      <c r="P38" s="1"/>
      <c r="Q38"/>
      <c r="R38"/>
      <c r="S38"/>
    </row>
    <row r="39" spans="2:19" ht="18.75">
      <c r="B39" s="32" t="s">
        <v>249</v>
      </c>
      <c r="C39" s="112" t="s">
        <v>27</v>
      </c>
      <c r="D39" s="115">
        <f>NORMDIST(D37,0,1,1)</f>
        <v>0.99008824938552786</v>
      </c>
      <c r="E39" s="112"/>
      <c r="F39" s="116" t="s">
        <v>26</v>
      </c>
      <c r="G39" s="112"/>
      <c r="H39" s="112"/>
      <c r="M39"/>
      <c r="N39" s="52" t="str">
        <f>IF(N30&lt;Q34,"is","is not")</f>
        <v>is</v>
      </c>
      <c r="O39" s="49"/>
      <c r="P39" s="52" t="str">
        <f>IF(AND(N30&lt;Q34,N30&lt;0.01),"strong",IF(AND(N30&lt;Q34,N30&lt;0.1,N30&gt;0.05),"weak",""))</f>
        <v>strong</v>
      </c>
      <c r="Q39"/>
      <c r="R39"/>
      <c r="S39"/>
    </row>
    <row r="40" spans="2:19" ht="15">
      <c r="B40" s="32" t="s">
        <v>250</v>
      </c>
      <c r="C40" s="112"/>
      <c r="D40" s="112">
        <f>1-D39</f>
        <v>9.9117506144721368E-3</v>
      </c>
      <c r="E40" s="112"/>
      <c r="F40" s="112"/>
      <c r="G40" s="112"/>
      <c r="H40" s="112"/>
      <c r="M40"/>
      <c r="N40" s="15" t="s">
        <v>81</v>
      </c>
      <c r="O40" s="49"/>
      <c r="P40" s="1"/>
      <c r="Q40"/>
      <c r="R40"/>
      <c r="S40"/>
    </row>
    <row r="41" spans="2:19" ht="15">
      <c r="B41" s="35" t="s">
        <v>251</v>
      </c>
      <c r="C41" s="112"/>
      <c r="D41" s="112">
        <f>2*D40</f>
        <v>1.9823501228944274E-2</v>
      </c>
      <c r="E41" s="112"/>
      <c r="F41" s="112"/>
      <c r="G41" s="112"/>
      <c r="H41" s="112"/>
      <c r="M41"/>
      <c r="N41" s="1"/>
      <c r="O41" s="49"/>
      <c r="P41" s="1"/>
      <c r="Q41"/>
      <c r="R41"/>
      <c r="S41"/>
    </row>
    <row r="42" spans="2:19" ht="15">
      <c r="B42" s="32" t="s">
        <v>252</v>
      </c>
      <c r="C42" s="112"/>
      <c r="D42" s="117">
        <f>1-(1-D39)*2</f>
        <v>0.98017649877105573</v>
      </c>
      <c r="E42" s="112"/>
      <c r="F42" s="118" t="s">
        <v>253</v>
      </c>
      <c r="G42" s="117">
        <f>D42*100</f>
        <v>98.017649877105569</v>
      </c>
      <c r="H42" s="118" t="s">
        <v>254</v>
      </c>
      <c r="M42" t="s">
        <v>82</v>
      </c>
      <c r="N42" s="1"/>
      <c r="O42" s="49"/>
      <c r="P42" s="1"/>
      <c r="Q42"/>
      <c r="R42"/>
      <c r="S42"/>
    </row>
  </sheetData>
  <mergeCells count="2">
    <mergeCell ref="C29:D29"/>
    <mergeCell ref="G29:H29"/>
  </mergeCells>
  <conditionalFormatting sqref="D10">
    <cfRule type="expression" dxfId="6" priority="4" stopIfTrue="1">
      <formula>OR($D$10&lt;=0,$D$10&gt;=1)</formula>
    </cfRule>
  </conditionalFormatting>
  <conditionalFormatting sqref="Q3">
    <cfRule type="expression" dxfId="5" priority="3" stopIfTrue="1">
      <formula>OR($Q$3&lt;=0,$Q$3&gt;=1)</formula>
    </cfRule>
  </conditionalFormatting>
  <conditionalFormatting sqref="N23">
    <cfRule type="expression" dxfId="4" priority="2" stopIfTrue="1">
      <formula>OR($Q$3&lt;=0,$Q$3&gt;=1)</formula>
    </cfRule>
    <cfRule type="expression" dxfId="3" priority="1" stopIfTrue="1">
      <formula>OR($N$23&lt;=0,$N$23&gt;=1)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N11" sqref="N11"/>
    </sheetView>
  </sheetViews>
  <sheetFormatPr defaultRowHeight="15"/>
  <cols>
    <col min="1" max="1" width="4.42578125" customWidth="1"/>
    <col min="2" max="2" width="12.28515625" customWidth="1"/>
    <col min="3" max="3" width="1.7109375" bestFit="1" customWidth="1"/>
    <col min="4" max="4" width="13.7109375" bestFit="1" customWidth="1"/>
    <col min="5" max="5" width="2.85546875" bestFit="1" customWidth="1"/>
    <col min="6" max="6" width="12" customWidth="1"/>
    <col min="7" max="7" width="2.28515625" bestFit="1" customWidth="1"/>
    <col min="8" max="8" width="27.140625" customWidth="1"/>
    <col min="9" max="9" width="17.85546875" customWidth="1"/>
    <col min="10" max="10" width="10.7109375" customWidth="1"/>
    <col min="11" max="11" width="20.5703125" customWidth="1"/>
    <col min="12" max="12" width="12.28515625" customWidth="1"/>
    <col min="13" max="13" width="7.5703125" style="1" customWidth="1"/>
    <col min="14" max="14" width="16.42578125" customWidth="1"/>
    <col min="15" max="15" width="7" customWidth="1"/>
    <col min="16" max="16" width="14.85546875" customWidth="1"/>
    <col min="17" max="17" width="2.28515625" customWidth="1"/>
    <col min="18" max="18" width="17.42578125" bestFit="1" customWidth="1"/>
  </cols>
  <sheetData>
    <row r="1" spans="1:18" ht="15.75" thickBot="1">
      <c r="A1" s="32"/>
      <c r="B1" s="32"/>
      <c r="C1" s="32"/>
      <c r="D1" s="32"/>
      <c r="E1" s="32"/>
      <c r="F1" s="32"/>
      <c r="G1" s="32"/>
      <c r="H1" s="32"/>
      <c r="I1" s="32"/>
      <c r="J1" s="32"/>
      <c r="K1" s="46" t="s">
        <v>52</v>
      </c>
      <c r="L1" s="47"/>
      <c r="M1" s="47"/>
      <c r="N1" s="47"/>
      <c r="O1" s="46"/>
      <c r="P1" s="46"/>
      <c r="Q1" s="46"/>
      <c r="R1" s="32"/>
    </row>
    <row r="2" spans="1:18" ht="17.25" thickBot="1">
      <c r="A2" s="33"/>
      <c r="B2" s="33" t="s">
        <v>21</v>
      </c>
      <c r="C2" s="33"/>
      <c r="D2" s="34">
        <v>95</v>
      </c>
      <c r="E2" s="33" t="s">
        <v>22</v>
      </c>
      <c r="F2" s="33" t="s">
        <v>86</v>
      </c>
      <c r="G2" s="33"/>
      <c r="H2" s="33"/>
      <c r="I2" s="33"/>
      <c r="J2" s="33"/>
      <c r="L2" s="1"/>
      <c r="N2" s="1"/>
      <c r="R2" s="33"/>
    </row>
    <row r="3" spans="1:18" ht="15.75">
      <c r="A3" s="32"/>
      <c r="B3" s="32"/>
      <c r="C3" s="32"/>
      <c r="D3" s="32"/>
      <c r="E3" s="32"/>
      <c r="F3" s="32"/>
      <c r="G3" s="32"/>
      <c r="H3" s="32"/>
      <c r="I3" s="32"/>
      <c r="J3" s="32"/>
      <c r="K3" t="s">
        <v>53</v>
      </c>
      <c r="L3" s="1" t="s">
        <v>54</v>
      </c>
      <c r="M3" s="1" t="s">
        <v>87</v>
      </c>
      <c r="N3" s="1" t="s">
        <v>46</v>
      </c>
      <c r="O3" s="54">
        <v>0</v>
      </c>
      <c r="R3" s="32"/>
    </row>
    <row r="4" spans="1:18" ht="24.75" customHeight="1">
      <c r="A4" s="32"/>
      <c r="B4" s="35" t="s">
        <v>24</v>
      </c>
      <c r="C4" s="32"/>
      <c r="D4" s="32">
        <f>1-D2/100</f>
        <v>5.0000000000000044E-2</v>
      </c>
      <c r="E4" s="32"/>
      <c r="F4" s="32"/>
      <c r="G4" s="32"/>
      <c r="H4" s="32"/>
      <c r="I4" s="32"/>
      <c r="J4" s="32"/>
      <c r="K4" t="s">
        <v>56</v>
      </c>
      <c r="L4" s="1" t="s">
        <v>57</v>
      </c>
      <c r="M4" s="1" t="s">
        <v>87</v>
      </c>
      <c r="N4" s="55"/>
      <c r="O4">
        <f>O3</f>
        <v>0</v>
      </c>
      <c r="R4" s="32"/>
    </row>
    <row r="5" spans="1:18">
      <c r="A5" s="32"/>
      <c r="B5" s="35" t="s">
        <v>25</v>
      </c>
      <c r="C5" s="32"/>
      <c r="D5" s="32">
        <f>D4/2</f>
        <v>2.5000000000000022E-2</v>
      </c>
      <c r="E5" s="32"/>
      <c r="F5" s="32"/>
      <c r="G5" s="32"/>
      <c r="H5" s="32"/>
      <c r="I5" s="32"/>
      <c r="J5" s="32"/>
      <c r="L5" s="1"/>
      <c r="N5" s="1"/>
      <c r="R5" s="32"/>
    </row>
    <row r="6" spans="1:18">
      <c r="A6" s="32"/>
      <c r="B6" s="32" t="s">
        <v>26</v>
      </c>
      <c r="C6" s="32"/>
      <c r="D6" s="32">
        <f>1-D5</f>
        <v>0.97499999999999998</v>
      </c>
      <c r="E6" s="32"/>
      <c r="F6" s="32"/>
      <c r="G6" s="32"/>
      <c r="H6" s="32"/>
      <c r="I6" s="32"/>
      <c r="J6" s="32"/>
      <c r="K6" s="46" t="s">
        <v>58</v>
      </c>
      <c r="L6" s="47"/>
      <c r="M6" s="47"/>
      <c r="N6" s="47"/>
      <c r="O6" s="46"/>
      <c r="P6" s="46"/>
      <c r="Q6" s="46"/>
      <c r="R6" s="32"/>
    </row>
    <row r="7" spans="1:18">
      <c r="A7" s="32"/>
      <c r="B7" s="32"/>
      <c r="C7" s="32"/>
      <c r="D7" s="32"/>
      <c r="E7" s="32"/>
      <c r="F7" s="32"/>
      <c r="G7" s="32"/>
      <c r="H7" s="32"/>
      <c r="I7" s="32"/>
      <c r="J7" s="32"/>
      <c r="K7" s="46"/>
      <c r="L7" s="47"/>
      <c r="M7" s="47"/>
      <c r="N7" s="47"/>
      <c r="O7" s="46"/>
      <c r="P7" s="46"/>
      <c r="Q7" s="46"/>
      <c r="R7" s="32"/>
    </row>
    <row r="8" spans="1:18" ht="18.75">
      <c r="A8" s="32"/>
      <c r="B8" s="32" t="s">
        <v>27</v>
      </c>
      <c r="C8" s="32"/>
      <c r="D8" s="32">
        <f>NORMINV(D6,0,1)</f>
        <v>1.959963984540054</v>
      </c>
      <c r="E8" s="32"/>
      <c r="F8" s="32"/>
      <c r="G8" s="32"/>
      <c r="H8" s="32"/>
      <c r="I8" s="32"/>
      <c r="J8" s="32"/>
      <c r="K8" s="1"/>
      <c r="L8" s="1" t="s">
        <v>59</v>
      </c>
      <c r="R8" s="32"/>
    </row>
    <row r="9" spans="1:18">
      <c r="A9" s="32"/>
      <c r="B9" s="32"/>
      <c r="C9" s="32"/>
      <c r="D9" s="32"/>
      <c r="E9" s="32"/>
      <c r="F9" s="32"/>
      <c r="G9" s="32"/>
      <c r="H9" s="32"/>
      <c r="I9" s="32"/>
      <c r="J9" s="32"/>
      <c r="K9" s="1" t="s">
        <v>60</v>
      </c>
      <c r="L9" s="1"/>
      <c r="R9" s="32"/>
    </row>
    <row r="10" spans="1:18" ht="18.75">
      <c r="A10" s="32"/>
      <c r="B10" s="32" t="s">
        <v>88</v>
      </c>
      <c r="C10" s="32"/>
      <c r="D10" s="36">
        <v>0.25</v>
      </c>
      <c r="E10" s="32"/>
      <c r="F10" s="32" t="s">
        <v>89</v>
      </c>
      <c r="G10" s="32"/>
      <c r="H10" s="36">
        <v>0.25</v>
      </c>
      <c r="I10" s="32"/>
      <c r="J10" s="32"/>
      <c r="K10" s="1" t="s">
        <v>16</v>
      </c>
      <c r="N10" s="15" t="s">
        <v>90</v>
      </c>
      <c r="O10" s="15"/>
      <c r="P10" s="15" t="s">
        <v>91</v>
      </c>
      <c r="R10" s="32" t="s">
        <v>92</v>
      </c>
    </row>
    <row r="11" spans="1:18" ht="18.75">
      <c r="A11" s="32"/>
      <c r="B11" s="32" t="s">
        <v>93</v>
      </c>
      <c r="C11" s="32"/>
      <c r="D11" s="36">
        <v>69</v>
      </c>
      <c r="E11" s="32"/>
      <c r="F11" s="32" t="s">
        <v>94</v>
      </c>
      <c r="G11" s="32"/>
      <c r="H11" s="36">
        <v>81</v>
      </c>
      <c r="I11" s="32"/>
      <c r="J11" s="32"/>
      <c r="K11" s="1" t="s">
        <v>61</v>
      </c>
      <c r="N11" s="56">
        <v>3</v>
      </c>
      <c r="P11" s="50">
        <v>7</v>
      </c>
      <c r="R11" s="32" t="s">
        <v>95</v>
      </c>
    </row>
    <row r="12" spans="1:18" ht="18.7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1" t="s">
        <v>62</v>
      </c>
      <c r="N12" s="32" t="s">
        <v>93</v>
      </c>
      <c r="P12" s="32" t="s">
        <v>94</v>
      </c>
      <c r="R12" s="32"/>
    </row>
    <row r="13" spans="1:18">
      <c r="A13" s="32"/>
      <c r="B13" s="32" t="s">
        <v>31</v>
      </c>
      <c r="C13" s="32"/>
      <c r="D13" s="32"/>
      <c r="E13" s="32"/>
      <c r="F13" s="32"/>
      <c r="G13" s="32"/>
      <c r="H13" s="32"/>
      <c r="I13" s="32"/>
      <c r="J13" s="32"/>
      <c r="K13" s="1" t="s">
        <v>96</v>
      </c>
      <c r="N13" s="50">
        <v>50</v>
      </c>
      <c r="P13" s="50">
        <v>50</v>
      </c>
      <c r="R13" s="32"/>
    </row>
    <row r="14" spans="1:18">
      <c r="A14" s="32"/>
      <c r="B14" s="32"/>
      <c r="C14" s="32"/>
      <c r="D14" s="32" t="s">
        <v>97</v>
      </c>
      <c r="E14" s="32"/>
      <c r="F14" s="32">
        <f>SQRT($D$10*(1-$D$10)/$D$11 + $H$10*(1-$H$10)/$H$11)</f>
        <v>7.0938044229895719E-2</v>
      </c>
      <c r="G14" s="32"/>
      <c r="H14" s="32"/>
      <c r="I14" s="32"/>
      <c r="J14" s="32"/>
      <c r="K14" s="1"/>
      <c r="R14" s="32"/>
    </row>
    <row r="15" spans="1:18">
      <c r="A15" s="32"/>
      <c r="B15" s="32"/>
      <c r="C15" s="32"/>
      <c r="D15" s="32" t="s">
        <v>32</v>
      </c>
      <c r="E15" s="32"/>
      <c r="F15" s="32">
        <f>$D$8*SQRT($D$10*(1-$D$10)/$D$11 + $H$10*(1-$H$10)/$H$11)</f>
        <v>0.139036011824305</v>
      </c>
      <c r="G15" s="32"/>
      <c r="H15" s="57" t="s">
        <v>98</v>
      </c>
      <c r="I15" s="32"/>
      <c r="J15" s="32"/>
      <c r="K15" s="1"/>
      <c r="N15" t="s">
        <v>99</v>
      </c>
      <c r="P15" s="53">
        <f>(N11+P11)/(N13+P13)</f>
        <v>0.1</v>
      </c>
      <c r="R15" s="32"/>
    </row>
    <row r="16" spans="1:18">
      <c r="A16" s="32"/>
      <c r="B16" s="32"/>
      <c r="C16" s="32"/>
      <c r="D16" s="32" t="s">
        <v>34</v>
      </c>
      <c r="E16" s="32"/>
      <c r="F16" s="32">
        <f>($D$10-$H$10)-$D$8*SQRT($D$10*(1-$D$10)/$D$11 + $H$10*(1-$H$10)/$H$11)</f>
        <v>-0.139036011824305</v>
      </c>
      <c r="G16" s="32"/>
      <c r="H16" s="57" t="s">
        <v>100</v>
      </c>
      <c r="I16" s="32"/>
      <c r="J16" s="32"/>
      <c r="K16" s="1"/>
      <c r="R16" s="32"/>
    </row>
    <row r="17" spans="1:18">
      <c r="A17" s="32"/>
      <c r="B17" s="32"/>
      <c r="C17" s="32"/>
      <c r="D17" s="32" t="s">
        <v>36</v>
      </c>
      <c r="E17" s="32"/>
      <c r="F17" s="32">
        <f>($D$10-$H$10)+$D$8*SQRT($D$10*(1-$D$10)/$D$11 + $H$10*(1-$H$10)/$H$11)</f>
        <v>0.139036011824305</v>
      </c>
      <c r="G17" s="32"/>
      <c r="H17" s="57" t="s">
        <v>101</v>
      </c>
      <c r="I17" s="32"/>
      <c r="J17" s="32"/>
      <c r="K17" s="15" t="s">
        <v>102</v>
      </c>
      <c r="R17" s="32"/>
    </row>
    <row r="18" spans="1:18" ht="15.75" thickBo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1"/>
      <c r="R18" s="32"/>
    </row>
    <row r="19" spans="1:18" ht="15.75">
      <c r="A19" s="32"/>
      <c r="B19" s="37" t="s">
        <v>38</v>
      </c>
      <c r="C19" s="38"/>
      <c r="D19" s="38">
        <f>D2</f>
        <v>95</v>
      </c>
      <c r="E19" s="38" t="s">
        <v>22</v>
      </c>
      <c r="F19" s="38" t="s">
        <v>103</v>
      </c>
      <c r="G19" s="38"/>
      <c r="H19" s="38"/>
      <c r="I19" s="39"/>
      <c r="J19" s="32"/>
      <c r="K19" s="58" t="s">
        <v>104</v>
      </c>
      <c r="L19" s="1"/>
      <c r="N19" s="1"/>
      <c r="P19" s="15" t="s">
        <v>65</v>
      </c>
      <c r="R19" s="32"/>
    </row>
    <row r="20" spans="1:18" ht="15.75" thickBot="1">
      <c r="A20" s="32"/>
      <c r="B20" s="40"/>
      <c r="C20" s="41" t="s">
        <v>40</v>
      </c>
      <c r="D20" s="42">
        <f>F16</f>
        <v>-0.139036011824305</v>
      </c>
      <c r="E20" s="42" t="s">
        <v>41</v>
      </c>
      <c r="F20" s="42">
        <f>F17</f>
        <v>0.139036011824305</v>
      </c>
      <c r="G20" s="42" t="s">
        <v>42</v>
      </c>
      <c r="H20" s="42"/>
      <c r="I20" s="43"/>
      <c r="J20" s="32"/>
      <c r="L20" s="1"/>
      <c r="N20" s="1"/>
      <c r="R20" s="32"/>
    </row>
    <row r="21" spans="1:18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49" t="s">
        <v>105</v>
      </c>
      <c r="L21" s="52">
        <f>O3</f>
        <v>0</v>
      </c>
      <c r="N21" s="1"/>
      <c r="R21" s="32"/>
    </row>
    <row r="22" spans="1:18">
      <c r="A22" s="59"/>
      <c r="B22" s="60"/>
      <c r="C22" s="59"/>
      <c r="D22" s="59"/>
      <c r="E22" s="59"/>
      <c r="F22" s="59"/>
      <c r="G22" s="59"/>
      <c r="H22" s="59"/>
      <c r="I22" s="32"/>
      <c r="J22" s="32"/>
      <c r="K22" s="49" t="s">
        <v>106</v>
      </c>
      <c r="L22" s="52">
        <f>SQRT(P15*(1-P15)/N13 +P15*(1-P15)/P13)</f>
        <v>6.0000000000000005E-2</v>
      </c>
      <c r="N22" s="1"/>
      <c r="R22" s="32"/>
    </row>
    <row r="23" spans="1:18">
      <c r="A23" s="59"/>
      <c r="B23" s="59"/>
      <c r="C23" s="59"/>
      <c r="D23" s="59"/>
      <c r="E23" s="59"/>
      <c r="F23" s="59"/>
      <c r="G23" s="59"/>
      <c r="H23" s="59"/>
      <c r="I23" s="32"/>
      <c r="J23" s="32"/>
      <c r="L23" s="1"/>
      <c r="N23" s="1"/>
      <c r="R23" s="32"/>
    </row>
    <row r="24" spans="1:18">
      <c r="A24" s="59"/>
      <c r="B24" s="59"/>
      <c r="C24" s="59"/>
      <c r="D24" s="59"/>
      <c r="E24" s="59"/>
      <c r="F24" s="59"/>
      <c r="G24" s="59"/>
      <c r="H24" s="59"/>
      <c r="I24" s="32"/>
      <c r="J24" s="32"/>
      <c r="K24" s="46" t="s">
        <v>68</v>
      </c>
      <c r="L24" s="47"/>
      <c r="M24" s="47"/>
      <c r="N24" s="47"/>
      <c r="O24" s="46"/>
      <c r="P24" s="46"/>
      <c r="Q24" s="46"/>
      <c r="R24" s="32"/>
    </row>
    <row r="25" spans="1:18">
      <c r="A25" s="59"/>
      <c r="B25" s="59"/>
      <c r="C25" s="59"/>
      <c r="D25" s="59"/>
      <c r="E25" s="59"/>
      <c r="F25" s="59"/>
      <c r="G25" s="59"/>
      <c r="H25" s="59"/>
      <c r="I25" s="32"/>
      <c r="J25" s="32"/>
      <c r="L25" s="1"/>
      <c r="N25" s="1"/>
      <c r="R25" s="32"/>
    </row>
    <row r="26" spans="1:18">
      <c r="A26" s="59"/>
      <c r="B26" s="59"/>
      <c r="C26" s="59"/>
      <c r="D26" s="59"/>
      <c r="E26" s="59"/>
      <c r="F26" s="59"/>
      <c r="G26" s="59"/>
      <c r="H26" s="59"/>
      <c r="I26" s="32"/>
      <c r="J26" s="32"/>
      <c r="K26" t="s">
        <v>107</v>
      </c>
      <c r="L26" s="52">
        <f>N11/N13</f>
        <v>0.06</v>
      </c>
      <c r="N26" s="15"/>
      <c r="R26" s="32"/>
    </row>
    <row r="27" spans="1:18">
      <c r="A27" s="59"/>
      <c r="B27" s="59"/>
      <c r="C27" s="59"/>
      <c r="D27" s="59"/>
      <c r="E27" s="59"/>
      <c r="F27" s="59"/>
      <c r="G27" s="59"/>
      <c r="H27" s="59"/>
      <c r="I27" s="32"/>
      <c r="J27" s="32"/>
      <c r="K27" t="s">
        <v>108</v>
      </c>
      <c r="L27" s="52">
        <f>P11/P13</f>
        <v>0.14000000000000001</v>
      </c>
      <c r="N27" s="15"/>
      <c r="R27" s="32"/>
    </row>
    <row r="28" spans="1:18">
      <c r="A28" s="59"/>
      <c r="B28" s="61"/>
      <c r="C28" s="59"/>
      <c r="D28" s="59"/>
      <c r="E28" s="59"/>
      <c r="F28" s="59"/>
      <c r="G28" s="59"/>
      <c r="H28" s="59"/>
      <c r="I28" s="32"/>
      <c r="J28" s="32"/>
      <c r="L28" s="1"/>
      <c r="N28" s="1"/>
      <c r="R28" s="32"/>
    </row>
    <row r="29" spans="1:18">
      <c r="A29" s="59"/>
      <c r="B29" s="59"/>
      <c r="C29" s="59"/>
      <c r="D29" s="59"/>
      <c r="E29" s="59"/>
      <c r="F29" s="59"/>
      <c r="G29" s="59"/>
      <c r="H29" s="59"/>
      <c r="I29" s="32"/>
      <c r="J29" s="32"/>
      <c r="K29" t="s">
        <v>109</v>
      </c>
      <c r="L29" s="1"/>
      <c r="N29" s="1"/>
      <c r="R29" s="32"/>
    </row>
    <row r="30" spans="1:18">
      <c r="A30" s="59"/>
      <c r="B30" s="59"/>
      <c r="C30" s="129"/>
      <c r="D30" s="129"/>
      <c r="E30" s="59"/>
      <c r="F30" s="59"/>
      <c r="G30" s="129"/>
      <c r="H30" s="129"/>
      <c r="I30" s="32"/>
      <c r="J30" s="32"/>
      <c r="K30" t="s">
        <v>72</v>
      </c>
      <c r="L30" s="52">
        <f>(L26-L27)/L22</f>
        <v>-1.3333333333333335</v>
      </c>
      <c r="N30" s="1"/>
      <c r="R30" s="32"/>
    </row>
    <row r="31" spans="1:18">
      <c r="A31" s="59"/>
      <c r="B31" s="59"/>
      <c r="C31" s="59"/>
      <c r="D31" s="59"/>
      <c r="E31" s="59"/>
      <c r="F31" s="59"/>
      <c r="G31" s="59"/>
      <c r="H31" s="59"/>
      <c r="I31" s="32"/>
      <c r="J31" s="32"/>
      <c r="L31" s="1"/>
      <c r="N31" s="1"/>
      <c r="R31" s="32"/>
    </row>
    <row r="32" spans="1:18" ht="15.75">
      <c r="A32" s="59"/>
      <c r="B32" s="59"/>
      <c r="C32" s="59"/>
      <c r="D32" s="59"/>
      <c r="E32" s="59"/>
      <c r="F32" s="59"/>
      <c r="G32" s="59"/>
      <c r="H32" s="59"/>
      <c r="I32" s="32"/>
      <c r="J32" s="32"/>
      <c r="K32" t="s">
        <v>73</v>
      </c>
      <c r="L32" s="1"/>
      <c r="N32" s="1"/>
      <c r="R32" s="32"/>
    </row>
    <row r="33" spans="1:18">
      <c r="A33" s="32"/>
      <c r="B33" s="32"/>
      <c r="C33" s="32"/>
      <c r="D33" s="32"/>
      <c r="E33" s="32"/>
      <c r="F33" s="32"/>
      <c r="G33" s="32"/>
      <c r="H33" s="32"/>
      <c r="I33" s="32"/>
      <c r="J33" s="32"/>
      <c r="L33" s="53" t="s">
        <v>74</v>
      </c>
      <c r="N33" s="1"/>
      <c r="R33" s="32"/>
    </row>
    <row r="34" spans="1:18">
      <c r="A34" s="32"/>
      <c r="B34" s="32"/>
      <c r="C34" s="32"/>
      <c r="D34" s="32"/>
      <c r="E34" s="32"/>
      <c r="F34" s="32"/>
      <c r="G34" s="32"/>
      <c r="H34" s="32"/>
      <c r="I34" s="32"/>
      <c r="J34" s="32"/>
      <c r="L34" s="53">
        <f>IF(Sheet3!A5=1,NORMDIST(L30,0,1,1),IF(Sheet3!A5=2,1-NORMDIST(L30,0,1,1), IF(L30&gt;0, 2*(1-NORMDIST(L30,0,1,1)),2*NORMDIST(L30,0,1,1))))</f>
        <v>0.18242243945173575</v>
      </c>
      <c r="N34" s="1"/>
      <c r="R34" s="32"/>
    </row>
    <row r="35" spans="1:18">
      <c r="A35" s="32"/>
      <c r="B35" s="32"/>
      <c r="C35" s="32"/>
      <c r="D35" s="32"/>
      <c r="E35" s="32"/>
      <c r="F35" s="32"/>
      <c r="G35" s="32"/>
      <c r="H35" s="32"/>
      <c r="I35" s="32"/>
      <c r="J35" s="32"/>
      <c r="L35" s="1"/>
      <c r="N35" s="1"/>
      <c r="R35" s="32"/>
    </row>
    <row r="36" spans="1: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46" t="s">
        <v>75</v>
      </c>
      <c r="L36" s="47"/>
      <c r="M36" s="47"/>
      <c r="N36" s="47"/>
      <c r="O36" s="46"/>
      <c r="P36" s="46"/>
      <c r="Q36" s="46"/>
      <c r="R36" s="32"/>
    </row>
    <row r="37" spans="1:18">
      <c r="A37" s="32"/>
      <c r="B37" s="32"/>
      <c r="C37" s="32"/>
      <c r="D37" s="32"/>
      <c r="E37" s="32"/>
      <c r="F37" s="32"/>
      <c r="G37" s="32"/>
      <c r="H37" s="32"/>
      <c r="I37" s="32"/>
      <c r="J37" s="32"/>
      <c r="L37" s="1"/>
      <c r="N37" s="1"/>
      <c r="R37" s="32"/>
    </row>
    <row r="38" spans="1: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t="s">
        <v>76</v>
      </c>
      <c r="L38" s="15" t="s">
        <v>77</v>
      </c>
      <c r="N38" s="1"/>
      <c r="O38" s="50">
        <v>0.01</v>
      </c>
      <c r="R38" s="32"/>
    </row>
    <row r="39" spans="1:18">
      <c r="A39" s="32"/>
      <c r="B39" s="32"/>
      <c r="C39" s="32"/>
      <c r="D39" s="32"/>
      <c r="E39" s="32"/>
      <c r="F39" s="32"/>
      <c r="G39" s="32"/>
      <c r="H39" s="32"/>
      <c r="I39" s="32"/>
      <c r="J39" s="32"/>
      <c r="L39" s="1"/>
      <c r="N39" s="1"/>
      <c r="R39" s="32"/>
    </row>
    <row r="40" spans="1:18" ht="15.75">
      <c r="A40" s="32"/>
      <c r="B40" s="32"/>
      <c r="C40" s="32"/>
      <c r="D40" s="32"/>
      <c r="E40" s="32"/>
      <c r="F40" s="32"/>
      <c r="G40" s="32"/>
      <c r="H40" s="32"/>
      <c r="I40" s="32"/>
      <c r="J40" s="32"/>
      <c r="L40" s="1"/>
      <c r="N40" s="52" t="str">
        <f>IF(L34&lt;O38,"Reject","Fail to reject")</f>
        <v>Fail to reject</v>
      </c>
      <c r="O40" s="52" t="s">
        <v>78</v>
      </c>
      <c r="R40" s="32"/>
    </row>
    <row r="41" spans="1:18">
      <c r="A41" s="32"/>
      <c r="B41" s="32"/>
      <c r="C41" s="32"/>
      <c r="D41" s="32"/>
      <c r="E41" s="32"/>
      <c r="F41" s="32"/>
      <c r="G41" s="32"/>
      <c r="H41" s="32"/>
      <c r="I41" s="32"/>
      <c r="J41" s="32"/>
      <c r="L41" s="1"/>
      <c r="N41" s="1"/>
      <c r="R41" s="32"/>
    </row>
    <row r="42" spans="1: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t="s">
        <v>79</v>
      </c>
      <c r="L42" s="1" t="s">
        <v>80</v>
      </c>
      <c r="N42" s="1"/>
      <c r="R42" s="32"/>
    </row>
    <row r="43" spans="1:18">
      <c r="A43" s="32"/>
      <c r="B43" s="32"/>
      <c r="C43" s="32"/>
      <c r="D43" s="32"/>
      <c r="E43" s="32"/>
      <c r="F43" s="32"/>
      <c r="G43" s="32"/>
      <c r="H43" s="32"/>
      <c r="I43" s="32"/>
      <c r="J43" s="32"/>
      <c r="L43" s="52" t="str">
        <f>IF(L34&lt;O38,"is","is not")</f>
        <v>is not</v>
      </c>
      <c r="N43" s="52" t="str">
        <f>IF(AND(L34&lt;O38,L34&lt;0.01),"strong",IF(AND(L34&lt;O38,L34&lt;0.1,L34&gt;0.05),"weak",""))</f>
        <v/>
      </c>
      <c r="R43" s="32"/>
    </row>
    <row r="44" spans="1:18">
      <c r="A44" s="32"/>
      <c r="B44" s="32"/>
      <c r="C44" s="32"/>
      <c r="D44" s="32"/>
      <c r="E44" s="32"/>
      <c r="F44" s="32"/>
      <c r="G44" s="32"/>
      <c r="H44" s="32"/>
      <c r="I44" s="32"/>
      <c r="J44" s="32"/>
      <c r="L44" s="15" t="s">
        <v>81</v>
      </c>
      <c r="N44" s="1"/>
      <c r="R44" s="32"/>
    </row>
    <row r="45" spans="1:18">
      <c r="A45" s="32"/>
      <c r="B45" s="32"/>
      <c r="C45" s="32"/>
      <c r="D45" s="32"/>
      <c r="E45" s="32"/>
      <c r="F45" s="32"/>
      <c r="G45" s="32"/>
      <c r="H45" s="32"/>
      <c r="I45" s="32"/>
      <c r="J45" s="32"/>
      <c r="L45" s="1"/>
      <c r="N45" s="1"/>
      <c r="R45" s="32"/>
    </row>
    <row r="46" spans="1: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t="s">
        <v>82</v>
      </c>
      <c r="L46" s="1"/>
      <c r="N46" s="1"/>
      <c r="R46" s="32"/>
    </row>
    <row r="47" spans="1:18">
      <c r="A47" s="32"/>
      <c r="B47" s="32"/>
      <c r="C47" s="32"/>
      <c r="D47" s="32"/>
      <c r="E47" s="32"/>
      <c r="F47" s="32"/>
      <c r="G47" s="32"/>
      <c r="H47" s="32"/>
      <c r="I47" s="32"/>
      <c r="J47" s="32"/>
      <c r="L47" s="1"/>
      <c r="N47" s="1"/>
      <c r="R47" s="32"/>
    </row>
    <row r="48" spans="1: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46"/>
      <c r="L48" s="1"/>
      <c r="N48" s="1"/>
      <c r="R48" s="32"/>
    </row>
    <row r="49" spans="1:18">
      <c r="A49" s="32"/>
      <c r="B49" s="32"/>
      <c r="C49" s="32"/>
      <c r="D49" s="32"/>
      <c r="E49" s="32"/>
      <c r="F49" s="32"/>
      <c r="G49" s="32"/>
      <c r="H49" s="32"/>
      <c r="I49" s="32"/>
      <c r="J49" s="32"/>
      <c r="L49" s="1"/>
      <c r="N49" s="1"/>
      <c r="R49" s="32"/>
    </row>
    <row r="50" spans="1:18">
      <c r="A50" s="32"/>
      <c r="B50" s="32"/>
      <c r="C50" s="32"/>
      <c r="D50" s="32"/>
      <c r="E50" s="32"/>
      <c r="F50" s="32"/>
      <c r="G50" s="32"/>
      <c r="H50" s="32"/>
      <c r="I50" s="32"/>
      <c r="J50" s="32"/>
      <c r="L50" s="1"/>
      <c r="N50" s="1"/>
      <c r="R50" s="32"/>
    </row>
    <row r="51" spans="1:18">
      <c r="A51" s="32"/>
      <c r="B51" s="32"/>
      <c r="C51" s="32"/>
      <c r="D51" s="32"/>
      <c r="E51" s="32"/>
      <c r="F51" s="32"/>
      <c r="G51" s="32"/>
      <c r="H51" s="32"/>
      <c r="I51" s="32"/>
      <c r="J51" s="32"/>
      <c r="L51" s="1"/>
      <c r="N51" s="1"/>
      <c r="R51" s="32"/>
    </row>
    <row r="52" spans="1:18">
      <c r="A52" s="32"/>
      <c r="B52" s="32"/>
      <c r="C52" s="32"/>
      <c r="D52" s="32"/>
      <c r="E52" s="32"/>
      <c r="F52" s="32"/>
      <c r="G52" s="32"/>
      <c r="H52" s="32"/>
      <c r="I52" s="32"/>
      <c r="J52" s="32"/>
      <c r="L52" s="1"/>
      <c r="N52" s="1"/>
      <c r="R52" s="32"/>
    </row>
  </sheetData>
  <mergeCells count="2">
    <mergeCell ref="C30:D30"/>
    <mergeCell ref="G30:H30"/>
  </mergeCells>
  <conditionalFormatting sqref="D10 H10">
    <cfRule type="expression" dxfId="2" priority="2" stopIfTrue="1">
      <formula>OR(D10&gt;=1,D10&lt;=0)</formula>
    </cfRule>
  </conditionalFormatting>
  <conditionalFormatting sqref="N11 P11">
    <cfRule type="expression" dxfId="1" priority="1" stopIfTrue="1">
      <formula>N11&lt;1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C5" sqref="C5"/>
    </sheetView>
  </sheetViews>
  <sheetFormatPr defaultRowHeight="15"/>
  <cols>
    <col min="1" max="1" width="19.28515625" bestFit="1" customWidth="1"/>
    <col min="2" max="2" width="19.85546875" bestFit="1" customWidth="1"/>
    <col min="3" max="3" width="17.5703125" customWidth="1"/>
    <col min="4" max="4" width="12" bestFit="1" customWidth="1"/>
    <col min="5" max="5" width="13.85546875" bestFit="1" customWidth="1"/>
  </cols>
  <sheetData>
    <row r="1" spans="1:5">
      <c r="A1" s="1"/>
      <c r="B1" s="1"/>
      <c r="C1" s="1" t="s">
        <v>0</v>
      </c>
      <c r="D1" s="1"/>
      <c r="E1" s="1"/>
    </row>
    <row r="2" spans="1:5">
      <c r="A2" s="1" t="s">
        <v>152</v>
      </c>
      <c r="B2" s="97" t="s">
        <v>153</v>
      </c>
      <c r="C2" s="2">
        <v>206</v>
      </c>
      <c r="D2" s="1"/>
      <c r="E2" s="1"/>
    </row>
    <row r="3" spans="1:5">
      <c r="A3" s="1"/>
      <c r="B3" s="1"/>
      <c r="C3" s="1"/>
      <c r="D3" s="1"/>
      <c r="E3" s="1"/>
    </row>
    <row r="4" spans="1:5" ht="15.75" thickBot="1">
      <c r="A4" s="4" t="s">
        <v>5</v>
      </c>
      <c r="B4" s="5" t="s">
        <v>154</v>
      </c>
      <c r="C4" s="88">
        <v>-1</v>
      </c>
      <c r="D4" s="6" t="s">
        <v>155</v>
      </c>
      <c r="E4" s="6">
        <f>IF(C4&gt;0,1-TDIST(C4,$C$2,1),TDIST(-C4,$C$2,1))</f>
        <v>0.15924184820916448</v>
      </c>
    </row>
    <row r="5" spans="1:5" ht="16.5" thickTop="1" thickBot="1">
      <c r="A5" s="4" t="s">
        <v>5</v>
      </c>
      <c r="B5" s="72" t="s">
        <v>183</v>
      </c>
      <c r="C5" s="90">
        <v>0.05</v>
      </c>
      <c r="D5" s="7" t="s">
        <v>156</v>
      </c>
      <c r="E5" s="7">
        <f>TINV(C5,C2)</f>
        <v>1.9715466220681535</v>
      </c>
    </row>
    <row r="6" spans="1:5" ht="15.75" thickTop="1">
      <c r="A6" s="1"/>
      <c r="B6" s="1"/>
      <c r="C6" s="1"/>
      <c r="D6" s="1"/>
      <c r="E6" s="1"/>
    </row>
    <row r="7" spans="1:5" ht="15.75" thickBot="1">
      <c r="A7" s="1" t="s">
        <v>6</v>
      </c>
      <c r="B7" s="1"/>
      <c r="C7" s="1"/>
      <c r="D7" s="1"/>
      <c r="E7" s="1"/>
    </row>
    <row r="8" spans="1:5">
      <c r="A8" s="8" t="s">
        <v>7</v>
      </c>
      <c r="B8" s="9" t="s">
        <v>157</v>
      </c>
      <c r="C8" s="9" t="s">
        <v>9</v>
      </c>
      <c r="D8" s="10" t="s">
        <v>158</v>
      </c>
      <c r="E8" s="11" t="s">
        <v>6</v>
      </c>
    </row>
    <row r="9" spans="1:5" ht="15.75" thickBot="1">
      <c r="A9" s="92">
        <v>-1</v>
      </c>
      <c r="B9" s="9">
        <f>IF(A9&gt;0,1-TDIST(A9,$C$2,1),TDIST(-A9,$C$2,1))</f>
        <v>0.15924184820916448</v>
      </c>
      <c r="C9" s="93">
        <v>-0.5</v>
      </c>
      <c r="D9" s="9">
        <f>IF(C9&gt;0,1-TDIST(C9,$C$2,1),TDIST(-C9,$C$2,1))</f>
        <v>0.3088043772609258</v>
      </c>
      <c r="E9" s="12">
        <f>D9-B9</f>
        <v>0.14956252905176132</v>
      </c>
    </row>
    <row r="10" spans="1:5">
      <c r="A10" s="73"/>
      <c r="B10" s="73"/>
      <c r="C10" s="73"/>
      <c r="D10" s="73"/>
      <c r="E10" s="74"/>
    </row>
    <row r="11" spans="1:5" ht="15.75" thickBot="1">
      <c r="A11" s="73" t="s">
        <v>159</v>
      </c>
      <c r="B11" s="73"/>
      <c r="C11" s="73"/>
      <c r="D11" s="73"/>
      <c r="E11" s="74"/>
    </row>
    <row r="12" spans="1:5">
      <c r="A12" s="73" t="s">
        <v>160</v>
      </c>
      <c r="B12" s="75" t="s">
        <v>161</v>
      </c>
      <c r="C12" s="73"/>
      <c r="D12" s="74"/>
    </row>
    <row r="13" spans="1:5" ht="15.75" thickBot="1">
      <c r="A13" s="94">
        <v>2.13</v>
      </c>
      <c r="B13" s="76">
        <f>TDIST(A13,$C$2,2)</f>
        <v>3.4357942069058796E-2</v>
      </c>
      <c r="C13" s="73"/>
      <c r="D13" s="74"/>
    </row>
    <row r="14" spans="1:5">
      <c r="A14" s="1"/>
      <c r="B14" s="1"/>
      <c r="C14" s="1"/>
      <c r="D14" s="1"/>
      <c r="E14" s="1"/>
    </row>
    <row r="15" spans="1:5" ht="15.75" thickBot="1">
      <c r="A15" s="1" t="s">
        <v>162</v>
      </c>
      <c r="B15" s="1"/>
      <c r="C15" s="1"/>
      <c r="D15" s="1"/>
      <c r="E15" s="1"/>
    </row>
    <row r="16" spans="1:5">
      <c r="A16" s="8" t="s">
        <v>12</v>
      </c>
      <c r="B16" s="13" t="s">
        <v>163</v>
      </c>
      <c r="C16" s="1"/>
      <c r="D16" s="1"/>
    </row>
    <row r="17" spans="1:4" ht="15.75" thickBot="1">
      <c r="A17" s="92">
        <v>-1.2490000000000001</v>
      </c>
      <c r="B17" s="14">
        <f>IF(A17&gt;0,TDIST(A17,$C$2,1),1-TDIST(-A17,C2,1))</f>
        <v>0.89345874989787177</v>
      </c>
      <c r="C17" s="1"/>
      <c r="D17" s="1"/>
    </row>
  </sheetData>
  <conditionalFormatting sqref="C5">
    <cfRule type="expression" dxfId="0" priority="1" stopIfTrue="1">
      <formula>OR($C$5&gt;=1,$C$5&lt;=0)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K29" sqref="K29"/>
    </sheetView>
  </sheetViews>
  <sheetFormatPr defaultRowHeight="15"/>
  <cols>
    <col min="1" max="1" width="11.7109375" style="85" customWidth="1"/>
    <col min="5" max="5" width="19.42578125" customWidth="1"/>
  </cols>
  <sheetData>
    <row r="1" spans="1:6">
      <c r="A1" s="95" t="s">
        <v>110</v>
      </c>
      <c r="C1" s="49" t="s">
        <v>111</v>
      </c>
      <c r="D1" s="1" t="s">
        <v>112</v>
      </c>
      <c r="E1" s="49"/>
    </row>
    <row r="2" spans="1:6">
      <c r="A2" s="85">
        <v>1</v>
      </c>
      <c r="C2" s="49" t="s">
        <v>113</v>
      </c>
      <c r="D2" s="96">
        <f>AVERAGE(A:A)</f>
        <v>5.25</v>
      </c>
      <c r="E2" s="49"/>
    </row>
    <row r="3" spans="1:6">
      <c r="A3" s="85">
        <v>5</v>
      </c>
      <c r="C3" s="49" t="s">
        <v>114</v>
      </c>
      <c r="D3" s="96">
        <f>STDEV(A:A)</f>
        <v>3.3040379335998349</v>
      </c>
      <c r="E3" s="49"/>
    </row>
    <row r="4" spans="1:6">
      <c r="A4" s="85">
        <v>6</v>
      </c>
      <c r="C4" s="49" t="s">
        <v>30</v>
      </c>
      <c r="D4" s="96">
        <f>COUNT(A:A)</f>
        <v>4</v>
      </c>
      <c r="E4" s="49"/>
    </row>
    <row r="5" spans="1:6">
      <c r="A5" s="85">
        <v>9</v>
      </c>
      <c r="C5" s="49"/>
      <c r="D5" s="1"/>
      <c r="E5" s="49"/>
    </row>
    <row r="6" spans="1:6">
      <c r="C6" s="49" t="s">
        <v>115</v>
      </c>
      <c r="D6" s="96">
        <f>MIN(A:A)</f>
        <v>1</v>
      </c>
      <c r="E6" s="49"/>
    </row>
    <row r="7" spans="1:6">
      <c r="C7" s="49" t="s">
        <v>116</v>
      </c>
      <c r="D7" s="70">
        <f>QUARTILE(A:A,1)</f>
        <v>4</v>
      </c>
      <c r="E7" s="49" t="s">
        <v>117</v>
      </c>
      <c r="F7" s="82">
        <f>IF(FLOOR((INT((COUNT(A:A)+1)/2)+1)/2,1)=CEILING((INT((COUNT(A:A)+1)/2)+1)/2,1),INDEX(A:A,(INT((COUNT(A:A)+1)/2)+1)/2+1),(INDEX(A:A,FLOOR((INT((COUNT(A:A)+1)/2)+1)/2,1)+1)+INDEX(A:A,CEILING((INT((COUNT(A:A)+1)/2)+1)/2,1)+1))/2)</f>
        <v>3</v>
      </c>
    </row>
    <row r="8" spans="1:6">
      <c r="C8" s="49" t="s">
        <v>118</v>
      </c>
      <c r="D8" s="96">
        <f>MEDIAN(A:A)</f>
        <v>5.5</v>
      </c>
      <c r="E8" s="49"/>
    </row>
    <row r="9" spans="1:6">
      <c r="C9" s="49" t="s">
        <v>119</v>
      </c>
      <c r="D9" s="70">
        <f>QUARTILE(A:A,3)</f>
        <v>6.75</v>
      </c>
      <c r="E9" s="49" t="s">
        <v>120</v>
      </c>
      <c r="F9" s="82">
        <f>IF(FLOOR((INT((COUNT(A:A)+1)/2)+1)/2,1)=CEILING((INT((COUNT(A:A)+1)/2)+1)/2,1),INDEX(A:A,1+COUNT(A:A)-(INT((COUNT(A:A)+1)/2)+1)/2+1),(INDEX(A:A,1+COUNT(A:A)-FLOOR((INT((COUNT(A:A)+1)/2)+1)/2,1)+1)+INDEX(A:A,1+COUNT(A:A)-CEILING((INT((COUNT(A:A)+1)/2)+1)/2,1)+1))/2)</f>
        <v>7.5</v>
      </c>
    </row>
    <row r="10" spans="1:6">
      <c r="C10" s="49" t="s">
        <v>121</v>
      </c>
      <c r="D10" s="96">
        <f>MAX(A:A)</f>
        <v>9</v>
      </c>
      <c r="E10" s="49"/>
    </row>
    <row r="11" spans="1:6">
      <c r="C11" s="49"/>
      <c r="D11" s="1"/>
      <c r="E11" s="49"/>
    </row>
    <row r="12" spans="1:6">
      <c r="C12" s="49" t="s">
        <v>122</v>
      </c>
      <c r="D12" s="70">
        <f>D9-D7</f>
        <v>2.75</v>
      </c>
      <c r="E12" s="49" t="s">
        <v>123</v>
      </c>
      <c r="F12" s="82">
        <f>F9-F7</f>
        <v>4.5</v>
      </c>
    </row>
    <row r="13" spans="1:6">
      <c r="C13" s="49" t="s">
        <v>124</v>
      </c>
      <c r="D13" s="96">
        <f>D10-D6</f>
        <v>8</v>
      </c>
      <c r="E13" s="49"/>
    </row>
    <row r="14" spans="1:6">
      <c r="C14" s="49"/>
      <c r="D14" s="1"/>
      <c r="E14" s="49"/>
    </row>
    <row r="15" spans="1:6">
      <c r="C15" s="49"/>
      <c r="D15" s="1"/>
      <c r="E15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PROBSHEET</vt:lpstr>
      <vt:lpstr>AnyNormal</vt:lpstr>
      <vt:lpstr>Normalphat</vt:lpstr>
      <vt:lpstr>Normalxbar</vt:lpstr>
      <vt:lpstr>IndepRV</vt:lpstr>
      <vt:lpstr>onep</vt:lpstr>
      <vt:lpstr>twops</vt:lpstr>
      <vt:lpstr>t-table</vt:lpstr>
      <vt:lpstr>BasicStats1</vt:lpstr>
      <vt:lpstr>t-CInHToneMU</vt:lpstr>
      <vt:lpstr>t-SampleSize</vt:lpstr>
      <vt:lpstr>BasicStats2</vt:lpstr>
      <vt:lpstr>t-CInHTtwoMU</vt:lpstr>
      <vt:lpstr>Sheet3</vt:lpstr>
    </vt:vector>
  </TitlesOfParts>
  <Company>Appalachian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 Build</dc:creator>
  <cp:lastModifiedBy>Ace Build</cp:lastModifiedBy>
  <dcterms:created xsi:type="dcterms:W3CDTF">2009-11-18T14:06:33Z</dcterms:created>
  <dcterms:modified xsi:type="dcterms:W3CDTF">2011-11-29T14:56:56Z</dcterms:modified>
</cp:coreProperties>
</file>