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8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drawings/drawing9.xml" ContentType="application/vnd.openxmlformats-officedocument.drawing+xml"/>
  <Override PartName="/xl/ctrlProps/ctrlProp1.xml" ContentType="application/vnd.ms-excel.controlproperties+xml"/>
  <Override PartName="/xl/drawings/drawing10.xml" ContentType="application/vnd.openxmlformats-officedocument.drawing+xml"/>
  <Override PartName="/xl/ctrlProps/ctrlProp2.xml" ContentType="application/vnd.ms-excel.controlproperties+xml"/>
  <Override PartName="/xl/drawings/drawing11.xml" ContentType="application/vnd.openxmlformats-officedocument.drawing+xml"/>
  <Override PartName="/xl/ctrlProps/ctrlProp3.xml" ContentType="application/vnd.ms-excel.controlproperties+xml"/>
  <Override PartName="/xl/drawings/drawing12.xml" ContentType="application/vnd.openxmlformats-officedocument.drawing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usie\STT2810\"/>
    </mc:Choice>
  </mc:AlternateContent>
  <bookViews>
    <workbookView xWindow="120" yWindow="15" windowWidth="15195" windowHeight="7680"/>
  </bookViews>
  <sheets>
    <sheet name="Regression" sheetId="15" r:id="rId1"/>
    <sheet name="PROBSHEET" sheetId="11" r:id="rId2"/>
    <sheet name="Tree" sheetId="18" r:id="rId3"/>
    <sheet name="Binomial" sheetId="17" r:id="rId4"/>
    <sheet name="AnyNormal" sheetId="4" r:id="rId5"/>
    <sheet name="Normalphat" sheetId="2" r:id="rId6"/>
    <sheet name="Normalxbar" sheetId="5" r:id="rId7"/>
    <sheet name="IndepRV" sheetId="14" r:id="rId8"/>
    <sheet name="onep" sheetId="1" r:id="rId9"/>
    <sheet name="twops" sheetId="6" r:id="rId10"/>
    <sheet name="t-table" sheetId="9" r:id="rId11"/>
    <sheet name="BasicStats1" sheetId="7" r:id="rId12"/>
    <sheet name="t-CInHToneMU" sheetId="8" r:id="rId13"/>
    <sheet name="t-SampleSize" sheetId="10" r:id="rId14"/>
    <sheet name="BasicStats2" sheetId="13" r:id="rId15"/>
    <sheet name="t-CInHTtwoMU" sheetId="12" r:id="rId16"/>
    <sheet name="Sheet3" sheetId="3" r:id="rId17"/>
  </sheets>
  <externalReferences>
    <externalReference r:id="rId18"/>
  </externalReferences>
  <calcPr calcId="152511"/>
</workbook>
</file>

<file path=xl/calcChain.xml><?xml version="1.0" encoding="utf-8"?>
<calcChain xmlns="http://schemas.openxmlformats.org/spreadsheetml/2006/main">
  <c r="F22" i="18" l="1"/>
  <c r="B22" i="18"/>
  <c r="J21" i="18"/>
  <c r="J20" i="18"/>
  <c r="J19" i="18"/>
  <c r="J18" i="18"/>
  <c r="F17" i="18"/>
  <c r="J16" i="18"/>
  <c r="J15" i="18"/>
  <c r="J14" i="18"/>
  <c r="J13" i="18"/>
  <c r="F12" i="18"/>
  <c r="J11" i="18"/>
  <c r="J10" i="18"/>
  <c r="J9" i="18"/>
  <c r="J8" i="18"/>
  <c r="F7" i="18"/>
  <c r="J6" i="18"/>
  <c r="J5" i="18"/>
  <c r="J4" i="18"/>
  <c r="J3" i="18"/>
  <c r="B28" i="18" s="1"/>
  <c r="B30" i="18" s="1"/>
  <c r="J22" i="18" l="1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D4" i="7" l="1"/>
  <c r="H30" i="15"/>
  <c r="F27" i="15"/>
  <c r="F21" i="15"/>
  <c r="F20" i="15"/>
  <c r="F19" i="15"/>
  <c r="F18" i="15"/>
  <c r="F17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I27" i="15"/>
  <c r="C18" i="15" s="1"/>
  <c r="G12" i="15"/>
  <c r="F12" i="15" s="1"/>
  <c r="I12" i="15" s="1"/>
  <c r="I11" i="15"/>
  <c r="E11" i="15"/>
  <c r="C11" i="15"/>
  <c r="I10" i="15"/>
  <c r="D10" i="15"/>
  <c r="C10" i="15"/>
  <c r="I9" i="15"/>
  <c r="C9" i="15"/>
  <c r="B9" i="15"/>
  <c r="I8" i="15"/>
  <c r="E8" i="15"/>
  <c r="A8" i="15"/>
  <c r="I7" i="15"/>
  <c r="D7" i="15"/>
  <c r="A7" i="15"/>
  <c r="I6" i="15"/>
  <c r="B6" i="15"/>
  <c r="A6" i="15"/>
  <c r="B16" i="4"/>
  <c r="C16" i="4" s="1"/>
  <c r="D12" i="4"/>
  <c r="B12" i="4"/>
  <c r="E8" i="4"/>
  <c r="E7" i="4"/>
  <c r="D10" i="7"/>
  <c r="F9" i="7"/>
  <c r="D9" i="7"/>
  <c r="D8" i="7"/>
  <c r="F7" i="7"/>
  <c r="D7" i="7"/>
  <c r="D6" i="7"/>
  <c r="D3" i="7"/>
  <c r="D2" i="7"/>
  <c r="D13" i="12"/>
  <c r="L26" i="12"/>
  <c r="L31" i="12" s="1"/>
  <c r="L35" i="12" s="1"/>
  <c r="L21" i="12"/>
  <c r="L23" i="12" s="1"/>
  <c r="O39" i="12"/>
  <c r="D37" i="1"/>
  <c r="D39" i="1" s="1"/>
  <c r="C16" i="14"/>
  <c r="C15" i="14"/>
  <c r="C8" i="14"/>
  <c r="C7" i="14"/>
  <c r="E6" i="13"/>
  <c r="E8" i="13"/>
  <c r="E7" i="13"/>
  <c r="E2" i="13"/>
  <c r="E4" i="13"/>
  <c r="E3" i="13"/>
  <c r="F17" i="12"/>
  <c r="D29" i="12"/>
  <c r="L25" i="12"/>
  <c r="D22" i="12"/>
  <c r="O4" i="12"/>
  <c r="D5" i="12"/>
  <c r="D6" i="12" s="1"/>
  <c r="D7" i="12" s="1"/>
  <c r="E5" i="9"/>
  <c r="C5" i="5"/>
  <c r="D13" i="5" s="1"/>
  <c r="B17" i="5"/>
  <c r="C17" i="5" s="1"/>
  <c r="G5" i="2"/>
  <c r="C5" i="2"/>
  <c r="B17" i="2" s="1"/>
  <c r="C17" i="2" s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K8" i="11"/>
  <c r="D8" i="11"/>
  <c r="K7" i="11"/>
  <c r="K6" i="11"/>
  <c r="K5" i="11"/>
  <c r="K4" i="11"/>
  <c r="E4" i="9"/>
  <c r="D9" i="9"/>
  <c r="B9" i="9"/>
  <c r="B17" i="9"/>
  <c r="B7" i="10"/>
  <c r="D12" i="10" s="1"/>
  <c r="B16" i="10" s="1"/>
  <c r="D18" i="10" s="1"/>
  <c r="B13" i="9"/>
  <c r="C30" i="8"/>
  <c r="C23" i="8"/>
  <c r="N19" i="8"/>
  <c r="N18" i="8"/>
  <c r="D18" i="8"/>
  <c r="D5" i="8"/>
  <c r="C13" i="8" s="1"/>
  <c r="Q4" i="8"/>
  <c r="L27" i="6"/>
  <c r="L26" i="6"/>
  <c r="L21" i="6"/>
  <c r="D19" i="6"/>
  <c r="P15" i="6"/>
  <c r="L22" i="6" s="1"/>
  <c r="L30" i="6" s="1"/>
  <c r="L34" i="6" s="1"/>
  <c r="L43" i="6" s="1"/>
  <c r="O4" i="6"/>
  <c r="D4" i="6"/>
  <c r="D5" i="6" s="1"/>
  <c r="D6" i="6" s="1"/>
  <c r="D8" i="6" s="1"/>
  <c r="D4" i="1"/>
  <c r="D5" i="1" s="1"/>
  <c r="D6" i="1" s="1"/>
  <c r="D8" i="1" s="1"/>
  <c r="Q4" i="1"/>
  <c r="D18" i="1"/>
  <c r="N18" i="1"/>
  <c r="N19" i="1"/>
  <c r="N26" i="1" s="1"/>
  <c r="N30" i="1" s="1"/>
  <c r="D26" i="1"/>
  <c r="C29" i="1" s="1"/>
  <c r="F14" i="6"/>
  <c r="E8" i="5"/>
  <c r="B13" i="5"/>
  <c r="E8" i="2"/>
  <c r="E9" i="2"/>
  <c r="G29" i="1" l="1"/>
  <c r="E9" i="5"/>
  <c r="E13" i="5"/>
  <c r="E9" i="9"/>
  <c r="F12" i="7"/>
  <c r="N26" i="8"/>
  <c r="N30" i="8" s="1"/>
  <c r="N39" i="8" s="1"/>
  <c r="N41" i="12"/>
  <c r="C17" i="15"/>
  <c r="C25" i="15"/>
  <c r="C23" i="15"/>
  <c r="C21" i="15"/>
  <c r="C19" i="15"/>
  <c r="D13" i="2"/>
  <c r="B13" i="2"/>
  <c r="F19" i="7"/>
  <c r="D12" i="7"/>
  <c r="D13" i="7"/>
  <c r="E12" i="4"/>
  <c r="H27" i="15"/>
  <c r="F31" i="15"/>
  <c r="C26" i="15"/>
  <c r="C24" i="15"/>
  <c r="C22" i="15"/>
  <c r="C20" i="15"/>
  <c r="F16" i="7"/>
  <c r="F20" i="7"/>
  <c r="F15" i="7"/>
  <c r="D19" i="8"/>
  <c r="D21" i="8"/>
  <c r="F24" i="8" s="1"/>
  <c r="D20" i="8"/>
  <c r="D24" i="8" s="1"/>
  <c r="D42" i="1"/>
  <c r="G42" i="1" s="1"/>
  <c r="D40" i="1"/>
  <c r="D41" i="1" s="1"/>
  <c r="F14" i="1"/>
  <c r="D19" i="1"/>
  <c r="F15" i="1"/>
  <c r="F15" i="6"/>
  <c r="F17" i="6"/>
  <c r="F20" i="6" s="1"/>
  <c r="F16" i="6"/>
  <c r="D20" i="6" s="1"/>
  <c r="F4" i="11"/>
  <c r="D6" i="11" s="1"/>
  <c r="I4" i="11"/>
  <c r="F19" i="1"/>
  <c r="F16" i="1"/>
  <c r="B26" i="11"/>
  <c r="D6" i="8"/>
  <c r="D7" i="8" s="1"/>
  <c r="D14" i="12"/>
  <c r="F18" i="12" s="1"/>
  <c r="N39" i="1"/>
  <c r="P39" i="1"/>
  <c r="P36" i="1"/>
  <c r="D4" i="11"/>
  <c r="P39" i="8"/>
  <c r="N40" i="6"/>
  <c r="N44" i="12"/>
  <c r="L44" i="12"/>
  <c r="P36" i="8"/>
  <c r="N43" i="6"/>
  <c r="E13" i="2" l="1"/>
  <c r="F23" i="15"/>
  <c r="I7" i="11"/>
  <c r="F19" i="12"/>
  <c r="D23" i="12" s="1"/>
  <c r="F20" i="12"/>
  <c r="F23" i="12" s="1"/>
  <c r="D5" i="11"/>
  <c r="D7" i="11"/>
  <c r="F7" i="11" l="1"/>
  <c r="F10" i="11" s="1"/>
</calcChain>
</file>

<file path=xl/sharedStrings.xml><?xml version="1.0" encoding="utf-8"?>
<sst xmlns="http://schemas.openxmlformats.org/spreadsheetml/2006/main" count="567" uniqueCount="336">
  <si>
    <t>VALUE</t>
  </si>
  <si>
    <t>Mean</t>
  </si>
  <si>
    <t>m =</t>
  </si>
  <si>
    <t>Std Dev</t>
  </si>
  <si>
    <t>s =</t>
  </si>
  <si>
    <t>Given:</t>
  </si>
  <si>
    <t>Area(A &lt; Y &lt; B)</t>
  </si>
  <si>
    <t>A</t>
  </si>
  <si>
    <t>Area(Y &lt; A)</t>
  </si>
  <si>
    <t>B</t>
  </si>
  <si>
    <t>Area(Y &lt; B)</t>
  </si>
  <si>
    <t>Area(Y &gt; C)</t>
  </si>
  <si>
    <t>C</t>
  </si>
  <si>
    <t>Area (Y &lt; C)</t>
  </si>
  <si>
    <t>Area (Y &gt; C)</t>
  </si>
  <si>
    <t>Check</t>
  </si>
  <si>
    <t>Randomization?</t>
  </si>
  <si>
    <t>SRS or unbiased and representative</t>
  </si>
  <si>
    <t>&lt;10% of the population is sampled</t>
  </si>
  <si>
    <t>Success/Failure -        np &gt;=10, n(1-p) &gt;=10</t>
  </si>
  <si>
    <t xml:space="preserve">Population SD = </t>
  </si>
  <si>
    <t xml:space="preserve">I want to be </t>
  </si>
  <si>
    <t>%</t>
  </si>
  <si>
    <t>confident that p lies in my interval.</t>
  </si>
  <si>
    <t>a</t>
  </si>
  <si>
    <r>
      <t>a</t>
    </r>
    <r>
      <rPr>
        <sz val="11"/>
        <rFont val="Arial"/>
        <family val="2"/>
      </rPr>
      <t>/2</t>
    </r>
  </si>
  <si>
    <r>
      <t>1-</t>
    </r>
    <r>
      <rPr>
        <sz val="11"/>
        <rFont val="Symbol"/>
        <family val="1"/>
        <charset val="2"/>
      </rPr>
      <t>a</t>
    </r>
    <r>
      <rPr>
        <sz val="11"/>
        <rFont val="Arial"/>
        <family val="2"/>
      </rPr>
      <t>/2</t>
    </r>
  </si>
  <si>
    <r>
      <t>z</t>
    </r>
    <r>
      <rPr>
        <vertAlign val="subscript"/>
        <sz val="11"/>
        <rFont val="Arial"/>
        <family val="2"/>
      </rPr>
      <t>1-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/2</t>
    </r>
  </si>
  <si>
    <t>phat =</t>
  </si>
  <si>
    <t>This may need to be entered "=X/n".</t>
  </si>
  <si>
    <t>n=</t>
  </si>
  <si>
    <t xml:space="preserve">Confidence interval </t>
  </si>
  <si>
    <t>ME</t>
  </si>
  <si>
    <t>z(1-alpha/2)*sqrt(p(1-p)/n)</t>
  </si>
  <si>
    <t>Lower</t>
  </si>
  <si>
    <t>phat - z(1-alpha/2)*sqrt(p(1-p)/n)</t>
  </si>
  <si>
    <t>Upper</t>
  </si>
  <si>
    <t>phat + z(1-alpha/2)*sqrt(p(1-p)/n)</t>
  </si>
  <si>
    <t>I am</t>
  </si>
  <si>
    <t>confident that the true population proportion (p) lies in</t>
  </si>
  <si>
    <t>(</t>
  </si>
  <si>
    <t>,</t>
  </si>
  <si>
    <t>).</t>
  </si>
  <si>
    <t>Sample Size Calculations:</t>
  </si>
  <si>
    <t>Desired Margin of error =</t>
  </si>
  <si>
    <t>Desired Confidence =</t>
  </si>
  <si>
    <t>=</t>
  </si>
  <si>
    <t>Max has phat = 0.5</t>
  </si>
  <si>
    <t>Given phat =</t>
  </si>
  <si>
    <t xml:space="preserve">n = </t>
  </si>
  <si>
    <r>
      <t>n</t>
    </r>
    <r>
      <rPr>
        <vertAlign val="subscript"/>
        <sz val="11"/>
        <rFont val="Arial"/>
        <family val="2"/>
      </rPr>
      <t>MAX</t>
    </r>
    <r>
      <rPr>
        <sz val="11"/>
        <rFont val="Arial"/>
        <family val="2"/>
      </rPr>
      <t xml:space="preserve"> =</t>
    </r>
  </si>
  <si>
    <t>n = (z(1-alpha/2) / ME)^2 * phat * (1-phat)</t>
  </si>
  <si>
    <t>Step 1:  Formulate Hypotheses</t>
  </si>
  <si>
    <t>Null</t>
  </si>
  <si>
    <r>
      <t>H</t>
    </r>
    <r>
      <rPr>
        <vertAlign val="subscript"/>
        <sz val="10"/>
        <rFont val="Arial"/>
        <family val="2"/>
      </rPr>
      <t xml:space="preserve">O </t>
    </r>
    <r>
      <rPr>
        <sz val="10"/>
        <rFont val="Arial"/>
        <family val="2"/>
      </rPr>
      <t>:</t>
    </r>
  </si>
  <si>
    <t>p</t>
  </si>
  <si>
    <t>Alternative</t>
  </si>
  <si>
    <r>
      <t>H</t>
    </r>
    <r>
      <rPr>
        <vertAlign val="subscript"/>
        <sz val="10"/>
        <rFont val="Arial"/>
        <family val="2"/>
      </rPr>
      <t xml:space="preserve">A </t>
    </r>
    <r>
      <rPr>
        <sz val="10"/>
        <rFont val="Arial"/>
        <family val="2"/>
      </rPr>
      <t>:</t>
    </r>
  </si>
  <si>
    <t>Step 2:  Check Assumptions and decide on a Model</t>
  </si>
  <si>
    <t>Y or N?</t>
  </si>
  <si>
    <t>Independence?</t>
  </si>
  <si>
    <t>Less than 10%?</t>
  </si>
  <si>
    <t>Success/Failure?</t>
  </si>
  <si>
    <t>If all four conditions are met, a normal model and a one proportion z-test are appropriate.</t>
  </si>
  <si>
    <t>phat ~ N(p, sqrt( p(1-p)/n ) )</t>
  </si>
  <si>
    <r>
      <t>Assuming H</t>
    </r>
    <r>
      <rPr>
        <vertAlign val="subscript"/>
        <sz val="10"/>
        <rFont val="Arial"/>
        <family val="2"/>
      </rPr>
      <t>O</t>
    </r>
    <r>
      <rPr>
        <sz val="11"/>
        <color theme="1"/>
        <rFont val="Calibri"/>
        <family val="2"/>
        <scheme val="minor"/>
      </rPr>
      <t xml:space="preserve"> is true.</t>
    </r>
  </si>
  <si>
    <t>mu(phat) =</t>
  </si>
  <si>
    <t xml:space="preserve">sd(phat) = </t>
  </si>
  <si>
    <t>Step 3:  Calculate the standardized test statistic and the P-value</t>
  </si>
  <si>
    <t xml:space="preserve">phat from sample = </t>
  </si>
  <si>
    <t>May need to be "=X/n"</t>
  </si>
  <si>
    <t>zstat = [phat - mu(phat)] / [sd(phat)]</t>
  </si>
  <si>
    <t>Test Statistic:</t>
  </si>
  <si>
    <r>
      <t>P-value = P(get what you got or more in support of H</t>
    </r>
    <r>
      <rPr>
        <vertAlign val="subscript"/>
        <sz val="10"/>
        <rFont val="Arial"/>
        <family val="2"/>
      </rPr>
      <t>A</t>
    </r>
    <r>
      <rPr>
        <sz val="10"/>
        <rFont val="Arial"/>
        <family val="2"/>
      </rPr>
      <t>)</t>
    </r>
  </si>
  <si>
    <t>P-value =</t>
  </si>
  <si>
    <t>Step 4:  Statistical and English Conclusions</t>
  </si>
  <si>
    <t xml:space="preserve">Statistical:  </t>
  </si>
  <si>
    <t>P-value cut off for significance?</t>
  </si>
  <si>
    <r>
      <t>H</t>
    </r>
    <r>
      <rPr>
        <vertAlign val="subscript"/>
        <sz val="10"/>
        <rFont val="Arial"/>
        <family val="2"/>
      </rPr>
      <t>O</t>
    </r>
  </si>
  <si>
    <t>English:</t>
  </si>
  <si>
    <t>There</t>
  </si>
  <si>
    <t>evidence for "the alternative hypothesis".</t>
  </si>
  <si>
    <t>Note:  "the alternative hypothesis" is problem specific and should MATCH the question!</t>
  </si>
  <si>
    <t>Less Than</t>
  </si>
  <si>
    <t>Greater Than</t>
  </si>
  <si>
    <t>Not Equal</t>
  </si>
  <si>
    <r>
      <t>confident that p</t>
    </r>
    <r>
      <rPr>
        <b/>
        <vertAlign val="sub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- p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lies in my interval.</t>
    </r>
  </si>
  <si>
    <t>p1-p2</t>
  </si>
  <si>
    <r>
      <t>phat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=</t>
    </r>
  </si>
  <si>
    <r>
      <t>phat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=</t>
    </r>
  </si>
  <si>
    <r>
      <t>Sucesses</t>
    </r>
    <r>
      <rPr>
        <vertAlign val="subscript"/>
        <sz val="10"/>
        <rFont val="Arial"/>
        <family val="2"/>
      </rPr>
      <t xml:space="preserve">1 </t>
    </r>
    <r>
      <rPr>
        <sz val="11"/>
        <color theme="1"/>
        <rFont val="Calibri"/>
        <family val="2"/>
        <scheme val="minor"/>
      </rPr>
      <t>=</t>
    </r>
  </si>
  <si>
    <r>
      <t>Sucesses</t>
    </r>
    <r>
      <rPr>
        <vertAlign val="subscript"/>
        <sz val="10"/>
        <rFont val="Arial"/>
        <family val="2"/>
      </rPr>
      <t xml:space="preserve">2 </t>
    </r>
    <r>
      <rPr>
        <sz val="11"/>
        <color theme="1"/>
        <rFont val="Calibri"/>
        <family val="2"/>
        <scheme val="minor"/>
      </rPr>
      <t>=</t>
    </r>
  </si>
  <si>
    <t>Sucesses = n*p</t>
  </si>
  <si>
    <r>
      <t>n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=</t>
    </r>
  </si>
  <si>
    <r>
      <t>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=</t>
    </r>
  </si>
  <si>
    <t>Round to whole #</t>
  </si>
  <si>
    <t>Independent Groups?</t>
  </si>
  <si>
    <t>StdEr</t>
  </si>
  <si>
    <t>z(1-alpha/2)*sqrt(phat1(1-phat1)/n1 + phat2(1-phat2)/n2 )</t>
  </si>
  <si>
    <t xml:space="preserve">phatpooled = </t>
  </si>
  <si>
    <t>(phat1 - phat2) - z(1-alpha/2)*sqrt(phat1(1-phat1)/n1 + phat2(1-phat2)/n2 )</t>
  </si>
  <si>
    <t>(phat1 - phat2) + z(1-alpha/2)*sqrt(phat1(1-phat1)/n1 + phat2(1-phat2)/n2 )</t>
  </si>
  <si>
    <t>If all five conditions are met, a normal model and a TWO proportion z-test are appropriate.</t>
  </si>
  <si>
    <t>confident that the true population proportion (p1-p2) lies in</t>
  </si>
  <si>
    <t>phat1 - phat2 ~ N( 0 , sqrt( phat(1-phat)/n1 + phat(1-phat)/n2 ) )</t>
  </si>
  <si>
    <t>mu(phat1 - phat2) =</t>
  </si>
  <si>
    <t xml:space="preserve">sd(phat1 - phat2) = </t>
  </si>
  <si>
    <t xml:space="preserve">phat1 from sample = </t>
  </si>
  <si>
    <t xml:space="preserve">phat2 from sample = </t>
  </si>
  <si>
    <t>zstat = [(phat1 - phat2) - 0] / [sd(phat1 - phat2)]</t>
  </si>
  <si>
    <t>SortedDATA</t>
  </si>
  <si>
    <t>Statistic</t>
  </si>
  <si>
    <t>Value</t>
  </si>
  <si>
    <t>average=</t>
  </si>
  <si>
    <t>stdev=</t>
  </si>
  <si>
    <t>MIN=</t>
  </si>
  <si>
    <t>Q1=</t>
  </si>
  <si>
    <t>lower hinge=</t>
  </si>
  <si>
    <t>Median=</t>
  </si>
  <si>
    <t>Q3=</t>
  </si>
  <si>
    <t>upper hinge=</t>
  </si>
  <si>
    <t>MAX=</t>
  </si>
  <si>
    <t>IQR=</t>
  </si>
  <si>
    <t>InterHingeRange=</t>
  </si>
  <si>
    <t>RANGE=</t>
  </si>
  <si>
    <t>t-test and CI…sigma unknown</t>
  </si>
  <si>
    <r>
      <t xml:space="preserve">confident that </t>
    </r>
    <r>
      <rPr>
        <b/>
        <sz val="11"/>
        <rFont val="Symbol"/>
        <family val="1"/>
        <charset val="2"/>
      </rPr>
      <t>m</t>
    </r>
    <r>
      <rPr>
        <b/>
        <sz val="11"/>
        <rFont val="Arial"/>
        <family val="2"/>
      </rPr>
      <t xml:space="preserve"> lies in my interval.</t>
    </r>
  </si>
  <si>
    <t>m</t>
  </si>
  <si>
    <t>df = n - 1</t>
  </si>
  <si>
    <t>df + 1 = n</t>
  </si>
  <si>
    <r>
      <t xml:space="preserve">Unknown </t>
    </r>
    <r>
      <rPr>
        <sz val="11"/>
        <rFont val="Symbol"/>
        <family val="1"/>
        <charset val="2"/>
      </rPr>
      <t xml:space="preserve">s, </t>
    </r>
    <r>
      <rPr>
        <sz val="11"/>
        <rFont val="Arial"/>
        <family val="2"/>
      </rPr>
      <t>Estimate with s</t>
    </r>
  </si>
  <si>
    <t>n =</t>
  </si>
  <si>
    <t xml:space="preserve">s = </t>
  </si>
  <si>
    <t>Unknown sigma, estimate with s =</t>
  </si>
  <si>
    <t>Shape?</t>
  </si>
  <si>
    <t>No outliers, no strong skewness</t>
  </si>
  <si>
    <r>
      <t>t</t>
    </r>
    <r>
      <rPr>
        <vertAlign val="subscript"/>
        <sz val="11"/>
        <rFont val="Arial"/>
        <family val="2"/>
      </rPr>
      <t>n-1; 1-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/2</t>
    </r>
    <r>
      <rPr>
        <sz val="11"/>
        <rFont val="Arial"/>
        <family val="2"/>
      </rPr>
      <t xml:space="preserve"> =</t>
    </r>
  </si>
  <si>
    <t>If all four conditions are met, a normal model and a one mean t-test are appropriate.</t>
  </si>
  <si>
    <t xml:space="preserve">xbar = </t>
  </si>
  <si>
    <t>t-test, sigma unknown</t>
  </si>
  <si>
    <r>
      <t>(xbar - mu)/(s/sqrt(n)) ~ t</t>
    </r>
    <r>
      <rPr>
        <vertAlign val="subscript"/>
        <sz val="11"/>
        <color indexed="8"/>
        <rFont val="Arial"/>
        <family val="2"/>
      </rPr>
      <t>n-1</t>
    </r>
  </si>
  <si>
    <t>SE(xbar)</t>
  </si>
  <si>
    <t>mu(xbar) =</t>
  </si>
  <si>
    <t>Note ME increases as confidence increases.</t>
  </si>
  <si>
    <t>SE(xbar) =</t>
  </si>
  <si>
    <t>confident that the true population mean lies in</t>
  </si>
  <si>
    <t xml:space="preserve">xbar from sample = </t>
  </si>
  <si>
    <t>tstat = [xbar - mu] / [s/sqrt(n)]</t>
  </si>
  <si>
    <t>Note that ME also = (Upper - Lower)/2</t>
  </si>
  <si>
    <t>t-table</t>
  </si>
  <si>
    <t>one p</t>
  </si>
  <si>
    <t>two ps</t>
  </si>
  <si>
    <t>Degrees of Freedom</t>
  </si>
  <si>
    <t>n - 1 =</t>
  </si>
  <si>
    <t>t</t>
  </si>
  <si>
    <t>Area &lt; t =</t>
  </si>
  <si>
    <t>t =</t>
  </si>
  <si>
    <t>Area(t &lt; A)</t>
  </si>
  <si>
    <t>Area(t &lt; B)</t>
  </si>
  <si>
    <t>Area( |t| &gt; D)</t>
  </si>
  <si>
    <t>D</t>
  </si>
  <si>
    <t>Area (|t| &gt; D)</t>
  </si>
  <si>
    <t>Area(t &gt; C)</t>
  </si>
  <si>
    <t>Area (t &gt; C)</t>
  </si>
  <si>
    <t>Step 1:</t>
  </si>
  <si>
    <t>Estimate n with a z value:</t>
  </si>
  <si>
    <t>At</t>
  </si>
  <si>
    <t xml:space="preserve">confidence, </t>
  </si>
  <si>
    <r>
      <t>z</t>
    </r>
    <r>
      <rPr>
        <vertAlign val="subscript"/>
        <sz val="11"/>
        <color indexed="8"/>
        <rFont val="Calibri"/>
        <family val="2"/>
      </rPr>
      <t>1-</t>
    </r>
    <r>
      <rPr>
        <vertAlign val="subscript"/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 xml:space="preserve">/2 </t>
    </r>
    <r>
      <rPr>
        <sz val="11"/>
        <color indexed="8"/>
        <rFont val="Arial"/>
        <family val="2"/>
      </rPr>
      <t>=</t>
    </r>
  </si>
  <si>
    <t xml:space="preserve">ME desired = </t>
  </si>
  <si>
    <r>
      <t>(z</t>
    </r>
    <r>
      <rPr>
        <vertAlign val="subscript"/>
        <sz val="11"/>
        <color indexed="8"/>
        <rFont val="Calibri"/>
        <family val="2"/>
      </rPr>
      <t>1-</t>
    </r>
    <r>
      <rPr>
        <vertAlign val="subscript"/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Calibri"/>
        <family val="2"/>
      </rPr>
      <t>/2</t>
    </r>
    <r>
      <rPr>
        <sz val="11"/>
        <color indexed="8"/>
        <rFont val="Calibri"/>
        <family val="2"/>
      </rPr>
      <t xml:space="preserve"> *s/ME)^2 =</t>
    </r>
  </si>
  <si>
    <t>Step 2:  Use the n from step 1 with a t(n-1) distribution:</t>
  </si>
  <si>
    <r>
      <t>t</t>
    </r>
    <r>
      <rPr>
        <vertAlign val="subscript"/>
        <sz val="11"/>
        <color indexed="8"/>
        <rFont val="Calibri"/>
        <family val="2"/>
      </rPr>
      <t>1-</t>
    </r>
    <r>
      <rPr>
        <vertAlign val="subscript"/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Arial"/>
        <family val="2"/>
      </rPr>
      <t xml:space="preserve">/2; n-1 </t>
    </r>
    <r>
      <rPr>
        <sz val="11"/>
        <color indexed="8"/>
        <rFont val="Arial"/>
        <family val="2"/>
      </rPr>
      <t>=</t>
    </r>
  </si>
  <si>
    <r>
      <t>(t</t>
    </r>
    <r>
      <rPr>
        <vertAlign val="subscript"/>
        <sz val="11"/>
        <color indexed="8"/>
        <rFont val="Calibri"/>
        <family val="2"/>
      </rPr>
      <t>1-</t>
    </r>
    <r>
      <rPr>
        <vertAlign val="subscript"/>
        <sz val="11"/>
        <color indexed="8"/>
        <rFont val="Symbol"/>
        <family val="1"/>
        <charset val="2"/>
      </rPr>
      <t>a</t>
    </r>
    <r>
      <rPr>
        <vertAlign val="subscript"/>
        <sz val="11"/>
        <color indexed="8"/>
        <rFont val="Calibri"/>
        <family val="2"/>
      </rPr>
      <t>/2</t>
    </r>
    <r>
      <rPr>
        <sz val="11"/>
        <color indexed="8"/>
        <rFont val="Calibri"/>
        <family val="2"/>
      </rPr>
      <t xml:space="preserve"> *s/ME)^2 =</t>
    </r>
  </si>
  <si>
    <t>x</t>
  </si>
  <si>
    <t>P(X=x)</t>
  </si>
  <si>
    <t>(x-mu) squared</t>
  </si>
  <si>
    <t xml:space="preserve">E(X^2) = </t>
  </si>
  <si>
    <t>x^2</t>
  </si>
  <si>
    <t>E(X^2)-[E(X)]^2 =</t>
  </si>
  <si>
    <t>CHECK =</t>
  </si>
  <si>
    <t xml:space="preserve">sigma(X) = </t>
  </si>
  <si>
    <t>CHECK = 1:</t>
  </si>
  <si>
    <t>Area outside |t|</t>
  </si>
  <si>
    <t>Probabilitiy Models:  Enter x and P(X=x) in the yellow squares</t>
  </si>
  <si>
    <r>
      <t xml:space="preserve">E(X) = </t>
    </r>
    <r>
      <rPr>
        <sz val="10"/>
        <rFont val="Symbol"/>
        <family val="1"/>
        <charset val="2"/>
      </rPr>
      <t>m =</t>
    </r>
  </si>
  <si>
    <r>
      <t xml:space="preserve">Var(X) = </t>
    </r>
    <r>
      <rPr>
        <sz val="10"/>
        <rFont val="Symbol"/>
        <family val="1"/>
        <charset val="2"/>
      </rPr>
      <t>s</t>
    </r>
    <r>
      <rPr>
        <vertAlign val="superscript"/>
        <sz val="10"/>
        <rFont val="Symbol"/>
        <family val="1"/>
        <charset val="2"/>
      </rPr>
      <t xml:space="preserve">2 </t>
    </r>
    <r>
      <rPr>
        <sz val="10"/>
        <rFont val="Symbol"/>
        <family val="1"/>
        <charset val="2"/>
      </rPr>
      <t>=</t>
    </r>
  </si>
  <si>
    <t>You may change YELLOW cells ONLY!!!</t>
  </si>
  <si>
    <t>From Problem:</t>
  </si>
  <si>
    <r>
      <t xml:space="preserve">For Area ( Y = N( </t>
    </r>
    <r>
      <rPr>
        <sz val="11"/>
        <rFont val="Symbol"/>
        <family val="1"/>
        <charset val="2"/>
      </rPr>
      <t>m</t>
    </r>
    <r>
      <rPr>
        <sz val="11"/>
        <rFont val="Arial"/>
        <family val="2"/>
      </rPr>
      <t xml:space="preserve">, </t>
    </r>
    <r>
      <rPr>
        <sz val="11"/>
        <rFont val="Symbol"/>
        <family val="1"/>
        <charset val="2"/>
      </rPr>
      <t xml:space="preserve">s </t>
    </r>
    <r>
      <rPr>
        <sz val="11"/>
        <color theme="1"/>
        <rFont val="Calibri"/>
        <family val="2"/>
        <scheme val="minor"/>
      </rPr>
      <t xml:space="preserve">) &lt; value ) = prob </t>
    </r>
  </si>
  <si>
    <t>value</t>
  </si>
  <si>
    <t xml:space="preserve">prob = </t>
  </si>
  <si>
    <t>prob (in [0,1])</t>
  </si>
  <si>
    <t>value =</t>
  </si>
  <si>
    <t>Sampling distribution of the sample proportion of sucesses (phat):</t>
  </si>
  <si>
    <r>
      <t xml:space="preserve">m </t>
    </r>
    <r>
      <rPr>
        <sz val="11"/>
        <color indexed="8"/>
        <rFont val="Symbol"/>
        <family val="1"/>
        <charset val="2"/>
      </rPr>
      <t xml:space="preserve"> =</t>
    </r>
  </si>
  <si>
    <r>
      <t>For Area ( Y = phat</t>
    </r>
    <r>
      <rPr>
        <sz val="11"/>
        <color theme="1"/>
        <rFont val="Calibri"/>
        <family val="2"/>
        <scheme val="minor"/>
      </rPr>
      <t xml:space="preserve"> &lt; value ) = prob </t>
    </r>
  </si>
  <si>
    <t>Sampling distribution of the sample mean (xbar):</t>
  </si>
  <si>
    <r>
      <t xml:space="preserve">For Area ( Y= xbar </t>
    </r>
    <r>
      <rPr>
        <sz val="11"/>
        <color theme="1"/>
        <rFont val="Calibri"/>
        <family val="2"/>
        <scheme val="minor"/>
      </rPr>
      <t xml:space="preserve">&lt; value ) = prob </t>
    </r>
  </si>
  <si>
    <r>
      <t xml:space="preserve">confident that </t>
    </r>
    <r>
      <rPr>
        <b/>
        <sz val="11"/>
        <rFont val="Symbol"/>
        <family val="1"/>
        <charset val="2"/>
      </rPr>
      <t>m</t>
    </r>
    <r>
      <rPr>
        <b/>
        <vertAlign val="subscript"/>
        <sz val="11"/>
        <rFont val="Arial"/>
        <family val="2"/>
      </rPr>
      <t>1</t>
    </r>
    <r>
      <rPr>
        <b/>
        <sz val="11"/>
        <rFont val="Arial"/>
        <family val="2"/>
      </rPr>
      <t xml:space="preserve"> - </t>
    </r>
    <r>
      <rPr>
        <b/>
        <sz val="11"/>
        <rFont val="Symbol"/>
        <family val="1"/>
        <charset val="2"/>
      </rPr>
      <t>m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 xml:space="preserve"> lies in my interval.</t>
    </r>
  </si>
  <si>
    <t>t-test and CI…variances unknown</t>
  </si>
  <si>
    <r>
      <t>t</t>
    </r>
    <r>
      <rPr>
        <vertAlign val="subscript"/>
        <sz val="11"/>
        <rFont val="Arial"/>
        <family val="2"/>
      </rPr>
      <t>1-</t>
    </r>
    <r>
      <rPr>
        <vertAlign val="subscript"/>
        <sz val="11"/>
        <rFont val="Symbol"/>
        <family val="1"/>
        <charset val="2"/>
      </rPr>
      <t>a</t>
    </r>
    <r>
      <rPr>
        <vertAlign val="subscript"/>
        <sz val="11"/>
        <rFont val="Arial"/>
        <family val="2"/>
      </rPr>
      <t>/2;df</t>
    </r>
  </si>
  <si>
    <r>
      <t>xbar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 xml:space="preserve"> =</t>
    </r>
  </si>
  <si>
    <r>
      <t>xbar</t>
    </r>
    <r>
      <rPr>
        <vertAlign val="subscript"/>
        <sz val="11"/>
        <rFont val="Arial"/>
        <family val="2"/>
      </rPr>
      <t xml:space="preserve">2 </t>
    </r>
    <r>
      <rPr>
        <sz val="11"/>
        <rFont val="Arial"/>
        <family val="2"/>
      </rPr>
      <t>=</t>
    </r>
  </si>
  <si>
    <r>
      <t>s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=</t>
    </r>
  </si>
  <si>
    <r>
      <t>s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=</t>
    </r>
  </si>
  <si>
    <t>sqrt(s1^2/n1+s2^2/n2)</t>
  </si>
  <si>
    <r>
      <t>SE(xbar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>-xbar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)</t>
    </r>
  </si>
  <si>
    <t>t * SE</t>
  </si>
  <si>
    <t>(xbar1-xbar2) - ME</t>
  </si>
  <si>
    <t>(xbar1-xbar2)+ ME</t>
  </si>
  <si>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>-</t>
    </r>
    <r>
      <rPr>
        <sz val="11"/>
        <color indexed="8"/>
        <rFont val="Symbol"/>
        <family val="1"/>
        <charset val="2"/>
      </rPr>
      <t>m</t>
    </r>
    <r>
      <rPr>
        <vertAlign val="subscript"/>
        <sz val="11"/>
        <color indexed="8"/>
        <rFont val="Calibri"/>
        <family val="2"/>
      </rPr>
      <t>2</t>
    </r>
  </si>
  <si>
    <r>
      <t>( [xbar1-xbar2] - [mu1-mu2] ) / SE(  [xbar1-xbar2]  ) ~  t</t>
    </r>
    <r>
      <rPr>
        <vertAlign val="subscript"/>
        <sz val="11"/>
        <color indexed="8"/>
        <rFont val="Arial"/>
        <family val="2"/>
      </rPr>
      <t>df</t>
    </r>
  </si>
  <si>
    <t>mu(xbar1 - xbar2) =</t>
  </si>
  <si>
    <t>tstat = ( [xbar1-xbar2] - [mu1-mu2] ) / SE(  [xbar1-xbar2]  )</t>
  </si>
  <si>
    <t xml:space="preserve">se(xbar1 - xbar2) = </t>
  </si>
  <si>
    <t>df =</t>
  </si>
  <si>
    <t>Nearly Normal?</t>
  </si>
  <si>
    <t>exact;</t>
  </si>
  <si>
    <t>two mus</t>
  </si>
  <si>
    <t xml:space="preserve">df exact= </t>
  </si>
  <si>
    <r>
      <t xml:space="preserve">confident that </t>
    </r>
    <r>
      <rPr>
        <sz val="11"/>
        <rFont val="Symbol"/>
        <family val="1"/>
        <charset val="2"/>
      </rPr>
      <t>m</t>
    </r>
    <r>
      <rPr>
        <vertAlign val="subscript"/>
        <sz val="11"/>
        <rFont val="Arial"/>
        <family val="2"/>
      </rPr>
      <t>1</t>
    </r>
    <r>
      <rPr>
        <sz val="11"/>
        <rFont val="Arial"/>
        <family val="2"/>
      </rPr>
      <t xml:space="preserve"> - </t>
    </r>
    <r>
      <rPr>
        <sz val="11"/>
        <rFont val="Symbol"/>
        <family val="1"/>
        <charset val="2"/>
      </rPr>
      <t>m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lies in the interval</t>
    </r>
  </si>
  <si>
    <t>Group 1</t>
  </si>
  <si>
    <t>Group 2</t>
  </si>
  <si>
    <t>xbar1=</t>
  </si>
  <si>
    <t>s1=</t>
  </si>
  <si>
    <t>n1=</t>
  </si>
  <si>
    <t>xbar2=</t>
  </si>
  <si>
    <t>s2=</t>
  </si>
  <si>
    <t>n2=</t>
  </si>
  <si>
    <t>If all three conditions are met, a two sample t-test for difference of means is appropriate.</t>
  </si>
  <si>
    <r>
      <t xml:space="preserve">If X1, X2, … Xm are independent random variables with mean </t>
    </r>
    <r>
      <rPr>
        <sz val="11"/>
        <color indexed="8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and sd </t>
    </r>
    <r>
      <rPr>
        <sz val="11"/>
        <color indexed="8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>,</t>
    </r>
  </si>
  <si>
    <t xml:space="preserve">m = </t>
  </si>
  <si>
    <r>
      <t>m(</t>
    </r>
    <r>
      <rPr>
        <sz val="11"/>
        <color theme="1"/>
        <rFont val="Calibri"/>
        <family val="2"/>
        <scheme val="minor"/>
      </rPr>
      <t>X1+X2+…Xm) =</t>
    </r>
  </si>
  <si>
    <r>
      <t>s</t>
    </r>
    <r>
      <rPr>
        <sz val="11"/>
        <color theme="1"/>
        <rFont val="Calibri"/>
        <family val="2"/>
        <scheme val="minor"/>
      </rPr>
      <t>(X1+X2+…Xm) =</t>
    </r>
  </si>
  <si>
    <t>If X and Y are independent random variables</t>
  </si>
  <si>
    <r>
      <t>m(</t>
    </r>
    <r>
      <rPr>
        <sz val="11"/>
        <color theme="1"/>
        <rFont val="Calibri"/>
        <family val="2"/>
        <scheme val="minor"/>
      </rPr>
      <t>X) =</t>
    </r>
  </si>
  <si>
    <r>
      <t>m(</t>
    </r>
    <r>
      <rPr>
        <sz val="11"/>
        <color theme="1"/>
        <rFont val="Calibri"/>
        <family val="2"/>
        <scheme val="minor"/>
      </rPr>
      <t>Y) =</t>
    </r>
  </si>
  <si>
    <t>a=</t>
  </si>
  <si>
    <r>
      <t>s</t>
    </r>
    <r>
      <rPr>
        <sz val="11"/>
        <color theme="1"/>
        <rFont val="Calibri"/>
        <family val="2"/>
        <scheme val="minor"/>
      </rPr>
      <t>(X) =</t>
    </r>
  </si>
  <si>
    <r>
      <t>s</t>
    </r>
    <r>
      <rPr>
        <sz val="11"/>
        <color theme="1"/>
        <rFont val="Calibri"/>
        <family val="2"/>
        <scheme val="minor"/>
      </rPr>
      <t>(Y) =</t>
    </r>
  </si>
  <si>
    <t>b=</t>
  </si>
  <si>
    <r>
      <t>m(</t>
    </r>
    <r>
      <rPr>
        <sz val="11"/>
        <color theme="1"/>
        <rFont val="Calibri"/>
        <family val="2"/>
        <scheme val="minor"/>
      </rPr>
      <t>aX+/-bY) =</t>
    </r>
  </si>
  <si>
    <r>
      <t>s(</t>
    </r>
    <r>
      <rPr>
        <sz val="11"/>
        <color theme="1"/>
        <rFont val="Calibri"/>
        <family val="2"/>
        <scheme val="minor"/>
      </rPr>
      <t>aX+/-bY) =</t>
    </r>
  </si>
  <si>
    <t>Solving for Confidence:</t>
  </si>
  <si>
    <t>ME given =</t>
  </si>
  <si>
    <t>n given =</t>
  </si>
  <si>
    <t>phat given =</t>
  </si>
  <si>
    <t>z =ME*sqrt(n/(phat*(1-phat)))</t>
  </si>
  <si>
    <t xml:space="preserve">Area &lt; </t>
  </si>
  <si>
    <r>
      <rPr>
        <sz val="11"/>
        <rFont val="Symbol"/>
        <family val="1"/>
        <charset val="2"/>
      </rPr>
      <t>a</t>
    </r>
    <r>
      <rPr>
        <sz val="11"/>
        <rFont val="Arial"/>
        <family val="2"/>
      </rPr>
      <t>/2=</t>
    </r>
  </si>
  <si>
    <r>
      <t>a</t>
    </r>
    <r>
      <rPr>
        <sz val="11"/>
        <rFont val="Arial"/>
        <family val="2"/>
      </rPr>
      <t>=</t>
    </r>
  </si>
  <si>
    <r>
      <t>1-</t>
    </r>
    <r>
      <rPr>
        <sz val="11"/>
        <rFont val="Symbol"/>
        <family val="1"/>
        <charset val="2"/>
      </rPr>
      <t>a</t>
    </r>
    <r>
      <rPr>
        <sz val="11"/>
        <rFont val="Arial"/>
        <family val="2"/>
      </rPr>
      <t xml:space="preserve">= </t>
    </r>
  </si>
  <si>
    <t xml:space="preserve">We have a </t>
  </si>
  <si>
    <t>% CI.</t>
  </si>
  <si>
    <t>a =</t>
  </si>
  <si>
    <t>t*=</t>
  </si>
  <si>
    <r>
      <t>P-value cut off for significance =</t>
    </r>
    <r>
      <rPr>
        <sz val="11"/>
        <color indexed="8"/>
        <rFont val="Symbol"/>
        <family val="1"/>
        <charset val="2"/>
      </rPr>
      <t xml:space="preserve"> a </t>
    </r>
    <r>
      <rPr>
        <sz val="11"/>
        <color theme="1"/>
        <rFont val="Calibri"/>
        <family val="2"/>
        <scheme val="minor"/>
      </rPr>
      <t>(entered above)</t>
    </r>
  </si>
  <si>
    <t>t-critical has area outside CI = alpha if Ha has not equal, and 2alpha for &lt;,&gt;</t>
  </si>
  <si>
    <t>Ordinary Outlier:</t>
  </si>
  <si>
    <t>FenceL=</t>
  </si>
  <si>
    <t>FenceU=</t>
  </si>
  <si>
    <t>Extreme Outlier:</t>
  </si>
  <si>
    <t>Low=</t>
  </si>
  <si>
    <t>Up=</t>
  </si>
  <si>
    <t>Enter numbers in WHITE CELLS.  Answer appears in colored cell.</t>
  </si>
  <si>
    <t>Prediction:</t>
  </si>
  <si>
    <t>Given x=</t>
  </si>
  <si>
    <t>xbar</t>
  </si>
  <si>
    <t>sx</t>
  </si>
  <si>
    <t>ybar</t>
  </si>
  <si>
    <t>sy</t>
  </si>
  <si>
    <t>r</t>
  </si>
  <si>
    <t>intercept (b0)</t>
  </si>
  <si>
    <t>slope (b1)</t>
  </si>
  <si>
    <t>Then, y =</t>
  </si>
  <si>
    <t>Correlation:</t>
  </si>
  <si>
    <t>Least Squares Regression Line:</t>
  </si>
  <si>
    <t>x (Explanatory)</t>
  </si>
  <si>
    <t>y (Response)</t>
  </si>
  <si>
    <t>Errors</t>
  </si>
  <si>
    <t>r =</t>
  </si>
  <si>
    <t>y=</t>
  </si>
  <si>
    <t>b1</t>
  </si>
  <si>
    <t>+/- b0</t>
  </si>
  <si>
    <t>xbar =</t>
  </si>
  <si>
    <t>sx =</t>
  </si>
  <si>
    <t>ybar =</t>
  </si>
  <si>
    <r>
      <t>R</t>
    </r>
    <r>
      <rPr>
        <vertAlign val="superscript"/>
        <sz val="12"/>
        <color indexed="8"/>
        <rFont val="Calibri"/>
        <family val="2"/>
      </rPr>
      <t xml:space="preserve">2 </t>
    </r>
    <r>
      <rPr>
        <sz val="12"/>
        <color indexed="8"/>
        <rFont val="Calibri"/>
        <family val="2"/>
      </rPr>
      <t>=</t>
    </r>
  </si>
  <si>
    <t>sy =</t>
  </si>
  <si>
    <t>Given an x=</t>
  </si>
  <si>
    <t>Sum e =</t>
  </si>
  <si>
    <t>SUMMARY GIVEN</t>
  </si>
  <si>
    <t>DATA GIVEN</t>
  </si>
  <si>
    <t>P(X = k)</t>
  </si>
  <si>
    <t>X = k</t>
  </si>
  <si>
    <t>p=</t>
  </si>
  <si>
    <t xml:space="preserve">P(X = k) = </t>
  </si>
  <si>
    <t>Binomial Sheet:</t>
  </si>
  <si>
    <t>Prob(first event)</t>
  </si>
  <si>
    <t>1st</t>
  </si>
  <si>
    <t>WORDS for 1st</t>
  </si>
  <si>
    <t>P(second event | first event )</t>
  </si>
  <si>
    <t>2nd</t>
  </si>
  <si>
    <t>WORDS for 2nd</t>
  </si>
  <si>
    <t>P(First AND Second)</t>
  </si>
  <si>
    <t>P(A)=</t>
  </si>
  <si>
    <t>b</t>
  </si>
  <si>
    <t>g</t>
  </si>
  <si>
    <t>d</t>
  </si>
  <si>
    <t>sum = 1?</t>
  </si>
  <si>
    <t>P(B)=</t>
  </si>
  <si>
    <t>P(C)=</t>
  </si>
  <si>
    <t>P(D)=</t>
  </si>
  <si>
    <t>sum=1?</t>
  </si>
  <si>
    <t>CALCULATIONS examples:</t>
  </si>
  <si>
    <t>P(2nd)=</t>
  </si>
  <si>
    <t>Add all ANDs of appropirate 2nd event</t>
  </si>
  <si>
    <t>P(1st|2nd)=</t>
  </si>
  <si>
    <t>Bayes Rule = P(1st AND 2nd) / P(2nd)</t>
  </si>
  <si>
    <r>
      <t>P(</t>
    </r>
    <r>
      <rPr>
        <sz val="11"/>
        <color indexed="8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|A)=</t>
    </r>
  </si>
  <si>
    <r>
      <t>P(</t>
    </r>
    <r>
      <rPr>
        <sz val="11"/>
        <color indexed="8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|A)=</t>
    </r>
  </si>
  <si>
    <r>
      <t>P(</t>
    </r>
    <r>
      <rPr>
        <sz val="11"/>
        <color indexed="8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|A)=</t>
    </r>
  </si>
  <si>
    <r>
      <t>P(</t>
    </r>
    <r>
      <rPr>
        <sz val="11"/>
        <color indexed="8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|A)=</t>
    </r>
  </si>
  <si>
    <r>
      <t>P(</t>
    </r>
    <r>
      <rPr>
        <sz val="11"/>
        <color indexed="8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|B)=</t>
    </r>
  </si>
  <si>
    <r>
      <t>P(</t>
    </r>
    <r>
      <rPr>
        <sz val="11"/>
        <color indexed="8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|B)=</t>
    </r>
  </si>
  <si>
    <r>
      <t>P(</t>
    </r>
    <r>
      <rPr>
        <sz val="11"/>
        <color indexed="8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|B)=</t>
    </r>
  </si>
  <si>
    <r>
      <t>P(</t>
    </r>
    <r>
      <rPr>
        <sz val="11"/>
        <color indexed="8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|B)=</t>
    </r>
  </si>
  <si>
    <r>
      <t>P(</t>
    </r>
    <r>
      <rPr>
        <sz val="11"/>
        <color indexed="8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|C)=</t>
    </r>
  </si>
  <si>
    <r>
      <t>P(</t>
    </r>
    <r>
      <rPr>
        <sz val="11"/>
        <color indexed="8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|C)=</t>
    </r>
  </si>
  <si>
    <r>
      <t>P(</t>
    </r>
    <r>
      <rPr>
        <sz val="11"/>
        <color indexed="8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|C)=</t>
    </r>
  </si>
  <si>
    <r>
      <t>P(</t>
    </r>
    <r>
      <rPr>
        <sz val="11"/>
        <color indexed="8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|C)=</t>
    </r>
  </si>
  <si>
    <r>
      <t>P(</t>
    </r>
    <r>
      <rPr>
        <sz val="11"/>
        <color indexed="8"/>
        <rFont val="Symbol"/>
        <family val="1"/>
        <charset val="2"/>
      </rPr>
      <t>a</t>
    </r>
    <r>
      <rPr>
        <sz val="11"/>
        <color theme="1"/>
        <rFont val="Calibri"/>
        <family val="2"/>
        <scheme val="minor"/>
      </rPr>
      <t>|D)=</t>
    </r>
  </si>
  <si>
    <r>
      <t>P(</t>
    </r>
    <r>
      <rPr>
        <sz val="11"/>
        <color indexed="8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|D)=</t>
    </r>
  </si>
  <si>
    <r>
      <t>P(</t>
    </r>
    <r>
      <rPr>
        <sz val="11"/>
        <color indexed="8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|D)=</t>
    </r>
  </si>
  <si>
    <r>
      <t>P(</t>
    </r>
    <r>
      <rPr>
        <sz val="11"/>
        <color indexed="8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|D)=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</si>
</sst>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General;[Red]\-General"/>
  </numFmts>
  <fonts count="3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Symbol"/>
      <family val="1"/>
      <charset val="2"/>
    </font>
    <font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Symbol"/>
      <family val="1"/>
      <charset val="2"/>
    </font>
    <font>
      <vertAlign val="subscript"/>
      <sz val="11"/>
      <name val="Arial"/>
      <family val="2"/>
    </font>
    <font>
      <vertAlign val="subscript"/>
      <sz val="11"/>
      <name val="Symbol"/>
      <family val="1"/>
      <charset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vertAlign val="subscript"/>
      <sz val="11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4"/>
      <name val="Arial"/>
      <family val="2"/>
    </font>
    <font>
      <b/>
      <sz val="11"/>
      <name val="Symbol"/>
      <family val="1"/>
      <charset val="2"/>
    </font>
    <font>
      <vertAlign val="subscript"/>
      <sz val="11"/>
      <color indexed="8"/>
      <name val="Arial"/>
      <family val="2"/>
    </font>
    <font>
      <sz val="11"/>
      <name val="Calibri"/>
      <family val="2"/>
    </font>
    <font>
      <vertAlign val="subscript"/>
      <sz val="11"/>
      <color indexed="8"/>
      <name val="Calibri"/>
      <family val="2"/>
    </font>
    <font>
      <vertAlign val="subscript"/>
      <sz val="11"/>
      <color indexed="8"/>
      <name val="Symbol"/>
      <family val="1"/>
      <charset val="2"/>
    </font>
    <font>
      <sz val="10"/>
      <name val="Symbol"/>
      <family val="1"/>
      <charset val="2"/>
    </font>
    <font>
      <vertAlign val="superscript"/>
      <sz val="10"/>
      <name val="Symbol"/>
      <family val="1"/>
      <charset val="2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vertAlign val="superscript"/>
      <sz val="12"/>
      <color indexed="8"/>
      <name val="Calibri"/>
      <family val="2"/>
    </font>
    <font>
      <sz val="12"/>
      <color indexed="8"/>
      <name val="Calibri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82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0" xfId="0" applyFont="1"/>
    <xf numFmtId="0" fontId="4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3" fillId="2" borderId="9" xfId="0" applyFont="1" applyFill="1" applyBorder="1" applyAlignment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3" fillId="7" borderId="9" xfId="0" applyFont="1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0" fillId="2" borderId="10" xfId="0" applyFont="1" applyFill="1" applyBorder="1"/>
    <xf numFmtId="0" fontId="11" fillId="0" borderId="0" xfId="0" applyFont="1"/>
    <xf numFmtId="0" fontId="9" fillId="2" borderId="0" xfId="0" applyFont="1" applyFill="1"/>
    <xf numFmtId="0" fontId="9" fillId="4" borderId="11" xfId="0" applyFont="1" applyFill="1" applyBorder="1"/>
    <xf numFmtId="0" fontId="9" fillId="4" borderId="12" xfId="0" applyFont="1" applyFill="1" applyBorder="1"/>
    <xf numFmtId="0" fontId="9" fillId="4" borderId="13" xfId="0" applyFont="1" applyFill="1" applyBorder="1"/>
    <xf numFmtId="0" fontId="9" fillId="4" borderId="14" xfId="0" applyFont="1" applyFill="1" applyBorder="1"/>
    <xf numFmtId="0" fontId="9" fillId="4" borderId="15" xfId="0" applyFont="1" applyFill="1" applyBorder="1" applyAlignment="1">
      <alignment horizontal="right"/>
    </xf>
    <xf numFmtId="0" fontId="9" fillId="4" borderId="15" xfId="0" applyFont="1" applyFill="1" applyBorder="1"/>
    <xf numFmtId="0" fontId="9" fillId="4" borderId="16" xfId="0" applyFont="1" applyFill="1" applyBorder="1"/>
    <xf numFmtId="0" fontId="9" fillId="5" borderId="0" xfId="0" applyFont="1" applyFill="1"/>
    <xf numFmtId="0" fontId="9" fillId="8" borderId="0" xfId="0" applyFont="1" applyFill="1"/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11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7" fillId="0" borderId="0" xfId="0" applyFont="1"/>
    <xf numFmtId="0" fontId="18" fillId="0" borderId="0" xfId="0" applyFont="1" applyAlignment="1">
      <alignment horizontal="left"/>
    </xf>
    <xf numFmtId="0" fontId="9" fillId="0" borderId="0" xfId="0" applyFont="1" applyFill="1"/>
    <xf numFmtId="0" fontId="10" fillId="0" borderId="0" xfId="0" applyFont="1" applyFill="1"/>
    <xf numFmtId="0" fontId="17" fillId="0" borderId="0" xfId="0" applyFont="1" applyFill="1"/>
    <xf numFmtId="0" fontId="19" fillId="0" borderId="0" xfId="0" applyFont="1"/>
    <xf numFmtId="0" fontId="3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9" fillId="4" borderId="0" xfId="0" applyFont="1" applyFill="1"/>
    <xf numFmtId="0" fontId="8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2" fillId="9" borderId="6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2" fillId="0" borderId="0" xfId="0" applyFont="1"/>
    <xf numFmtId="0" fontId="0" fillId="10" borderId="0" xfId="0" applyFill="1"/>
    <xf numFmtId="0" fontId="0" fillId="0" borderId="8" xfId="0" applyBorder="1" applyAlignment="1">
      <alignment horizontal="center"/>
    </xf>
    <xf numFmtId="0" fontId="4" fillId="0" borderId="0" xfId="0" applyFont="1" applyFill="1"/>
    <xf numFmtId="0" fontId="0" fillId="12" borderId="8" xfId="0" applyFill="1" applyBorder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0" fillId="14" borderId="0" xfId="0" applyFill="1"/>
    <xf numFmtId="0" fontId="0" fillId="12" borderId="8" xfId="0" applyFill="1" applyBorder="1"/>
    <xf numFmtId="0" fontId="4" fillId="0" borderId="0" xfId="0" applyFont="1" applyAlignment="1">
      <alignment horizontal="center"/>
    </xf>
    <xf numFmtId="0" fontId="3" fillId="0" borderId="9" xfId="0" applyFont="1" applyFill="1" applyBorder="1" applyAlignment="1">
      <alignment horizontal="right"/>
    </xf>
    <xf numFmtId="0" fontId="0" fillId="11" borderId="17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8" fillId="0" borderId="9" xfId="0" applyFont="1" applyFill="1" applyBorder="1" applyAlignment="1">
      <alignment horizontal="right"/>
    </xf>
    <xf numFmtId="0" fontId="9" fillId="11" borderId="0" xfId="0" applyFont="1" applyFill="1"/>
    <xf numFmtId="0" fontId="9" fillId="15" borderId="0" xfId="0" applyFont="1" applyFill="1"/>
    <xf numFmtId="0" fontId="0" fillId="15" borderId="0" xfId="0" applyFill="1"/>
    <xf numFmtId="0" fontId="0" fillId="0" borderId="0" xfId="0" applyFill="1" applyAlignment="1">
      <alignment horizontal="right"/>
    </xf>
    <xf numFmtId="0" fontId="8" fillId="0" borderId="0" xfId="0" applyFont="1" applyAlignment="1">
      <alignment horizontal="right"/>
    </xf>
    <xf numFmtId="0" fontId="0" fillId="16" borderId="8" xfId="0" applyFill="1" applyBorder="1" applyAlignment="1">
      <alignment horizontal="center"/>
    </xf>
    <xf numFmtId="0" fontId="0" fillId="16" borderId="8" xfId="0" applyFill="1" applyBorder="1"/>
    <xf numFmtId="0" fontId="0" fillId="0" borderId="9" xfId="0" applyBorder="1"/>
    <xf numFmtId="0" fontId="0" fillId="11" borderId="1" xfId="0" applyFill="1" applyBorder="1"/>
    <xf numFmtId="0" fontId="29" fillId="0" borderId="9" xfId="0" applyFont="1" applyBorder="1"/>
    <xf numFmtId="0" fontId="29" fillId="0" borderId="0" xfId="0" applyFont="1"/>
    <xf numFmtId="0" fontId="29" fillId="0" borderId="0" xfId="0" applyFont="1" applyFill="1" applyBorder="1"/>
    <xf numFmtId="0" fontId="0" fillId="0" borderId="0" xfId="0" applyFont="1" applyFill="1" applyBorder="1"/>
    <xf numFmtId="0" fontId="0" fillId="11" borderId="0" xfId="0" applyFill="1"/>
    <xf numFmtId="0" fontId="27" fillId="0" borderId="0" xfId="0" applyFont="1"/>
    <xf numFmtId="0" fontId="27" fillId="11" borderId="0" xfId="0" applyFont="1" applyFill="1"/>
    <xf numFmtId="0" fontId="27" fillId="13" borderId="0" xfId="0" applyFont="1" applyFill="1"/>
    <xf numFmtId="0" fontId="27" fillId="17" borderId="0" xfId="0" applyFont="1" applyFill="1"/>
    <xf numFmtId="0" fontId="9" fillId="17" borderId="0" xfId="0" applyFont="1" applyFill="1"/>
    <xf numFmtId="0" fontId="27" fillId="18" borderId="0" xfId="0" applyFont="1" applyFill="1"/>
    <xf numFmtId="0" fontId="9" fillId="18" borderId="0" xfId="0" applyFont="1" applyFill="1"/>
    <xf numFmtId="0" fontId="29" fillId="0" borderId="0" xfId="0" applyFont="1" applyFill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Font="1" applyFill="1" applyBorder="1"/>
    <xf numFmtId="0" fontId="9" fillId="20" borderId="12" xfId="0" applyFont="1" applyFill="1" applyBorder="1"/>
    <xf numFmtId="0" fontId="0" fillId="2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0" borderId="0" xfId="0" applyAlignment="1">
      <alignment vertical="center" wrapText="1"/>
    </xf>
    <xf numFmtId="0" fontId="0" fillId="16" borderId="8" xfId="0" applyFont="1" applyFill="1" applyBorder="1"/>
    <xf numFmtId="0" fontId="0" fillId="16" borderId="0" xfId="0" applyFont="1" applyFill="1"/>
    <xf numFmtId="0" fontId="0" fillId="16" borderId="0" xfId="0" applyFill="1"/>
    <xf numFmtId="0" fontId="28" fillId="16" borderId="18" xfId="0" applyFont="1" applyFill="1" applyBorder="1" applyAlignment="1">
      <alignment horizontal="center"/>
    </xf>
    <xf numFmtId="0" fontId="6" fillId="14" borderId="0" xfId="0" applyFont="1" applyFill="1"/>
    <xf numFmtId="0" fontId="30" fillId="14" borderId="0" xfId="0" applyFont="1" applyFill="1"/>
    <xf numFmtId="0" fontId="30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30" fillId="21" borderId="8" xfId="0" applyFont="1" applyFill="1" applyBorder="1"/>
    <xf numFmtId="0" fontId="30" fillId="19" borderId="8" xfId="0" applyFont="1" applyFill="1" applyBorder="1"/>
    <xf numFmtId="0" fontId="30" fillId="0" borderId="8" xfId="0" applyFont="1" applyBorder="1"/>
    <xf numFmtId="0" fontId="30" fillId="22" borderId="8" xfId="0" applyFont="1" applyFill="1" applyBorder="1"/>
    <xf numFmtId="0" fontId="30" fillId="23" borderId="8" xfId="0" applyFont="1" applyFill="1" applyBorder="1"/>
    <xf numFmtId="0" fontId="30" fillId="24" borderId="8" xfId="0" applyFont="1" applyFill="1" applyBorder="1"/>
    <xf numFmtId="0" fontId="30" fillId="25" borderId="8" xfId="0" applyFont="1" applyFill="1" applyBorder="1"/>
    <xf numFmtId="0" fontId="30" fillId="26" borderId="8" xfId="0" applyFont="1" applyFill="1" applyBorder="1"/>
    <xf numFmtId="0" fontId="30" fillId="0" borderId="4" xfId="0" applyFont="1" applyFill="1" applyBorder="1"/>
    <xf numFmtId="0" fontId="30" fillId="27" borderId="8" xfId="0" applyFont="1" applyFill="1" applyBorder="1"/>
    <xf numFmtId="0" fontId="30" fillId="28" borderId="8" xfId="0" applyFont="1" applyFill="1" applyBorder="1"/>
    <xf numFmtId="0" fontId="30" fillId="29" borderId="8" xfId="0" applyFont="1" applyFill="1" applyBorder="1"/>
    <xf numFmtId="0" fontId="30" fillId="18" borderId="8" xfId="0" applyFont="1" applyFill="1" applyBorder="1"/>
    <xf numFmtId="0" fontId="7" fillId="0" borderId="0" xfId="0" applyFont="1"/>
    <xf numFmtId="0" fontId="30" fillId="13" borderId="0" xfId="0" applyFont="1" applyFill="1"/>
    <xf numFmtId="0" fontId="30" fillId="13" borderId="0" xfId="0" applyFont="1" applyFill="1" applyAlignment="1">
      <alignment horizontal="right"/>
    </xf>
    <xf numFmtId="0" fontId="30" fillId="13" borderId="0" xfId="0" applyFont="1" applyFill="1" applyAlignment="1">
      <alignment horizontal="center"/>
    </xf>
    <xf numFmtId="49" fontId="6" fillId="13" borderId="0" xfId="0" applyNumberFormat="1" applyFont="1" applyFill="1" applyAlignment="1">
      <alignment horizontal="center"/>
    </xf>
    <xf numFmtId="0" fontId="30" fillId="12" borderId="8" xfId="0" applyFont="1" applyFill="1" applyBorder="1"/>
    <xf numFmtId="164" fontId="30" fillId="0" borderId="0" xfId="0" applyNumberFormat="1" applyFont="1"/>
    <xf numFmtId="0" fontId="7" fillId="13" borderId="0" xfId="0" applyFont="1" applyFill="1" applyAlignment="1">
      <alignment horizontal="right"/>
    </xf>
    <xf numFmtId="0" fontId="7" fillId="13" borderId="0" xfId="0" applyFont="1" applyFill="1"/>
    <xf numFmtId="0" fontId="7" fillId="13" borderId="0" xfId="0" applyFont="1" applyFill="1" applyAlignment="1">
      <alignment horizontal="center"/>
    </xf>
    <xf numFmtId="164" fontId="7" fillId="13" borderId="0" xfId="0" applyNumberFormat="1" applyFont="1" applyFill="1"/>
    <xf numFmtId="0" fontId="30" fillId="0" borderId="0" xfId="0" applyFont="1" applyAlignment="1">
      <alignment horizontal="center"/>
    </xf>
    <xf numFmtId="0" fontId="6" fillId="0" borderId="11" xfId="0" applyFont="1" applyBorder="1"/>
    <xf numFmtId="0" fontId="30" fillId="0" borderId="13" xfId="0" applyFont="1" applyBorder="1"/>
    <xf numFmtId="0" fontId="6" fillId="0" borderId="20" xfId="0" applyFont="1" applyBorder="1" applyAlignment="1">
      <alignment horizontal="right"/>
    </xf>
    <xf numFmtId="0" fontId="30" fillId="0" borderId="21" xfId="0" applyFont="1" applyBorder="1"/>
    <xf numFmtId="0" fontId="6" fillId="0" borderId="14" xfId="0" applyFont="1" applyBorder="1" applyAlignment="1">
      <alignment horizontal="right"/>
    </xf>
    <xf numFmtId="164" fontId="30" fillId="11" borderId="16" xfId="0" applyNumberFormat="1" applyFont="1" applyFill="1" applyBorder="1"/>
    <xf numFmtId="0" fontId="33" fillId="0" borderId="0" xfId="0" applyFont="1"/>
    <xf numFmtId="0" fontId="34" fillId="0" borderId="0" xfId="0" applyFont="1"/>
    <xf numFmtId="0" fontId="30" fillId="0" borderId="10" xfId="0" applyFont="1" applyFill="1" applyBorder="1"/>
    <xf numFmtId="0" fontId="0" fillId="0" borderId="0" xfId="0" applyAlignment="1">
      <alignment horizontal="right" vertical="center"/>
    </xf>
    <xf numFmtId="0" fontId="14" fillId="19" borderId="0" xfId="0" applyFont="1" applyFill="1" applyAlignment="1">
      <alignment horizontal="center" vertical="center" wrapText="1"/>
    </xf>
    <xf numFmtId="0" fontId="9" fillId="5" borderId="0" xfId="0" applyFont="1" applyFill="1"/>
    <xf numFmtId="0" fontId="9" fillId="8" borderId="0" xfId="0" applyFont="1" applyFill="1"/>
    <xf numFmtId="0" fontId="9" fillId="0" borderId="0" xfId="0" applyFont="1" applyFill="1"/>
    <xf numFmtId="0" fontId="0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0" fillId="17" borderId="0" xfId="0" applyFill="1" applyAlignment="1">
      <alignment horizontal="right"/>
    </xf>
    <xf numFmtId="0" fontId="0" fillId="17" borderId="0" xfId="0" applyFill="1"/>
    <xf numFmtId="0" fontId="0" fillId="30" borderId="0" xfId="0" applyFill="1"/>
    <xf numFmtId="0" fontId="0" fillId="30" borderId="0" xfId="0" applyFill="1" applyAlignment="1">
      <alignment horizontal="center"/>
    </xf>
    <xf numFmtId="0" fontId="29" fillId="30" borderId="0" xfId="0" applyFont="1" applyFill="1" applyAlignment="1">
      <alignment horizontal="center"/>
    </xf>
  </cellXfs>
  <cellStyles count="1">
    <cellStyle name="Normal" xfId="0" builtinId="0"/>
  </cellStyles>
  <dxfs count="12"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79E-2"/>
          <c:y val="0"/>
          <c:w val="0.93888888888888955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317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[1]Sheet1!$A$1:$A$121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-2.5499999999999998</c:v>
                </c:pt>
                <c:pt idx="10">
                  <c:v>-2.5</c:v>
                </c:pt>
                <c:pt idx="11">
                  <c:v>-2.4500000000000002</c:v>
                </c:pt>
                <c:pt idx="12">
                  <c:v>-2.4</c:v>
                </c:pt>
                <c:pt idx="13">
                  <c:v>-2.35</c:v>
                </c:pt>
                <c:pt idx="14">
                  <c:v>-2.2999999999999998</c:v>
                </c:pt>
                <c:pt idx="15">
                  <c:v>-2.25</c:v>
                </c:pt>
                <c:pt idx="16">
                  <c:v>-2.2000000000000002</c:v>
                </c:pt>
                <c:pt idx="17">
                  <c:v>-2.15</c:v>
                </c:pt>
                <c:pt idx="18">
                  <c:v>-2.1</c:v>
                </c:pt>
                <c:pt idx="19">
                  <c:v>-2.0499999999999998</c:v>
                </c:pt>
                <c:pt idx="20">
                  <c:v>-2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-1.4500000000000099</c:v>
                </c:pt>
                <c:pt idx="32">
                  <c:v>-1.4000000000000099</c:v>
                </c:pt>
                <c:pt idx="33">
                  <c:v>-1.3500000000000101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-1.2000000000000099</c:v>
                </c:pt>
                <c:pt idx="37">
                  <c:v>-1.1500000000000099</c:v>
                </c:pt>
                <c:pt idx="38">
                  <c:v>-1.1000000000000101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-0.95000000000000995</c:v>
                </c:pt>
                <c:pt idx="42">
                  <c:v>-0.90000000000001001</c:v>
                </c:pt>
                <c:pt idx="43">
                  <c:v>-0.85000000000000997</c:v>
                </c:pt>
                <c:pt idx="44">
                  <c:v>-0.80000000000001004</c:v>
                </c:pt>
                <c:pt idx="45">
                  <c:v>-0.75000000000000999</c:v>
                </c:pt>
                <c:pt idx="46">
                  <c:v>-0.70000000000000995</c:v>
                </c:pt>
                <c:pt idx="47">
                  <c:v>-0.65000000000001001</c:v>
                </c:pt>
                <c:pt idx="48">
                  <c:v>-0.60000000000000997</c:v>
                </c:pt>
                <c:pt idx="49">
                  <c:v>-0.55000000000001004</c:v>
                </c:pt>
                <c:pt idx="50">
                  <c:v>-0.50000000000000999</c:v>
                </c:pt>
                <c:pt idx="51">
                  <c:v>-0.45000000000001</c:v>
                </c:pt>
                <c:pt idx="52">
                  <c:v>-0.40000000000001001</c:v>
                </c:pt>
                <c:pt idx="53">
                  <c:v>-0.35000000000001003</c:v>
                </c:pt>
                <c:pt idx="54">
                  <c:v>-0.30000000000000998</c:v>
                </c:pt>
                <c:pt idx="55">
                  <c:v>-0.25000000000000999</c:v>
                </c:pt>
                <c:pt idx="56">
                  <c:v>-0.20000000000001</c:v>
                </c:pt>
                <c:pt idx="57">
                  <c:v>-0.15000000000000999</c:v>
                </c:pt>
                <c:pt idx="58">
                  <c:v>-0.10000000000001</c:v>
                </c:pt>
                <c:pt idx="59">
                  <c:v>-5.0000000000010002E-2</c:v>
                </c:pt>
                <c:pt idx="60">
                  <c:v>-1.0214051826551401E-14</c:v>
                </c:pt>
                <c:pt idx="61">
                  <c:v>4.9999999999990101E-2</c:v>
                </c:pt>
                <c:pt idx="62">
                  <c:v>9.9999999999989903E-2</c:v>
                </c:pt>
                <c:pt idx="63">
                  <c:v>0.14999999999999</c:v>
                </c:pt>
                <c:pt idx="64">
                  <c:v>0.19999999999998999</c:v>
                </c:pt>
                <c:pt idx="65">
                  <c:v>0.24999999999999001</c:v>
                </c:pt>
                <c:pt idx="66">
                  <c:v>0.29999999999999</c:v>
                </c:pt>
                <c:pt idx="67">
                  <c:v>0.34999999999998999</c:v>
                </c:pt>
                <c:pt idx="68">
                  <c:v>0.39999999999998997</c:v>
                </c:pt>
                <c:pt idx="69">
                  <c:v>0.44999999999999002</c:v>
                </c:pt>
                <c:pt idx="70">
                  <c:v>0.49999999999999001</c:v>
                </c:pt>
                <c:pt idx="71">
                  <c:v>0.54999999999999005</c:v>
                </c:pt>
                <c:pt idx="72">
                  <c:v>0.59999999999998999</c:v>
                </c:pt>
                <c:pt idx="73">
                  <c:v>0.64999999999999003</c:v>
                </c:pt>
                <c:pt idx="74">
                  <c:v>0.69999999999998996</c:v>
                </c:pt>
                <c:pt idx="75">
                  <c:v>0.74999999999999001</c:v>
                </c:pt>
                <c:pt idx="76">
                  <c:v>0.79999999999999005</c:v>
                </c:pt>
                <c:pt idx="77">
                  <c:v>0.84999999999998999</c:v>
                </c:pt>
                <c:pt idx="78">
                  <c:v>0.89999999999999003</c:v>
                </c:pt>
                <c:pt idx="79">
                  <c:v>0.94999999999998996</c:v>
                </c:pt>
                <c:pt idx="80">
                  <c:v>0.99999999999999001</c:v>
                </c:pt>
                <c:pt idx="81">
                  <c:v>1.0499999999999901</c:v>
                </c:pt>
                <c:pt idx="82">
                  <c:v>1.0999999999999901</c:v>
                </c:pt>
                <c:pt idx="83">
                  <c:v>1.1499999999999899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1.2999999999999801</c:v>
                </c:pt>
                <c:pt idx="87">
                  <c:v>1.3499999999999801</c:v>
                </c:pt>
                <c:pt idx="88">
                  <c:v>1.3999999999999799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1.5499999999999801</c:v>
                </c:pt>
                <c:pt idx="92">
                  <c:v>1.5999999999999801</c:v>
                </c:pt>
                <c:pt idx="93">
                  <c:v>1.6499999999999799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1.7999999999999801</c:v>
                </c:pt>
                <c:pt idx="97">
                  <c:v>1.8499999999999801</c:v>
                </c:pt>
                <c:pt idx="98">
                  <c:v>1.8999999999999799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2.0499999999999798</c:v>
                </c:pt>
                <c:pt idx="102">
                  <c:v>2.0999999999999801</c:v>
                </c:pt>
                <c:pt idx="103">
                  <c:v>2.1499999999999799</c:v>
                </c:pt>
                <c:pt idx="104">
                  <c:v>2.1999999999999802</c:v>
                </c:pt>
                <c:pt idx="105">
                  <c:v>2.24999999999998</c:v>
                </c:pt>
                <c:pt idx="106">
                  <c:v>2.2999999999999798</c:v>
                </c:pt>
                <c:pt idx="107">
                  <c:v>2.3499999999999801</c:v>
                </c:pt>
                <c:pt idx="108">
                  <c:v>2.3999999999999799</c:v>
                </c:pt>
                <c:pt idx="109">
                  <c:v>2.4499999999999802</c:v>
                </c:pt>
                <c:pt idx="110">
                  <c:v>2.49999999999998</c:v>
                </c:pt>
                <c:pt idx="111">
                  <c:v>2.5499999999999798</c:v>
                </c:pt>
                <c:pt idx="112">
                  <c:v>2.5999999999999801</c:v>
                </c:pt>
                <c:pt idx="113">
                  <c:v>2.6499999999999799</c:v>
                </c:pt>
                <c:pt idx="114">
                  <c:v>2.6999999999999802</c:v>
                </c:pt>
                <c:pt idx="115">
                  <c:v>2.74999999999998</c:v>
                </c:pt>
                <c:pt idx="116">
                  <c:v>2.7999999999999798</c:v>
                </c:pt>
                <c:pt idx="117">
                  <c:v>2.8499999999999801</c:v>
                </c:pt>
                <c:pt idx="118">
                  <c:v>2.8999999999999799</c:v>
                </c:pt>
                <c:pt idx="119">
                  <c:v>2.9499999999999802</c:v>
                </c:pt>
                <c:pt idx="120">
                  <c:v>2.99999999999998</c:v>
                </c:pt>
              </c:numCache>
            </c:numRef>
          </c:xVal>
          <c:yVal>
            <c:numRef>
              <c:f>[1]Sheet1!$B$1:$B$121</c:f>
              <c:numCache>
                <c:formatCode>General</c:formatCode>
                <c:ptCount val="121"/>
                <c:pt idx="0">
                  <c:v>4.4318484119380067E-3</c:v>
                </c:pt>
                <c:pt idx="1">
                  <c:v>5.1426409230539384E-3</c:v>
                </c:pt>
                <c:pt idx="2">
                  <c:v>5.9525324197758529E-3</c:v>
                </c:pt>
                <c:pt idx="3">
                  <c:v>6.8727666906139694E-3</c:v>
                </c:pt>
                <c:pt idx="4">
                  <c:v>7.9154515829799668E-3</c:v>
                </c:pt>
                <c:pt idx="5">
                  <c:v>9.0935625015910512E-3</c:v>
                </c:pt>
                <c:pt idx="6">
                  <c:v>1.042093481442259E-2</c:v>
                </c:pt>
                <c:pt idx="7">
                  <c:v>1.1912243607605177E-2</c:v>
                </c:pt>
                <c:pt idx="8">
                  <c:v>1.3582969233685611E-2</c:v>
                </c:pt>
                <c:pt idx="9">
                  <c:v>1.5449347134395173E-2</c:v>
                </c:pt>
                <c:pt idx="10">
                  <c:v>1.7528300493568537E-2</c:v>
                </c:pt>
                <c:pt idx="11">
                  <c:v>1.9837354391795309E-2</c:v>
                </c:pt>
                <c:pt idx="12">
                  <c:v>2.2394530294842896E-2</c:v>
                </c:pt>
                <c:pt idx="13">
                  <c:v>2.5218219915194379E-2</c:v>
                </c:pt>
                <c:pt idx="14">
                  <c:v>2.8327037741601183E-2</c:v>
                </c:pt>
                <c:pt idx="15">
                  <c:v>3.1739651835667418E-2</c:v>
                </c:pt>
                <c:pt idx="16">
                  <c:v>3.5474592846231418E-2</c:v>
                </c:pt>
                <c:pt idx="17">
                  <c:v>3.9550041589370213E-2</c:v>
                </c:pt>
                <c:pt idx="18">
                  <c:v>4.3983595980427184E-2</c:v>
                </c:pt>
                <c:pt idx="19">
                  <c:v>4.8792018579182757E-2</c:v>
                </c:pt>
                <c:pt idx="20">
                  <c:v>5.3990966513188049E-2</c:v>
                </c:pt>
                <c:pt idx="21">
                  <c:v>5.9594706068816068E-2</c:v>
                </c:pt>
                <c:pt idx="22">
                  <c:v>6.5615814774676581E-2</c:v>
                </c:pt>
                <c:pt idx="23">
                  <c:v>7.2064874336217985E-2</c:v>
                </c:pt>
                <c:pt idx="24">
                  <c:v>7.8950158300894135E-2</c:v>
                </c:pt>
                <c:pt idx="25">
                  <c:v>8.6277318826511518E-2</c:v>
                </c:pt>
                <c:pt idx="26">
                  <c:v>9.4049077376886933E-2</c:v>
                </c:pt>
                <c:pt idx="27">
                  <c:v>0.10226492456397802</c:v>
                </c:pt>
                <c:pt idx="28">
                  <c:v>0.11092083467945553</c:v>
                </c:pt>
                <c:pt idx="29">
                  <c:v>0.12000900069698373</c:v>
                </c:pt>
                <c:pt idx="30">
                  <c:v>0.12951759566588977</c:v>
                </c:pt>
                <c:pt idx="31">
                  <c:v>0.13943056644535826</c:v>
                </c:pt>
                <c:pt idx="32">
                  <c:v>0.14972746563574277</c:v>
                </c:pt>
                <c:pt idx="33">
                  <c:v>0.16038332734191738</c:v>
                </c:pt>
                <c:pt idx="34">
                  <c:v>0.17136859204780511</c:v>
                </c:pt>
                <c:pt idx="35">
                  <c:v>0.18264908538901961</c:v>
                </c:pt>
                <c:pt idx="36">
                  <c:v>0.19418605498321062</c:v>
                </c:pt>
                <c:pt idx="37">
                  <c:v>0.20593626871997237</c:v>
                </c:pt>
                <c:pt idx="38">
                  <c:v>0.21785217703254811</c:v>
                </c:pt>
                <c:pt idx="39">
                  <c:v>0.22988214068423057</c:v>
                </c:pt>
                <c:pt idx="40">
                  <c:v>0.2419707245191409</c:v>
                </c:pt>
                <c:pt idx="41">
                  <c:v>0.25405905646918658</c:v>
                </c:pt>
                <c:pt idx="42">
                  <c:v>0.26608524989875243</c:v>
                </c:pt>
                <c:pt idx="43">
                  <c:v>0.27798488613099409</c:v>
                </c:pt>
                <c:pt idx="44">
                  <c:v>0.2896915527614804</c:v>
                </c:pt>
                <c:pt idx="45">
                  <c:v>0.30113743215480215</c:v>
                </c:pt>
                <c:pt idx="46">
                  <c:v>0.31225393336675905</c:v>
                </c:pt>
                <c:pt idx="47">
                  <c:v>0.32297235966791216</c:v>
                </c:pt>
                <c:pt idx="48">
                  <c:v>0.33322460289179762</c:v>
                </c:pt>
                <c:pt idx="49">
                  <c:v>0.34294385501938196</c:v>
                </c:pt>
                <c:pt idx="50">
                  <c:v>0.35206532676429769</c:v>
                </c:pt>
                <c:pt idx="51">
                  <c:v>0.36052696246164628</c:v>
                </c:pt>
                <c:pt idx="52">
                  <c:v>0.36827014030332184</c:v>
                </c:pt>
                <c:pt idx="53">
                  <c:v>0.37524034691693653</c:v>
                </c:pt>
                <c:pt idx="54">
                  <c:v>0.38138781546052292</c:v>
                </c:pt>
                <c:pt idx="55">
                  <c:v>0.38666811680284824</c:v>
                </c:pt>
                <c:pt idx="56">
                  <c:v>0.3910426939754551</c:v>
                </c:pt>
                <c:pt idx="57">
                  <c:v>0.39447933090788828</c:v>
                </c:pt>
                <c:pt idx="58">
                  <c:v>0.39695254747701136</c:v>
                </c:pt>
                <c:pt idx="59">
                  <c:v>0.39844391409476376</c:v>
                </c:pt>
                <c:pt idx="60">
                  <c:v>0.39894228040143265</c:v>
                </c:pt>
                <c:pt idx="61">
                  <c:v>0.39844391409476415</c:v>
                </c:pt>
                <c:pt idx="62">
                  <c:v>0.39695254747701214</c:v>
                </c:pt>
                <c:pt idx="63">
                  <c:v>0.39447933090788945</c:v>
                </c:pt>
                <c:pt idx="64">
                  <c:v>0.3910426939754566</c:v>
                </c:pt>
                <c:pt idx="65">
                  <c:v>0.38666811680285013</c:v>
                </c:pt>
                <c:pt idx="66">
                  <c:v>0.38138781546052519</c:v>
                </c:pt>
                <c:pt idx="67">
                  <c:v>0.37524034691693914</c:v>
                </c:pt>
                <c:pt idx="68">
                  <c:v>0.36827014030332478</c:v>
                </c:pt>
                <c:pt idx="69">
                  <c:v>0.36052696246164956</c:v>
                </c:pt>
                <c:pt idx="70">
                  <c:v>0.35206532676430119</c:v>
                </c:pt>
                <c:pt idx="71">
                  <c:v>0.34294385501938573</c:v>
                </c:pt>
                <c:pt idx="72">
                  <c:v>0.33322460289180161</c:v>
                </c:pt>
                <c:pt idx="73">
                  <c:v>0.32297235966791632</c:v>
                </c:pt>
                <c:pt idx="74">
                  <c:v>0.31225393336676344</c:v>
                </c:pt>
                <c:pt idx="75">
                  <c:v>0.30113743215480665</c:v>
                </c:pt>
                <c:pt idx="76">
                  <c:v>0.289691552761485</c:v>
                </c:pt>
                <c:pt idx="77">
                  <c:v>0.27798488613099881</c:v>
                </c:pt>
                <c:pt idx="78">
                  <c:v>0.2660852498987572</c:v>
                </c:pt>
                <c:pt idx="79">
                  <c:v>0.25405905646919141</c:v>
                </c:pt>
                <c:pt idx="80">
                  <c:v>0.24197072451914578</c:v>
                </c:pt>
                <c:pt idx="81">
                  <c:v>0.2298821406842354</c:v>
                </c:pt>
                <c:pt idx="82">
                  <c:v>0.21785217703255291</c:v>
                </c:pt>
                <c:pt idx="83">
                  <c:v>0.20593626871997711</c:v>
                </c:pt>
                <c:pt idx="84">
                  <c:v>0.19418605498321526</c:v>
                </c:pt>
                <c:pt idx="85">
                  <c:v>0.18264908538902647</c:v>
                </c:pt>
                <c:pt idx="86">
                  <c:v>0.17136859204781177</c:v>
                </c:pt>
                <c:pt idx="87">
                  <c:v>0.1603833273419239</c:v>
                </c:pt>
                <c:pt idx="88">
                  <c:v>0.14972746563574904</c:v>
                </c:pt>
                <c:pt idx="89">
                  <c:v>0.13943056644536431</c:v>
                </c:pt>
                <c:pt idx="90">
                  <c:v>0.1295175956658956</c:v>
                </c:pt>
                <c:pt idx="91">
                  <c:v>0.1200090006969893</c:v>
                </c:pt>
                <c:pt idx="92">
                  <c:v>0.11092083467945907</c:v>
                </c:pt>
                <c:pt idx="93">
                  <c:v>0.10226492456398135</c:v>
                </c:pt>
                <c:pt idx="94">
                  <c:v>9.4049077376890125E-2</c:v>
                </c:pt>
                <c:pt idx="95">
                  <c:v>8.6277318826514529E-2</c:v>
                </c:pt>
                <c:pt idx="96">
                  <c:v>7.895015830089698E-2</c:v>
                </c:pt>
                <c:pt idx="97">
                  <c:v>7.2064874336220636E-2</c:v>
                </c:pt>
                <c:pt idx="98">
                  <c:v>6.5615814774679079E-2</c:v>
                </c:pt>
                <c:pt idx="99">
                  <c:v>5.9594706068818393E-2</c:v>
                </c:pt>
                <c:pt idx="100">
                  <c:v>5.3990966513190214E-2</c:v>
                </c:pt>
                <c:pt idx="101">
                  <c:v>4.8792018579184776E-2</c:v>
                </c:pt>
                <c:pt idx="102">
                  <c:v>4.3983595980429023E-2</c:v>
                </c:pt>
                <c:pt idx="103">
                  <c:v>3.955004158937192E-2</c:v>
                </c:pt>
                <c:pt idx="104">
                  <c:v>3.5474592846232979E-2</c:v>
                </c:pt>
                <c:pt idx="105">
                  <c:v>3.173965183566884E-2</c:v>
                </c:pt>
                <c:pt idx="106">
                  <c:v>2.832703774160248E-2</c:v>
                </c:pt>
                <c:pt idx="107">
                  <c:v>2.5218219915195562E-2</c:v>
                </c:pt>
                <c:pt idx="108">
                  <c:v>2.2394530294843971E-2</c:v>
                </c:pt>
                <c:pt idx="109">
                  <c:v>1.9837354391796288E-2</c:v>
                </c:pt>
                <c:pt idx="110">
                  <c:v>1.7528300493569408E-2</c:v>
                </c:pt>
                <c:pt idx="111">
                  <c:v>1.544934713439596E-2</c:v>
                </c:pt>
                <c:pt idx="112">
                  <c:v>1.3582969233686317E-2</c:v>
                </c:pt>
                <c:pt idx="113">
                  <c:v>1.1912243607605812E-2</c:v>
                </c:pt>
                <c:pt idx="114">
                  <c:v>1.0420934814423148E-2</c:v>
                </c:pt>
                <c:pt idx="115">
                  <c:v>9.0935625015915525E-3</c:v>
                </c:pt>
                <c:pt idx="116">
                  <c:v>7.9154515829804092E-3</c:v>
                </c:pt>
                <c:pt idx="117">
                  <c:v>6.8727666906143597E-3</c:v>
                </c:pt>
                <c:pt idx="118">
                  <c:v>5.9525324197762016E-3</c:v>
                </c:pt>
                <c:pt idx="119">
                  <c:v>5.1426409230542394E-3</c:v>
                </c:pt>
                <c:pt idx="120">
                  <c:v>4.4318484119382747E-3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627432"/>
        <c:axId val="314627824"/>
      </c:scatterChart>
      <c:valAx>
        <c:axId val="314627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4627824"/>
        <c:crosses val="autoZero"/>
        <c:crossBetween val="midCat"/>
      </c:valAx>
      <c:valAx>
        <c:axId val="3146278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14627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842519685039387E-3"/>
          <c:y val="0"/>
          <c:w val="0.93888888888888977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317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[1]Sheet1!$A$1:$A$121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-2.5499999999999998</c:v>
                </c:pt>
                <c:pt idx="10">
                  <c:v>-2.5</c:v>
                </c:pt>
                <c:pt idx="11">
                  <c:v>-2.4500000000000002</c:v>
                </c:pt>
                <c:pt idx="12">
                  <c:v>-2.4</c:v>
                </c:pt>
                <c:pt idx="13">
                  <c:v>-2.35</c:v>
                </c:pt>
                <c:pt idx="14">
                  <c:v>-2.2999999999999998</c:v>
                </c:pt>
                <c:pt idx="15">
                  <c:v>-2.25</c:v>
                </c:pt>
                <c:pt idx="16">
                  <c:v>-2.2000000000000002</c:v>
                </c:pt>
                <c:pt idx="17">
                  <c:v>-2.15</c:v>
                </c:pt>
                <c:pt idx="18">
                  <c:v>-2.1</c:v>
                </c:pt>
                <c:pt idx="19">
                  <c:v>-2.0499999999999998</c:v>
                </c:pt>
                <c:pt idx="20">
                  <c:v>-2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-1.4500000000000099</c:v>
                </c:pt>
                <c:pt idx="32">
                  <c:v>-1.4000000000000099</c:v>
                </c:pt>
                <c:pt idx="33">
                  <c:v>-1.3500000000000101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-1.2000000000000099</c:v>
                </c:pt>
                <c:pt idx="37">
                  <c:v>-1.1500000000000099</c:v>
                </c:pt>
                <c:pt idx="38">
                  <c:v>-1.1000000000000101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-0.95000000000000995</c:v>
                </c:pt>
                <c:pt idx="42">
                  <c:v>-0.90000000000001001</c:v>
                </c:pt>
                <c:pt idx="43">
                  <c:v>-0.85000000000000997</c:v>
                </c:pt>
                <c:pt idx="44">
                  <c:v>-0.80000000000001004</c:v>
                </c:pt>
                <c:pt idx="45">
                  <c:v>-0.75000000000000999</c:v>
                </c:pt>
                <c:pt idx="46">
                  <c:v>-0.70000000000000995</c:v>
                </c:pt>
                <c:pt idx="47">
                  <c:v>-0.65000000000001001</c:v>
                </c:pt>
                <c:pt idx="48">
                  <c:v>-0.60000000000000997</c:v>
                </c:pt>
                <c:pt idx="49">
                  <c:v>-0.55000000000001004</c:v>
                </c:pt>
                <c:pt idx="50">
                  <c:v>-0.50000000000000999</c:v>
                </c:pt>
                <c:pt idx="51">
                  <c:v>-0.45000000000001</c:v>
                </c:pt>
                <c:pt idx="52">
                  <c:v>-0.40000000000001001</c:v>
                </c:pt>
                <c:pt idx="53">
                  <c:v>-0.35000000000001003</c:v>
                </c:pt>
                <c:pt idx="54">
                  <c:v>-0.30000000000000998</c:v>
                </c:pt>
                <c:pt idx="55">
                  <c:v>-0.25000000000000999</c:v>
                </c:pt>
                <c:pt idx="56">
                  <c:v>-0.20000000000001</c:v>
                </c:pt>
                <c:pt idx="57">
                  <c:v>-0.15000000000000999</c:v>
                </c:pt>
                <c:pt idx="58">
                  <c:v>-0.10000000000001</c:v>
                </c:pt>
                <c:pt idx="59">
                  <c:v>-5.0000000000010002E-2</c:v>
                </c:pt>
                <c:pt idx="60">
                  <c:v>-1.0214051826551401E-14</c:v>
                </c:pt>
                <c:pt idx="61">
                  <c:v>4.9999999999990101E-2</c:v>
                </c:pt>
                <c:pt idx="62">
                  <c:v>9.9999999999989903E-2</c:v>
                </c:pt>
                <c:pt idx="63">
                  <c:v>0.14999999999999</c:v>
                </c:pt>
                <c:pt idx="64">
                  <c:v>0.19999999999998999</c:v>
                </c:pt>
                <c:pt idx="65">
                  <c:v>0.24999999999999001</c:v>
                </c:pt>
                <c:pt idx="66">
                  <c:v>0.29999999999999</c:v>
                </c:pt>
                <c:pt idx="67">
                  <c:v>0.34999999999998999</c:v>
                </c:pt>
                <c:pt idx="68">
                  <c:v>0.39999999999998997</c:v>
                </c:pt>
                <c:pt idx="69">
                  <c:v>0.44999999999999002</c:v>
                </c:pt>
                <c:pt idx="70">
                  <c:v>0.49999999999999001</c:v>
                </c:pt>
                <c:pt idx="71">
                  <c:v>0.54999999999999005</c:v>
                </c:pt>
                <c:pt idx="72">
                  <c:v>0.59999999999998999</c:v>
                </c:pt>
                <c:pt idx="73">
                  <c:v>0.64999999999999003</c:v>
                </c:pt>
                <c:pt idx="74">
                  <c:v>0.69999999999998996</c:v>
                </c:pt>
                <c:pt idx="75">
                  <c:v>0.74999999999999001</c:v>
                </c:pt>
                <c:pt idx="76">
                  <c:v>0.79999999999999005</c:v>
                </c:pt>
                <c:pt idx="77">
                  <c:v>0.84999999999998999</c:v>
                </c:pt>
                <c:pt idx="78">
                  <c:v>0.89999999999999003</c:v>
                </c:pt>
                <c:pt idx="79">
                  <c:v>0.94999999999998996</c:v>
                </c:pt>
                <c:pt idx="80">
                  <c:v>0.99999999999999001</c:v>
                </c:pt>
                <c:pt idx="81">
                  <c:v>1.0499999999999901</c:v>
                </c:pt>
                <c:pt idx="82">
                  <c:v>1.0999999999999901</c:v>
                </c:pt>
                <c:pt idx="83">
                  <c:v>1.1499999999999899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1.2999999999999801</c:v>
                </c:pt>
                <c:pt idx="87">
                  <c:v>1.3499999999999801</c:v>
                </c:pt>
                <c:pt idx="88">
                  <c:v>1.3999999999999799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1.5499999999999801</c:v>
                </c:pt>
                <c:pt idx="92">
                  <c:v>1.5999999999999801</c:v>
                </c:pt>
                <c:pt idx="93">
                  <c:v>1.6499999999999799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1.7999999999999801</c:v>
                </c:pt>
                <c:pt idx="97">
                  <c:v>1.8499999999999801</c:v>
                </c:pt>
                <c:pt idx="98">
                  <c:v>1.8999999999999799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2.0499999999999798</c:v>
                </c:pt>
                <c:pt idx="102">
                  <c:v>2.0999999999999801</c:v>
                </c:pt>
                <c:pt idx="103">
                  <c:v>2.1499999999999799</c:v>
                </c:pt>
                <c:pt idx="104">
                  <c:v>2.1999999999999802</c:v>
                </c:pt>
                <c:pt idx="105">
                  <c:v>2.24999999999998</c:v>
                </c:pt>
                <c:pt idx="106">
                  <c:v>2.2999999999999798</c:v>
                </c:pt>
                <c:pt idx="107">
                  <c:v>2.3499999999999801</c:v>
                </c:pt>
                <c:pt idx="108">
                  <c:v>2.3999999999999799</c:v>
                </c:pt>
                <c:pt idx="109">
                  <c:v>2.4499999999999802</c:v>
                </c:pt>
                <c:pt idx="110">
                  <c:v>2.49999999999998</c:v>
                </c:pt>
                <c:pt idx="111">
                  <c:v>2.5499999999999798</c:v>
                </c:pt>
                <c:pt idx="112">
                  <c:v>2.5999999999999801</c:v>
                </c:pt>
                <c:pt idx="113">
                  <c:v>2.6499999999999799</c:v>
                </c:pt>
                <c:pt idx="114">
                  <c:v>2.6999999999999802</c:v>
                </c:pt>
                <c:pt idx="115">
                  <c:v>2.74999999999998</c:v>
                </c:pt>
                <c:pt idx="116">
                  <c:v>2.7999999999999798</c:v>
                </c:pt>
                <c:pt idx="117">
                  <c:v>2.8499999999999801</c:v>
                </c:pt>
                <c:pt idx="118">
                  <c:v>2.8999999999999799</c:v>
                </c:pt>
                <c:pt idx="119">
                  <c:v>2.9499999999999802</c:v>
                </c:pt>
                <c:pt idx="120">
                  <c:v>2.99999999999998</c:v>
                </c:pt>
              </c:numCache>
            </c:numRef>
          </c:xVal>
          <c:yVal>
            <c:numRef>
              <c:f>[1]Sheet1!$B$1:$B$121</c:f>
              <c:numCache>
                <c:formatCode>General</c:formatCode>
                <c:ptCount val="121"/>
                <c:pt idx="0">
                  <c:v>4.4318484119380067E-3</c:v>
                </c:pt>
                <c:pt idx="1">
                  <c:v>5.1426409230539384E-3</c:v>
                </c:pt>
                <c:pt idx="2">
                  <c:v>5.9525324197758529E-3</c:v>
                </c:pt>
                <c:pt idx="3">
                  <c:v>6.8727666906139694E-3</c:v>
                </c:pt>
                <c:pt idx="4">
                  <c:v>7.9154515829799668E-3</c:v>
                </c:pt>
                <c:pt idx="5">
                  <c:v>9.0935625015910512E-3</c:v>
                </c:pt>
                <c:pt idx="6">
                  <c:v>1.042093481442259E-2</c:v>
                </c:pt>
                <c:pt idx="7">
                  <c:v>1.1912243607605177E-2</c:v>
                </c:pt>
                <c:pt idx="8">
                  <c:v>1.3582969233685611E-2</c:v>
                </c:pt>
                <c:pt idx="9">
                  <c:v>1.5449347134395173E-2</c:v>
                </c:pt>
                <c:pt idx="10">
                  <c:v>1.7528300493568537E-2</c:v>
                </c:pt>
                <c:pt idx="11">
                  <c:v>1.9837354391795309E-2</c:v>
                </c:pt>
                <c:pt idx="12">
                  <c:v>2.2394530294842896E-2</c:v>
                </c:pt>
                <c:pt idx="13">
                  <c:v>2.5218219915194379E-2</c:v>
                </c:pt>
                <c:pt idx="14">
                  <c:v>2.8327037741601183E-2</c:v>
                </c:pt>
                <c:pt idx="15">
                  <c:v>3.1739651835667418E-2</c:v>
                </c:pt>
                <c:pt idx="16">
                  <c:v>3.5474592846231418E-2</c:v>
                </c:pt>
                <c:pt idx="17">
                  <c:v>3.9550041589370213E-2</c:v>
                </c:pt>
                <c:pt idx="18">
                  <c:v>4.3983595980427184E-2</c:v>
                </c:pt>
                <c:pt idx="19">
                  <c:v>4.8792018579182757E-2</c:v>
                </c:pt>
                <c:pt idx="20">
                  <c:v>5.3990966513188049E-2</c:v>
                </c:pt>
                <c:pt idx="21">
                  <c:v>5.9594706068816068E-2</c:v>
                </c:pt>
                <c:pt idx="22">
                  <c:v>6.5615814774676581E-2</c:v>
                </c:pt>
                <c:pt idx="23">
                  <c:v>7.2064874336217985E-2</c:v>
                </c:pt>
                <c:pt idx="24">
                  <c:v>7.8950158300894135E-2</c:v>
                </c:pt>
                <c:pt idx="25">
                  <c:v>8.6277318826511518E-2</c:v>
                </c:pt>
                <c:pt idx="26">
                  <c:v>9.4049077376886933E-2</c:v>
                </c:pt>
                <c:pt idx="27">
                  <c:v>0.10226492456397802</c:v>
                </c:pt>
                <c:pt idx="28">
                  <c:v>0.11092083467945553</c:v>
                </c:pt>
                <c:pt idx="29">
                  <c:v>0.12000900069698373</c:v>
                </c:pt>
                <c:pt idx="30">
                  <c:v>0.12951759566588977</c:v>
                </c:pt>
                <c:pt idx="31">
                  <c:v>0.13943056644535826</c:v>
                </c:pt>
                <c:pt idx="32">
                  <c:v>0.14972746563574277</c:v>
                </c:pt>
                <c:pt idx="33">
                  <c:v>0.16038332734191738</c:v>
                </c:pt>
                <c:pt idx="34">
                  <c:v>0.17136859204780511</c:v>
                </c:pt>
                <c:pt idx="35">
                  <c:v>0.18264908538901961</c:v>
                </c:pt>
                <c:pt idx="36">
                  <c:v>0.19418605498321062</c:v>
                </c:pt>
                <c:pt idx="37">
                  <c:v>0.20593626871997237</c:v>
                </c:pt>
                <c:pt idx="38">
                  <c:v>0.21785217703254811</c:v>
                </c:pt>
                <c:pt idx="39">
                  <c:v>0.22988214068423057</c:v>
                </c:pt>
                <c:pt idx="40">
                  <c:v>0.2419707245191409</c:v>
                </c:pt>
                <c:pt idx="41">
                  <c:v>0.25405905646918658</c:v>
                </c:pt>
                <c:pt idx="42">
                  <c:v>0.26608524989875243</c:v>
                </c:pt>
                <c:pt idx="43">
                  <c:v>0.27798488613099409</c:v>
                </c:pt>
                <c:pt idx="44">
                  <c:v>0.2896915527614804</c:v>
                </c:pt>
                <c:pt idx="45">
                  <c:v>0.30113743215480215</c:v>
                </c:pt>
                <c:pt idx="46">
                  <c:v>0.31225393336675905</c:v>
                </c:pt>
                <c:pt idx="47">
                  <c:v>0.32297235966791216</c:v>
                </c:pt>
                <c:pt idx="48">
                  <c:v>0.33322460289179762</c:v>
                </c:pt>
                <c:pt idx="49">
                  <c:v>0.34294385501938196</c:v>
                </c:pt>
                <c:pt idx="50">
                  <c:v>0.35206532676429769</c:v>
                </c:pt>
                <c:pt idx="51">
                  <c:v>0.36052696246164628</c:v>
                </c:pt>
                <c:pt idx="52">
                  <c:v>0.36827014030332184</c:v>
                </c:pt>
                <c:pt idx="53">
                  <c:v>0.37524034691693653</c:v>
                </c:pt>
                <c:pt idx="54">
                  <c:v>0.38138781546052292</c:v>
                </c:pt>
                <c:pt idx="55">
                  <c:v>0.38666811680284824</c:v>
                </c:pt>
                <c:pt idx="56">
                  <c:v>0.3910426939754551</c:v>
                </c:pt>
                <c:pt idx="57">
                  <c:v>0.39447933090788828</c:v>
                </c:pt>
                <c:pt idx="58">
                  <c:v>0.39695254747701136</c:v>
                </c:pt>
                <c:pt idx="59">
                  <c:v>0.39844391409476376</c:v>
                </c:pt>
                <c:pt idx="60">
                  <c:v>0.39894228040143265</c:v>
                </c:pt>
                <c:pt idx="61">
                  <c:v>0.39844391409476415</c:v>
                </c:pt>
                <c:pt idx="62">
                  <c:v>0.39695254747701214</c:v>
                </c:pt>
                <c:pt idx="63">
                  <c:v>0.39447933090788945</c:v>
                </c:pt>
                <c:pt idx="64">
                  <c:v>0.3910426939754566</c:v>
                </c:pt>
                <c:pt idx="65">
                  <c:v>0.38666811680285013</c:v>
                </c:pt>
                <c:pt idx="66">
                  <c:v>0.38138781546052519</c:v>
                </c:pt>
                <c:pt idx="67">
                  <c:v>0.37524034691693914</c:v>
                </c:pt>
                <c:pt idx="68">
                  <c:v>0.36827014030332478</c:v>
                </c:pt>
                <c:pt idx="69">
                  <c:v>0.36052696246164956</c:v>
                </c:pt>
                <c:pt idx="70">
                  <c:v>0.35206532676430119</c:v>
                </c:pt>
                <c:pt idx="71">
                  <c:v>0.34294385501938573</c:v>
                </c:pt>
                <c:pt idx="72">
                  <c:v>0.33322460289180161</c:v>
                </c:pt>
                <c:pt idx="73">
                  <c:v>0.32297235966791632</c:v>
                </c:pt>
                <c:pt idx="74">
                  <c:v>0.31225393336676344</c:v>
                </c:pt>
                <c:pt idx="75">
                  <c:v>0.30113743215480665</c:v>
                </c:pt>
                <c:pt idx="76">
                  <c:v>0.289691552761485</c:v>
                </c:pt>
                <c:pt idx="77">
                  <c:v>0.27798488613099881</c:v>
                </c:pt>
                <c:pt idx="78">
                  <c:v>0.2660852498987572</c:v>
                </c:pt>
                <c:pt idx="79">
                  <c:v>0.25405905646919141</c:v>
                </c:pt>
                <c:pt idx="80">
                  <c:v>0.24197072451914578</c:v>
                </c:pt>
                <c:pt idx="81">
                  <c:v>0.2298821406842354</c:v>
                </c:pt>
                <c:pt idx="82">
                  <c:v>0.21785217703255291</c:v>
                </c:pt>
                <c:pt idx="83">
                  <c:v>0.20593626871997711</c:v>
                </c:pt>
                <c:pt idx="84">
                  <c:v>0.19418605498321526</c:v>
                </c:pt>
                <c:pt idx="85">
                  <c:v>0.18264908538902647</c:v>
                </c:pt>
                <c:pt idx="86">
                  <c:v>0.17136859204781177</c:v>
                </c:pt>
                <c:pt idx="87">
                  <c:v>0.1603833273419239</c:v>
                </c:pt>
                <c:pt idx="88">
                  <c:v>0.14972746563574904</c:v>
                </c:pt>
                <c:pt idx="89">
                  <c:v>0.13943056644536431</c:v>
                </c:pt>
                <c:pt idx="90">
                  <c:v>0.1295175956658956</c:v>
                </c:pt>
                <c:pt idx="91">
                  <c:v>0.1200090006969893</c:v>
                </c:pt>
                <c:pt idx="92">
                  <c:v>0.11092083467945907</c:v>
                </c:pt>
                <c:pt idx="93">
                  <c:v>0.10226492456398135</c:v>
                </c:pt>
                <c:pt idx="94">
                  <c:v>9.4049077376890125E-2</c:v>
                </c:pt>
                <c:pt idx="95">
                  <c:v>8.6277318826514529E-2</c:v>
                </c:pt>
                <c:pt idx="96">
                  <c:v>7.895015830089698E-2</c:v>
                </c:pt>
                <c:pt idx="97">
                  <c:v>7.2064874336220636E-2</c:v>
                </c:pt>
                <c:pt idx="98">
                  <c:v>6.5615814774679079E-2</c:v>
                </c:pt>
                <c:pt idx="99">
                  <c:v>5.9594706068818393E-2</c:v>
                </c:pt>
                <c:pt idx="100">
                  <c:v>5.3990966513190214E-2</c:v>
                </c:pt>
                <c:pt idx="101">
                  <c:v>4.8792018579184776E-2</c:v>
                </c:pt>
                <c:pt idx="102">
                  <c:v>4.3983595980429023E-2</c:v>
                </c:pt>
                <c:pt idx="103">
                  <c:v>3.955004158937192E-2</c:v>
                </c:pt>
                <c:pt idx="104">
                  <c:v>3.5474592846232979E-2</c:v>
                </c:pt>
                <c:pt idx="105">
                  <c:v>3.173965183566884E-2</c:v>
                </c:pt>
                <c:pt idx="106">
                  <c:v>2.832703774160248E-2</c:v>
                </c:pt>
                <c:pt idx="107">
                  <c:v>2.5218219915195562E-2</c:v>
                </c:pt>
                <c:pt idx="108">
                  <c:v>2.2394530294843971E-2</c:v>
                </c:pt>
                <c:pt idx="109">
                  <c:v>1.9837354391796288E-2</c:v>
                </c:pt>
                <c:pt idx="110">
                  <c:v>1.7528300493569408E-2</c:v>
                </c:pt>
                <c:pt idx="111">
                  <c:v>1.544934713439596E-2</c:v>
                </c:pt>
                <c:pt idx="112">
                  <c:v>1.3582969233686317E-2</c:v>
                </c:pt>
                <c:pt idx="113">
                  <c:v>1.1912243607605812E-2</c:v>
                </c:pt>
                <c:pt idx="114">
                  <c:v>1.0420934814423148E-2</c:v>
                </c:pt>
                <c:pt idx="115">
                  <c:v>9.0935625015915525E-3</c:v>
                </c:pt>
                <c:pt idx="116">
                  <c:v>7.9154515829804092E-3</c:v>
                </c:pt>
                <c:pt idx="117">
                  <c:v>6.8727666906143597E-3</c:v>
                </c:pt>
                <c:pt idx="118">
                  <c:v>5.9525324197762016E-3</c:v>
                </c:pt>
                <c:pt idx="119">
                  <c:v>5.1426409230542394E-3</c:v>
                </c:pt>
                <c:pt idx="120">
                  <c:v>4.4318484119382747E-3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11656"/>
        <c:axId val="312912048"/>
      </c:scatterChart>
      <c:valAx>
        <c:axId val="312911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2912048"/>
        <c:crosses val="autoZero"/>
        <c:crossBetween val="midCat"/>
      </c:valAx>
      <c:valAx>
        <c:axId val="312912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12911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555555555555582E-2"/>
          <c:y val="0"/>
          <c:w val="0.93888888888888977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31750">
              <a:solidFill>
                <a:prstClr val="black"/>
              </a:solidFill>
            </a:ln>
          </c:spPr>
          <c:marker>
            <c:symbol val="none"/>
          </c:marker>
          <c:xVal>
            <c:numRef>
              <c:f>[1]Sheet1!$A$1:$A$121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-2.5499999999999998</c:v>
                </c:pt>
                <c:pt idx="10">
                  <c:v>-2.5</c:v>
                </c:pt>
                <c:pt idx="11">
                  <c:v>-2.4500000000000002</c:v>
                </c:pt>
                <c:pt idx="12">
                  <c:v>-2.4</c:v>
                </c:pt>
                <c:pt idx="13">
                  <c:v>-2.35</c:v>
                </c:pt>
                <c:pt idx="14">
                  <c:v>-2.2999999999999998</c:v>
                </c:pt>
                <c:pt idx="15">
                  <c:v>-2.25</c:v>
                </c:pt>
                <c:pt idx="16">
                  <c:v>-2.2000000000000002</c:v>
                </c:pt>
                <c:pt idx="17">
                  <c:v>-2.15</c:v>
                </c:pt>
                <c:pt idx="18">
                  <c:v>-2.1</c:v>
                </c:pt>
                <c:pt idx="19">
                  <c:v>-2.0499999999999998</c:v>
                </c:pt>
                <c:pt idx="20">
                  <c:v>-2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-1.4500000000000099</c:v>
                </c:pt>
                <c:pt idx="32">
                  <c:v>-1.4000000000000099</c:v>
                </c:pt>
                <c:pt idx="33">
                  <c:v>-1.3500000000000101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-1.2000000000000099</c:v>
                </c:pt>
                <c:pt idx="37">
                  <c:v>-1.1500000000000099</c:v>
                </c:pt>
                <c:pt idx="38">
                  <c:v>-1.1000000000000101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-0.95000000000000995</c:v>
                </c:pt>
                <c:pt idx="42">
                  <c:v>-0.90000000000001001</c:v>
                </c:pt>
                <c:pt idx="43">
                  <c:v>-0.85000000000000997</c:v>
                </c:pt>
                <c:pt idx="44">
                  <c:v>-0.80000000000001004</c:v>
                </c:pt>
                <c:pt idx="45">
                  <c:v>-0.75000000000000999</c:v>
                </c:pt>
                <c:pt idx="46">
                  <c:v>-0.70000000000000995</c:v>
                </c:pt>
                <c:pt idx="47">
                  <c:v>-0.65000000000001001</c:v>
                </c:pt>
                <c:pt idx="48">
                  <c:v>-0.60000000000000997</c:v>
                </c:pt>
                <c:pt idx="49">
                  <c:v>-0.55000000000001004</c:v>
                </c:pt>
                <c:pt idx="50">
                  <c:v>-0.50000000000000999</c:v>
                </c:pt>
                <c:pt idx="51">
                  <c:v>-0.45000000000001</c:v>
                </c:pt>
                <c:pt idx="52">
                  <c:v>-0.40000000000001001</c:v>
                </c:pt>
                <c:pt idx="53">
                  <c:v>-0.35000000000001003</c:v>
                </c:pt>
                <c:pt idx="54">
                  <c:v>-0.30000000000000998</c:v>
                </c:pt>
                <c:pt idx="55">
                  <c:v>-0.25000000000000999</c:v>
                </c:pt>
                <c:pt idx="56">
                  <c:v>-0.20000000000001</c:v>
                </c:pt>
                <c:pt idx="57">
                  <c:v>-0.15000000000000999</c:v>
                </c:pt>
                <c:pt idx="58">
                  <c:v>-0.10000000000001</c:v>
                </c:pt>
                <c:pt idx="59">
                  <c:v>-5.0000000000010002E-2</c:v>
                </c:pt>
                <c:pt idx="60">
                  <c:v>-1.0214051826551401E-14</c:v>
                </c:pt>
                <c:pt idx="61">
                  <c:v>4.9999999999990101E-2</c:v>
                </c:pt>
                <c:pt idx="62">
                  <c:v>9.9999999999989903E-2</c:v>
                </c:pt>
                <c:pt idx="63">
                  <c:v>0.14999999999999</c:v>
                </c:pt>
                <c:pt idx="64">
                  <c:v>0.19999999999998999</c:v>
                </c:pt>
                <c:pt idx="65">
                  <c:v>0.24999999999999001</c:v>
                </c:pt>
                <c:pt idx="66">
                  <c:v>0.29999999999999</c:v>
                </c:pt>
                <c:pt idx="67">
                  <c:v>0.34999999999998999</c:v>
                </c:pt>
                <c:pt idx="68">
                  <c:v>0.39999999999998997</c:v>
                </c:pt>
                <c:pt idx="69">
                  <c:v>0.44999999999999002</c:v>
                </c:pt>
                <c:pt idx="70">
                  <c:v>0.49999999999999001</c:v>
                </c:pt>
                <c:pt idx="71">
                  <c:v>0.54999999999999005</c:v>
                </c:pt>
                <c:pt idx="72">
                  <c:v>0.59999999999998999</c:v>
                </c:pt>
                <c:pt idx="73">
                  <c:v>0.64999999999999003</c:v>
                </c:pt>
                <c:pt idx="74">
                  <c:v>0.69999999999998996</c:v>
                </c:pt>
                <c:pt idx="75">
                  <c:v>0.74999999999999001</c:v>
                </c:pt>
                <c:pt idx="76">
                  <c:v>0.79999999999999005</c:v>
                </c:pt>
                <c:pt idx="77">
                  <c:v>0.84999999999998999</c:v>
                </c:pt>
                <c:pt idx="78">
                  <c:v>0.89999999999999003</c:v>
                </c:pt>
                <c:pt idx="79">
                  <c:v>0.94999999999998996</c:v>
                </c:pt>
                <c:pt idx="80">
                  <c:v>0.99999999999999001</c:v>
                </c:pt>
                <c:pt idx="81">
                  <c:v>1.0499999999999901</c:v>
                </c:pt>
                <c:pt idx="82">
                  <c:v>1.0999999999999901</c:v>
                </c:pt>
                <c:pt idx="83">
                  <c:v>1.1499999999999899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1.2999999999999801</c:v>
                </c:pt>
                <c:pt idx="87">
                  <c:v>1.3499999999999801</c:v>
                </c:pt>
                <c:pt idx="88">
                  <c:v>1.3999999999999799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1.5499999999999801</c:v>
                </c:pt>
                <c:pt idx="92">
                  <c:v>1.5999999999999801</c:v>
                </c:pt>
                <c:pt idx="93">
                  <c:v>1.6499999999999799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1.7999999999999801</c:v>
                </c:pt>
                <c:pt idx="97">
                  <c:v>1.8499999999999801</c:v>
                </c:pt>
                <c:pt idx="98">
                  <c:v>1.8999999999999799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2.0499999999999798</c:v>
                </c:pt>
                <c:pt idx="102">
                  <c:v>2.0999999999999801</c:v>
                </c:pt>
                <c:pt idx="103">
                  <c:v>2.1499999999999799</c:v>
                </c:pt>
                <c:pt idx="104">
                  <c:v>2.1999999999999802</c:v>
                </c:pt>
                <c:pt idx="105">
                  <c:v>2.24999999999998</c:v>
                </c:pt>
                <c:pt idx="106">
                  <c:v>2.2999999999999798</c:v>
                </c:pt>
                <c:pt idx="107">
                  <c:v>2.3499999999999801</c:v>
                </c:pt>
                <c:pt idx="108">
                  <c:v>2.3999999999999799</c:v>
                </c:pt>
                <c:pt idx="109">
                  <c:v>2.4499999999999802</c:v>
                </c:pt>
                <c:pt idx="110">
                  <c:v>2.49999999999998</c:v>
                </c:pt>
                <c:pt idx="111">
                  <c:v>2.5499999999999798</c:v>
                </c:pt>
                <c:pt idx="112">
                  <c:v>2.5999999999999801</c:v>
                </c:pt>
                <c:pt idx="113">
                  <c:v>2.6499999999999799</c:v>
                </c:pt>
                <c:pt idx="114">
                  <c:v>2.6999999999999802</c:v>
                </c:pt>
                <c:pt idx="115">
                  <c:v>2.74999999999998</c:v>
                </c:pt>
                <c:pt idx="116">
                  <c:v>2.7999999999999798</c:v>
                </c:pt>
                <c:pt idx="117">
                  <c:v>2.8499999999999801</c:v>
                </c:pt>
                <c:pt idx="118">
                  <c:v>2.8999999999999799</c:v>
                </c:pt>
                <c:pt idx="119">
                  <c:v>2.9499999999999802</c:v>
                </c:pt>
                <c:pt idx="120">
                  <c:v>2.99999999999998</c:v>
                </c:pt>
              </c:numCache>
            </c:numRef>
          </c:xVal>
          <c:yVal>
            <c:numRef>
              <c:f>[1]Sheet1!$B$1:$B$121</c:f>
              <c:numCache>
                <c:formatCode>General</c:formatCode>
                <c:ptCount val="121"/>
                <c:pt idx="0">
                  <c:v>4.4318484119380067E-3</c:v>
                </c:pt>
                <c:pt idx="1">
                  <c:v>5.1426409230539384E-3</c:v>
                </c:pt>
                <c:pt idx="2">
                  <c:v>5.9525324197758529E-3</c:v>
                </c:pt>
                <c:pt idx="3">
                  <c:v>6.8727666906139694E-3</c:v>
                </c:pt>
                <c:pt idx="4">
                  <c:v>7.9154515829799668E-3</c:v>
                </c:pt>
                <c:pt idx="5">
                  <c:v>9.0935625015910512E-3</c:v>
                </c:pt>
                <c:pt idx="6">
                  <c:v>1.042093481442259E-2</c:v>
                </c:pt>
                <c:pt idx="7">
                  <c:v>1.1912243607605177E-2</c:v>
                </c:pt>
                <c:pt idx="8">
                  <c:v>1.3582969233685611E-2</c:v>
                </c:pt>
                <c:pt idx="9">
                  <c:v>1.5449347134395173E-2</c:v>
                </c:pt>
                <c:pt idx="10">
                  <c:v>1.7528300493568537E-2</c:v>
                </c:pt>
                <c:pt idx="11">
                  <c:v>1.9837354391795309E-2</c:v>
                </c:pt>
                <c:pt idx="12">
                  <c:v>2.2394530294842896E-2</c:v>
                </c:pt>
                <c:pt idx="13">
                  <c:v>2.5218219915194379E-2</c:v>
                </c:pt>
                <c:pt idx="14">
                  <c:v>2.8327037741601183E-2</c:v>
                </c:pt>
                <c:pt idx="15">
                  <c:v>3.1739651835667418E-2</c:v>
                </c:pt>
                <c:pt idx="16">
                  <c:v>3.5474592846231418E-2</c:v>
                </c:pt>
                <c:pt idx="17">
                  <c:v>3.9550041589370213E-2</c:v>
                </c:pt>
                <c:pt idx="18">
                  <c:v>4.3983595980427184E-2</c:v>
                </c:pt>
                <c:pt idx="19">
                  <c:v>4.8792018579182757E-2</c:v>
                </c:pt>
                <c:pt idx="20">
                  <c:v>5.3990966513188049E-2</c:v>
                </c:pt>
                <c:pt idx="21">
                  <c:v>5.9594706068816068E-2</c:v>
                </c:pt>
                <c:pt idx="22">
                  <c:v>6.5615814774676581E-2</c:v>
                </c:pt>
                <c:pt idx="23">
                  <c:v>7.2064874336217985E-2</c:v>
                </c:pt>
                <c:pt idx="24">
                  <c:v>7.8950158300894135E-2</c:v>
                </c:pt>
                <c:pt idx="25">
                  <c:v>8.6277318826511518E-2</c:v>
                </c:pt>
                <c:pt idx="26">
                  <c:v>9.4049077376886933E-2</c:v>
                </c:pt>
                <c:pt idx="27">
                  <c:v>0.10226492456397802</c:v>
                </c:pt>
                <c:pt idx="28">
                  <c:v>0.11092083467945553</c:v>
                </c:pt>
                <c:pt idx="29">
                  <c:v>0.12000900069698373</c:v>
                </c:pt>
                <c:pt idx="30">
                  <c:v>0.12951759566588977</c:v>
                </c:pt>
                <c:pt idx="31">
                  <c:v>0.13943056644535826</c:v>
                </c:pt>
                <c:pt idx="32">
                  <c:v>0.14972746563574277</c:v>
                </c:pt>
                <c:pt idx="33">
                  <c:v>0.16038332734191738</c:v>
                </c:pt>
                <c:pt idx="34">
                  <c:v>0.17136859204780511</c:v>
                </c:pt>
                <c:pt idx="35">
                  <c:v>0.18264908538901961</c:v>
                </c:pt>
                <c:pt idx="36">
                  <c:v>0.19418605498321062</c:v>
                </c:pt>
                <c:pt idx="37">
                  <c:v>0.20593626871997237</c:v>
                </c:pt>
                <c:pt idx="38">
                  <c:v>0.21785217703254811</c:v>
                </c:pt>
                <c:pt idx="39">
                  <c:v>0.22988214068423057</c:v>
                </c:pt>
                <c:pt idx="40">
                  <c:v>0.2419707245191409</c:v>
                </c:pt>
                <c:pt idx="41">
                  <c:v>0.25405905646918658</c:v>
                </c:pt>
                <c:pt idx="42">
                  <c:v>0.26608524989875243</c:v>
                </c:pt>
                <c:pt idx="43">
                  <c:v>0.27798488613099409</c:v>
                </c:pt>
                <c:pt idx="44">
                  <c:v>0.2896915527614804</c:v>
                </c:pt>
                <c:pt idx="45">
                  <c:v>0.30113743215480215</c:v>
                </c:pt>
                <c:pt idx="46">
                  <c:v>0.31225393336675905</c:v>
                </c:pt>
                <c:pt idx="47">
                  <c:v>0.32297235966791216</c:v>
                </c:pt>
                <c:pt idx="48">
                  <c:v>0.33322460289179762</c:v>
                </c:pt>
                <c:pt idx="49">
                  <c:v>0.34294385501938196</c:v>
                </c:pt>
                <c:pt idx="50">
                  <c:v>0.35206532676429769</c:v>
                </c:pt>
                <c:pt idx="51">
                  <c:v>0.36052696246164628</c:v>
                </c:pt>
                <c:pt idx="52">
                  <c:v>0.36827014030332184</c:v>
                </c:pt>
                <c:pt idx="53">
                  <c:v>0.37524034691693653</c:v>
                </c:pt>
                <c:pt idx="54">
                  <c:v>0.38138781546052292</c:v>
                </c:pt>
                <c:pt idx="55">
                  <c:v>0.38666811680284824</c:v>
                </c:pt>
                <c:pt idx="56">
                  <c:v>0.3910426939754551</c:v>
                </c:pt>
                <c:pt idx="57">
                  <c:v>0.39447933090788828</c:v>
                </c:pt>
                <c:pt idx="58">
                  <c:v>0.39695254747701136</c:v>
                </c:pt>
                <c:pt idx="59">
                  <c:v>0.39844391409476376</c:v>
                </c:pt>
                <c:pt idx="60">
                  <c:v>0.39894228040143265</c:v>
                </c:pt>
                <c:pt idx="61">
                  <c:v>0.39844391409476415</c:v>
                </c:pt>
                <c:pt idx="62">
                  <c:v>0.39695254747701214</c:v>
                </c:pt>
                <c:pt idx="63">
                  <c:v>0.39447933090788945</c:v>
                </c:pt>
                <c:pt idx="64">
                  <c:v>0.3910426939754566</c:v>
                </c:pt>
                <c:pt idx="65">
                  <c:v>0.38666811680285013</c:v>
                </c:pt>
                <c:pt idx="66">
                  <c:v>0.38138781546052519</c:v>
                </c:pt>
                <c:pt idx="67">
                  <c:v>0.37524034691693914</c:v>
                </c:pt>
                <c:pt idx="68">
                  <c:v>0.36827014030332478</c:v>
                </c:pt>
                <c:pt idx="69">
                  <c:v>0.36052696246164956</c:v>
                </c:pt>
                <c:pt idx="70">
                  <c:v>0.35206532676430119</c:v>
                </c:pt>
                <c:pt idx="71">
                  <c:v>0.34294385501938573</c:v>
                </c:pt>
                <c:pt idx="72">
                  <c:v>0.33322460289180161</c:v>
                </c:pt>
                <c:pt idx="73">
                  <c:v>0.32297235966791632</c:v>
                </c:pt>
                <c:pt idx="74">
                  <c:v>0.31225393336676344</c:v>
                </c:pt>
                <c:pt idx="75">
                  <c:v>0.30113743215480665</c:v>
                </c:pt>
                <c:pt idx="76">
                  <c:v>0.289691552761485</c:v>
                </c:pt>
                <c:pt idx="77">
                  <c:v>0.27798488613099881</c:v>
                </c:pt>
                <c:pt idx="78">
                  <c:v>0.2660852498987572</c:v>
                </c:pt>
                <c:pt idx="79">
                  <c:v>0.25405905646919141</c:v>
                </c:pt>
                <c:pt idx="80">
                  <c:v>0.24197072451914578</c:v>
                </c:pt>
                <c:pt idx="81">
                  <c:v>0.2298821406842354</c:v>
                </c:pt>
                <c:pt idx="82">
                  <c:v>0.21785217703255291</c:v>
                </c:pt>
                <c:pt idx="83">
                  <c:v>0.20593626871997711</c:v>
                </c:pt>
                <c:pt idx="84">
                  <c:v>0.19418605498321526</c:v>
                </c:pt>
                <c:pt idx="85">
                  <c:v>0.18264908538902647</c:v>
                </c:pt>
                <c:pt idx="86">
                  <c:v>0.17136859204781177</c:v>
                </c:pt>
                <c:pt idx="87">
                  <c:v>0.1603833273419239</c:v>
                </c:pt>
                <c:pt idx="88">
                  <c:v>0.14972746563574904</c:v>
                </c:pt>
                <c:pt idx="89">
                  <c:v>0.13943056644536431</c:v>
                </c:pt>
                <c:pt idx="90">
                  <c:v>0.1295175956658956</c:v>
                </c:pt>
                <c:pt idx="91">
                  <c:v>0.1200090006969893</c:v>
                </c:pt>
                <c:pt idx="92">
                  <c:v>0.11092083467945907</c:v>
                </c:pt>
                <c:pt idx="93">
                  <c:v>0.10226492456398135</c:v>
                </c:pt>
                <c:pt idx="94">
                  <c:v>9.4049077376890125E-2</c:v>
                </c:pt>
                <c:pt idx="95">
                  <c:v>8.6277318826514529E-2</c:v>
                </c:pt>
                <c:pt idx="96">
                  <c:v>7.895015830089698E-2</c:v>
                </c:pt>
                <c:pt idx="97">
                  <c:v>7.2064874336220636E-2</c:v>
                </c:pt>
                <c:pt idx="98">
                  <c:v>6.5615814774679079E-2</c:v>
                </c:pt>
                <c:pt idx="99">
                  <c:v>5.9594706068818393E-2</c:v>
                </c:pt>
                <c:pt idx="100">
                  <c:v>5.3990966513190214E-2</c:v>
                </c:pt>
                <c:pt idx="101">
                  <c:v>4.8792018579184776E-2</c:v>
                </c:pt>
                <c:pt idx="102">
                  <c:v>4.3983595980429023E-2</c:v>
                </c:pt>
                <c:pt idx="103">
                  <c:v>3.955004158937192E-2</c:v>
                </c:pt>
                <c:pt idx="104">
                  <c:v>3.5474592846232979E-2</c:v>
                </c:pt>
                <c:pt idx="105">
                  <c:v>3.173965183566884E-2</c:v>
                </c:pt>
                <c:pt idx="106">
                  <c:v>2.832703774160248E-2</c:v>
                </c:pt>
                <c:pt idx="107">
                  <c:v>2.5218219915195562E-2</c:v>
                </c:pt>
                <c:pt idx="108">
                  <c:v>2.2394530294843971E-2</c:v>
                </c:pt>
                <c:pt idx="109">
                  <c:v>1.9837354391796288E-2</c:v>
                </c:pt>
                <c:pt idx="110">
                  <c:v>1.7528300493569408E-2</c:v>
                </c:pt>
                <c:pt idx="111">
                  <c:v>1.544934713439596E-2</c:v>
                </c:pt>
                <c:pt idx="112">
                  <c:v>1.3582969233686317E-2</c:v>
                </c:pt>
                <c:pt idx="113">
                  <c:v>1.1912243607605812E-2</c:v>
                </c:pt>
                <c:pt idx="114">
                  <c:v>1.0420934814423148E-2</c:v>
                </c:pt>
                <c:pt idx="115">
                  <c:v>9.0935625015915525E-3</c:v>
                </c:pt>
                <c:pt idx="116">
                  <c:v>7.9154515829804092E-3</c:v>
                </c:pt>
                <c:pt idx="117">
                  <c:v>6.8727666906143597E-3</c:v>
                </c:pt>
                <c:pt idx="118">
                  <c:v>5.9525324197762016E-3</c:v>
                </c:pt>
                <c:pt idx="119">
                  <c:v>5.1426409230542394E-3</c:v>
                </c:pt>
                <c:pt idx="120">
                  <c:v>4.4318484119382747E-3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12832"/>
        <c:axId val="312913224"/>
      </c:scatterChart>
      <c:valAx>
        <c:axId val="31291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312913224"/>
        <c:crosses val="autoZero"/>
        <c:crossBetween val="midCat"/>
      </c:valAx>
      <c:valAx>
        <c:axId val="3129132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1291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85362620375945E-2"/>
          <c:y val="6.8857556044727375E-2"/>
          <c:w val="0.89363725878449762"/>
          <c:h val="0.7871675540435699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[1]Sheet1!$A$1:$A$121</c:f>
              <c:numCache>
                <c:formatCode>General</c:formatCode>
                <c:ptCount val="121"/>
                <c:pt idx="0">
                  <c:v>-3</c:v>
                </c:pt>
                <c:pt idx="1">
                  <c:v>-2.95</c:v>
                </c:pt>
                <c:pt idx="2">
                  <c:v>-2.9</c:v>
                </c:pt>
                <c:pt idx="3">
                  <c:v>-2.85</c:v>
                </c:pt>
                <c:pt idx="4">
                  <c:v>-2.8</c:v>
                </c:pt>
                <c:pt idx="5">
                  <c:v>-2.75</c:v>
                </c:pt>
                <c:pt idx="6">
                  <c:v>-2.7</c:v>
                </c:pt>
                <c:pt idx="7">
                  <c:v>-2.65</c:v>
                </c:pt>
                <c:pt idx="8">
                  <c:v>-2.6</c:v>
                </c:pt>
                <c:pt idx="9">
                  <c:v>-2.5499999999999998</c:v>
                </c:pt>
                <c:pt idx="10">
                  <c:v>-2.5</c:v>
                </c:pt>
                <c:pt idx="11">
                  <c:v>-2.4500000000000002</c:v>
                </c:pt>
                <c:pt idx="12">
                  <c:v>-2.4</c:v>
                </c:pt>
                <c:pt idx="13">
                  <c:v>-2.35</c:v>
                </c:pt>
                <c:pt idx="14">
                  <c:v>-2.2999999999999998</c:v>
                </c:pt>
                <c:pt idx="15">
                  <c:v>-2.25</c:v>
                </c:pt>
                <c:pt idx="16">
                  <c:v>-2.2000000000000002</c:v>
                </c:pt>
                <c:pt idx="17">
                  <c:v>-2.15</c:v>
                </c:pt>
                <c:pt idx="18">
                  <c:v>-2.1</c:v>
                </c:pt>
                <c:pt idx="19">
                  <c:v>-2.0499999999999998</c:v>
                </c:pt>
                <c:pt idx="20">
                  <c:v>-2</c:v>
                </c:pt>
                <c:pt idx="21">
                  <c:v>-1.95</c:v>
                </c:pt>
                <c:pt idx="22">
                  <c:v>-1.9</c:v>
                </c:pt>
                <c:pt idx="23">
                  <c:v>-1.85</c:v>
                </c:pt>
                <c:pt idx="24">
                  <c:v>-1.8</c:v>
                </c:pt>
                <c:pt idx="25">
                  <c:v>-1.75</c:v>
                </c:pt>
                <c:pt idx="26">
                  <c:v>-1.7</c:v>
                </c:pt>
                <c:pt idx="27">
                  <c:v>-1.65</c:v>
                </c:pt>
                <c:pt idx="28">
                  <c:v>-1.6</c:v>
                </c:pt>
                <c:pt idx="29">
                  <c:v>-1.55000000000001</c:v>
                </c:pt>
                <c:pt idx="30">
                  <c:v>-1.50000000000001</c:v>
                </c:pt>
                <c:pt idx="31">
                  <c:v>-1.4500000000000099</c:v>
                </c:pt>
                <c:pt idx="32">
                  <c:v>-1.4000000000000099</c:v>
                </c:pt>
                <c:pt idx="33">
                  <c:v>-1.3500000000000101</c:v>
                </c:pt>
                <c:pt idx="34">
                  <c:v>-1.30000000000001</c:v>
                </c:pt>
                <c:pt idx="35">
                  <c:v>-1.25000000000001</c:v>
                </c:pt>
                <c:pt idx="36">
                  <c:v>-1.2000000000000099</c:v>
                </c:pt>
                <c:pt idx="37">
                  <c:v>-1.1500000000000099</c:v>
                </c:pt>
                <c:pt idx="38">
                  <c:v>-1.1000000000000101</c:v>
                </c:pt>
                <c:pt idx="39">
                  <c:v>-1.05000000000001</c:v>
                </c:pt>
                <c:pt idx="40">
                  <c:v>-1.00000000000001</c:v>
                </c:pt>
                <c:pt idx="41">
                  <c:v>-0.95000000000000995</c:v>
                </c:pt>
                <c:pt idx="42">
                  <c:v>-0.90000000000001001</c:v>
                </c:pt>
                <c:pt idx="43">
                  <c:v>-0.85000000000000997</c:v>
                </c:pt>
                <c:pt idx="44">
                  <c:v>-0.80000000000001004</c:v>
                </c:pt>
                <c:pt idx="45">
                  <c:v>-0.75000000000000999</c:v>
                </c:pt>
                <c:pt idx="46">
                  <c:v>-0.70000000000000995</c:v>
                </c:pt>
                <c:pt idx="47">
                  <c:v>-0.65000000000001001</c:v>
                </c:pt>
                <c:pt idx="48">
                  <c:v>-0.60000000000000997</c:v>
                </c:pt>
                <c:pt idx="49">
                  <c:v>-0.55000000000001004</c:v>
                </c:pt>
                <c:pt idx="50">
                  <c:v>-0.50000000000000999</c:v>
                </c:pt>
                <c:pt idx="51">
                  <c:v>-0.45000000000001</c:v>
                </c:pt>
                <c:pt idx="52">
                  <c:v>-0.40000000000001001</c:v>
                </c:pt>
                <c:pt idx="53">
                  <c:v>-0.35000000000001003</c:v>
                </c:pt>
                <c:pt idx="54">
                  <c:v>-0.30000000000000998</c:v>
                </c:pt>
                <c:pt idx="55">
                  <c:v>-0.25000000000000999</c:v>
                </c:pt>
                <c:pt idx="56">
                  <c:v>-0.20000000000001</c:v>
                </c:pt>
                <c:pt idx="57">
                  <c:v>-0.15000000000000999</c:v>
                </c:pt>
                <c:pt idx="58">
                  <c:v>-0.10000000000001</c:v>
                </c:pt>
                <c:pt idx="59">
                  <c:v>-5.0000000000010002E-2</c:v>
                </c:pt>
                <c:pt idx="60">
                  <c:v>-1.0214051826551401E-14</c:v>
                </c:pt>
                <c:pt idx="61">
                  <c:v>4.9999999999990101E-2</c:v>
                </c:pt>
                <c:pt idx="62">
                  <c:v>9.9999999999989903E-2</c:v>
                </c:pt>
                <c:pt idx="63">
                  <c:v>0.14999999999999</c:v>
                </c:pt>
                <c:pt idx="64">
                  <c:v>0.19999999999998999</c:v>
                </c:pt>
                <c:pt idx="65">
                  <c:v>0.24999999999999001</c:v>
                </c:pt>
                <c:pt idx="66">
                  <c:v>0.29999999999999</c:v>
                </c:pt>
                <c:pt idx="67">
                  <c:v>0.34999999999998999</c:v>
                </c:pt>
                <c:pt idx="68">
                  <c:v>0.39999999999998997</c:v>
                </c:pt>
                <c:pt idx="69">
                  <c:v>0.44999999999999002</c:v>
                </c:pt>
                <c:pt idx="70">
                  <c:v>0.49999999999999001</c:v>
                </c:pt>
                <c:pt idx="71">
                  <c:v>0.54999999999999005</c:v>
                </c:pt>
                <c:pt idx="72">
                  <c:v>0.59999999999998999</c:v>
                </c:pt>
                <c:pt idx="73">
                  <c:v>0.64999999999999003</c:v>
                </c:pt>
                <c:pt idx="74">
                  <c:v>0.69999999999998996</c:v>
                </c:pt>
                <c:pt idx="75">
                  <c:v>0.74999999999999001</c:v>
                </c:pt>
                <c:pt idx="76">
                  <c:v>0.79999999999999005</c:v>
                </c:pt>
                <c:pt idx="77">
                  <c:v>0.84999999999998999</c:v>
                </c:pt>
                <c:pt idx="78">
                  <c:v>0.89999999999999003</c:v>
                </c:pt>
                <c:pt idx="79">
                  <c:v>0.94999999999998996</c:v>
                </c:pt>
                <c:pt idx="80">
                  <c:v>0.99999999999999001</c:v>
                </c:pt>
                <c:pt idx="81">
                  <c:v>1.0499999999999901</c:v>
                </c:pt>
                <c:pt idx="82">
                  <c:v>1.0999999999999901</c:v>
                </c:pt>
                <c:pt idx="83">
                  <c:v>1.1499999999999899</c:v>
                </c:pt>
                <c:pt idx="84">
                  <c:v>1.19999999999999</c:v>
                </c:pt>
                <c:pt idx="85">
                  <c:v>1.24999999999998</c:v>
                </c:pt>
                <c:pt idx="86">
                  <c:v>1.2999999999999801</c:v>
                </c:pt>
                <c:pt idx="87">
                  <c:v>1.3499999999999801</c:v>
                </c:pt>
                <c:pt idx="88">
                  <c:v>1.3999999999999799</c:v>
                </c:pt>
                <c:pt idx="89">
                  <c:v>1.44999999999998</c:v>
                </c:pt>
                <c:pt idx="90">
                  <c:v>1.49999999999998</c:v>
                </c:pt>
                <c:pt idx="91">
                  <c:v>1.5499999999999801</c:v>
                </c:pt>
                <c:pt idx="92">
                  <c:v>1.5999999999999801</c:v>
                </c:pt>
                <c:pt idx="93">
                  <c:v>1.6499999999999799</c:v>
                </c:pt>
                <c:pt idx="94">
                  <c:v>1.69999999999998</c:v>
                </c:pt>
                <c:pt idx="95">
                  <c:v>1.74999999999998</c:v>
                </c:pt>
                <c:pt idx="96">
                  <c:v>1.7999999999999801</c:v>
                </c:pt>
                <c:pt idx="97">
                  <c:v>1.8499999999999801</c:v>
                </c:pt>
                <c:pt idx="98">
                  <c:v>1.8999999999999799</c:v>
                </c:pt>
                <c:pt idx="99">
                  <c:v>1.94999999999998</c:v>
                </c:pt>
                <c:pt idx="100">
                  <c:v>1.99999999999998</c:v>
                </c:pt>
                <c:pt idx="101">
                  <c:v>2.0499999999999798</c:v>
                </c:pt>
                <c:pt idx="102">
                  <c:v>2.0999999999999801</c:v>
                </c:pt>
                <c:pt idx="103">
                  <c:v>2.1499999999999799</c:v>
                </c:pt>
                <c:pt idx="104">
                  <c:v>2.1999999999999802</c:v>
                </c:pt>
                <c:pt idx="105">
                  <c:v>2.24999999999998</c:v>
                </c:pt>
                <c:pt idx="106">
                  <c:v>2.2999999999999798</c:v>
                </c:pt>
                <c:pt idx="107">
                  <c:v>2.3499999999999801</c:v>
                </c:pt>
                <c:pt idx="108">
                  <c:v>2.3999999999999799</c:v>
                </c:pt>
                <c:pt idx="109">
                  <c:v>2.4499999999999802</c:v>
                </c:pt>
                <c:pt idx="110">
                  <c:v>2.49999999999998</c:v>
                </c:pt>
                <c:pt idx="111">
                  <c:v>2.5499999999999798</c:v>
                </c:pt>
                <c:pt idx="112">
                  <c:v>2.5999999999999801</c:v>
                </c:pt>
                <c:pt idx="113">
                  <c:v>2.6499999999999799</c:v>
                </c:pt>
                <c:pt idx="114">
                  <c:v>2.6999999999999802</c:v>
                </c:pt>
                <c:pt idx="115">
                  <c:v>2.74999999999998</c:v>
                </c:pt>
                <c:pt idx="116">
                  <c:v>2.7999999999999798</c:v>
                </c:pt>
                <c:pt idx="117">
                  <c:v>2.8499999999999801</c:v>
                </c:pt>
                <c:pt idx="118">
                  <c:v>2.8999999999999799</c:v>
                </c:pt>
                <c:pt idx="119">
                  <c:v>2.9499999999999802</c:v>
                </c:pt>
                <c:pt idx="120">
                  <c:v>2.99999999999998</c:v>
                </c:pt>
              </c:numCache>
            </c:numRef>
          </c:xVal>
          <c:yVal>
            <c:numRef>
              <c:f>[1]Sheet1!$B$1:$B$121</c:f>
              <c:numCache>
                <c:formatCode>General</c:formatCode>
                <c:ptCount val="121"/>
                <c:pt idx="0">
                  <c:v>4.4318484119380067E-3</c:v>
                </c:pt>
                <c:pt idx="1">
                  <c:v>5.1426409230539384E-3</c:v>
                </c:pt>
                <c:pt idx="2">
                  <c:v>5.9525324197758529E-3</c:v>
                </c:pt>
                <c:pt idx="3">
                  <c:v>6.8727666906139694E-3</c:v>
                </c:pt>
                <c:pt idx="4">
                  <c:v>7.9154515829799668E-3</c:v>
                </c:pt>
                <c:pt idx="5">
                  <c:v>9.0935625015910512E-3</c:v>
                </c:pt>
                <c:pt idx="6">
                  <c:v>1.042093481442259E-2</c:v>
                </c:pt>
                <c:pt idx="7">
                  <c:v>1.1912243607605177E-2</c:v>
                </c:pt>
                <c:pt idx="8">
                  <c:v>1.3582969233685611E-2</c:v>
                </c:pt>
                <c:pt idx="9">
                  <c:v>1.5449347134395173E-2</c:v>
                </c:pt>
                <c:pt idx="10">
                  <c:v>1.7528300493568537E-2</c:v>
                </c:pt>
                <c:pt idx="11">
                  <c:v>1.9837354391795309E-2</c:v>
                </c:pt>
                <c:pt idx="12">
                  <c:v>2.2394530294842896E-2</c:v>
                </c:pt>
                <c:pt idx="13">
                  <c:v>2.5218219915194379E-2</c:v>
                </c:pt>
                <c:pt idx="14">
                  <c:v>2.8327037741601183E-2</c:v>
                </c:pt>
                <c:pt idx="15">
                  <c:v>3.1739651835667418E-2</c:v>
                </c:pt>
                <c:pt idx="16">
                  <c:v>3.5474592846231418E-2</c:v>
                </c:pt>
                <c:pt idx="17">
                  <c:v>3.9550041589370213E-2</c:v>
                </c:pt>
                <c:pt idx="18">
                  <c:v>4.3983595980427184E-2</c:v>
                </c:pt>
                <c:pt idx="19">
                  <c:v>4.8792018579182757E-2</c:v>
                </c:pt>
                <c:pt idx="20">
                  <c:v>5.3990966513188049E-2</c:v>
                </c:pt>
                <c:pt idx="21">
                  <c:v>5.9594706068816068E-2</c:v>
                </c:pt>
                <c:pt idx="22">
                  <c:v>6.5615814774676581E-2</c:v>
                </c:pt>
                <c:pt idx="23">
                  <c:v>7.2064874336217985E-2</c:v>
                </c:pt>
                <c:pt idx="24">
                  <c:v>7.8950158300894135E-2</c:v>
                </c:pt>
                <c:pt idx="25">
                  <c:v>8.6277318826511518E-2</c:v>
                </c:pt>
                <c:pt idx="26">
                  <c:v>9.4049077376886933E-2</c:v>
                </c:pt>
                <c:pt idx="27">
                  <c:v>0.10226492456397802</c:v>
                </c:pt>
                <c:pt idx="28">
                  <c:v>0.11092083467945553</c:v>
                </c:pt>
                <c:pt idx="29">
                  <c:v>0.12000900069698373</c:v>
                </c:pt>
                <c:pt idx="30">
                  <c:v>0.12951759566588977</c:v>
                </c:pt>
                <c:pt idx="31">
                  <c:v>0.13943056644535826</c:v>
                </c:pt>
                <c:pt idx="32">
                  <c:v>0.14972746563574277</c:v>
                </c:pt>
                <c:pt idx="33">
                  <c:v>0.16038332734191738</c:v>
                </c:pt>
                <c:pt idx="34">
                  <c:v>0.17136859204780511</c:v>
                </c:pt>
                <c:pt idx="35">
                  <c:v>0.18264908538901961</c:v>
                </c:pt>
                <c:pt idx="36">
                  <c:v>0.19418605498321062</c:v>
                </c:pt>
                <c:pt idx="37">
                  <c:v>0.20593626871997237</c:v>
                </c:pt>
                <c:pt idx="38">
                  <c:v>0.21785217703254811</c:v>
                </c:pt>
                <c:pt idx="39">
                  <c:v>0.22988214068423057</c:v>
                </c:pt>
                <c:pt idx="40">
                  <c:v>0.2419707245191409</c:v>
                </c:pt>
                <c:pt idx="41">
                  <c:v>0.25405905646918658</c:v>
                </c:pt>
                <c:pt idx="42">
                  <c:v>0.26608524989875243</c:v>
                </c:pt>
                <c:pt idx="43">
                  <c:v>0.27798488613099409</c:v>
                </c:pt>
                <c:pt idx="44">
                  <c:v>0.2896915527614804</c:v>
                </c:pt>
                <c:pt idx="45">
                  <c:v>0.30113743215480215</c:v>
                </c:pt>
                <c:pt idx="46">
                  <c:v>0.31225393336675905</c:v>
                </c:pt>
                <c:pt idx="47">
                  <c:v>0.32297235966791216</c:v>
                </c:pt>
                <c:pt idx="48">
                  <c:v>0.33322460289179762</c:v>
                </c:pt>
                <c:pt idx="49">
                  <c:v>0.34294385501938196</c:v>
                </c:pt>
                <c:pt idx="50">
                  <c:v>0.35206532676429769</c:v>
                </c:pt>
                <c:pt idx="51">
                  <c:v>0.36052696246164628</c:v>
                </c:pt>
                <c:pt idx="52">
                  <c:v>0.36827014030332184</c:v>
                </c:pt>
                <c:pt idx="53">
                  <c:v>0.37524034691693653</c:v>
                </c:pt>
                <c:pt idx="54">
                  <c:v>0.38138781546052292</c:v>
                </c:pt>
                <c:pt idx="55">
                  <c:v>0.38666811680284824</c:v>
                </c:pt>
                <c:pt idx="56">
                  <c:v>0.3910426939754551</c:v>
                </c:pt>
                <c:pt idx="57">
                  <c:v>0.39447933090788828</c:v>
                </c:pt>
                <c:pt idx="58">
                  <c:v>0.39695254747701136</c:v>
                </c:pt>
                <c:pt idx="59">
                  <c:v>0.39844391409476376</c:v>
                </c:pt>
                <c:pt idx="60">
                  <c:v>0.39894228040143265</c:v>
                </c:pt>
                <c:pt idx="61">
                  <c:v>0.39844391409476415</c:v>
                </c:pt>
                <c:pt idx="62">
                  <c:v>0.39695254747701214</c:v>
                </c:pt>
                <c:pt idx="63">
                  <c:v>0.39447933090788945</c:v>
                </c:pt>
                <c:pt idx="64">
                  <c:v>0.3910426939754566</c:v>
                </c:pt>
                <c:pt idx="65">
                  <c:v>0.38666811680285013</c:v>
                </c:pt>
                <c:pt idx="66">
                  <c:v>0.38138781546052519</c:v>
                </c:pt>
                <c:pt idx="67">
                  <c:v>0.37524034691693914</c:v>
                </c:pt>
                <c:pt idx="68">
                  <c:v>0.36827014030332478</c:v>
                </c:pt>
                <c:pt idx="69">
                  <c:v>0.36052696246164956</c:v>
                </c:pt>
                <c:pt idx="70">
                  <c:v>0.35206532676430119</c:v>
                </c:pt>
                <c:pt idx="71">
                  <c:v>0.34294385501938573</c:v>
                </c:pt>
                <c:pt idx="72">
                  <c:v>0.33322460289180161</c:v>
                </c:pt>
                <c:pt idx="73">
                  <c:v>0.32297235966791632</c:v>
                </c:pt>
                <c:pt idx="74">
                  <c:v>0.31225393336676344</c:v>
                </c:pt>
                <c:pt idx="75">
                  <c:v>0.30113743215480665</c:v>
                </c:pt>
                <c:pt idx="76">
                  <c:v>0.289691552761485</c:v>
                </c:pt>
                <c:pt idx="77">
                  <c:v>0.27798488613099881</c:v>
                </c:pt>
                <c:pt idx="78">
                  <c:v>0.2660852498987572</c:v>
                </c:pt>
                <c:pt idx="79">
                  <c:v>0.25405905646919141</c:v>
                </c:pt>
                <c:pt idx="80">
                  <c:v>0.24197072451914578</c:v>
                </c:pt>
                <c:pt idx="81">
                  <c:v>0.2298821406842354</c:v>
                </c:pt>
                <c:pt idx="82">
                  <c:v>0.21785217703255291</c:v>
                </c:pt>
                <c:pt idx="83">
                  <c:v>0.20593626871997711</c:v>
                </c:pt>
                <c:pt idx="84">
                  <c:v>0.19418605498321526</c:v>
                </c:pt>
                <c:pt idx="85">
                  <c:v>0.18264908538902647</c:v>
                </c:pt>
                <c:pt idx="86">
                  <c:v>0.17136859204781177</c:v>
                </c:pt>
                <c:pt idx="87">
                  <c:v>0.1603833273419239</c:v>
                </c:pt>
                <c:pt idx="88">
                  <c:v>0.14972746563574904</c:v>
                </c:pt>
                <c:pt idx="89">
                  <c:v>0.13943056644536431</c:v>
                </c:pt>
                <c:pt idx="90">
                  <c:v>0.1295175956658956</c:v>
                </c:pt>
                <c:pt idx="91">
                  <c:v>0.1200090006969893</c:v>
                </c:pt>
                <c:pt idx="92">
                  <c:v>0.11092083467945907</c:v>
                </c:pt>
                <c:pt idx="93">
                  <c:v>0.10226492456398135</c:v>
                </c:pt>
                <c:pt idx="94">
                  <c:v>9.4049077376890125E-2</c:v>
                </c:pt>
                <c:pt idx="95">
                  <c:v>8.6277318826514529E-2</c:v>
                </c:pt>
                <c:pt idx="96">
                  <c:v>7.895015830089698E-2</c:v>
                </c:pt>
                <c:pt idx="97">
                  <c:v>7.2064874336220636E-2</c:v>
                </c:pt>
                <c:pt idx="98">
                  <c:v>6.5615814774679079E-2</c:v>
                </c:pt>
                <c:pt idx="99">
                  <c:v>5.9594706068818393E-2</c:v>
                </c:pt>
                <c:pt idx="100">
                  <c:v>5.3990966513190214E-2</c:v>
                </c:pt>
                <c:pt idx="101">
                  <c:v>4.8792018579184776E-2</c:v>
                </c:pt>
                <c:pt idx="102">
                  <c:v>4.3983595980429023E-2</c:v>
                </c:pt>
                <c:pt idx="103">
                  <c:v>3.955004158937192E-2</c:v>
                </c:pt>
                <c:pt idx="104">
                  <c:v>3.5474592846232979E-2</c:v>
                </c:pt>
                <c:pt idx="105">
                  <c:v>3.173965183566884E-2</c:v>
                </c:pt>
                <c:pt idx="106">
                  <c:v>2.832703774160248E-2</c:v>
                </c:pt>
                <c:pt idx="107">
                  <c:v>2.5218219915195562E-2</c:v>
                </c:pt>
                <c:pt idx="108">
                  <c:v>2.2394530294843971E-2</c:v>
                </c:pt>
                <c:pt idx="109">
                  <c:v>1.9837354391796288E-2</c:v>
                </c:pt>
                <c:pt idx="110">
                  <c:v>1.7528300493569408E-2</c:v>
                </c:pt>
                <c:pt idx="111">
                  <c:v>1.544934713439596E-2</c:v>
                </c:pt>
                <c:pt idx="112">
                  <c:v>1.3582969233686317E-2</c:v>
                </c:pt>
                <c:pt idx="113">
                  <c:v>1.1912243607605812E-2</c:v>
                </c:pt>
                <c:pt idx="114">
                  <c:v>1.0420934814423148E-2</c:v>
                </c:pt>
                <c:pt idx="115">
                  <c:v>9.0935625015915525E-3</c:v>
                </c:pt>
                <c:pt idx="116">
                  <c:v>7.9154515829804092E-3</c:v>
                </c:pt>
                <c:pt idx="117">
                  <c:v>6.8727666906143597E-3</c:v>
                </c:pt>
                <c:pt idx="118">
                  <c:v>5.9525324197762016E-3</c:v>
                </c:pt>
                <c:pt idx="119">
                  <c:v>5.1426409230542394E-3</c:v>
                </c:pt>
                <c:pt idx="120">
                  <c:v>4.4318484119382747E-3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14008"/>
        <c:axId val="249225808"/>
      </c:scatterChart>
      <c:valAx>
        <c:axId val="312914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49225808"/>
        <c:crosses val="autoZero"/>
        <c:crossBetween val="midCat"/>
      </c:valAx>
      <c:valAx>
        <c:axId val="2492258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312914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trlProps/ctrlProp1.xml><?xml version="1.0" encoding="utf-8"?>
<formControlPr xmlns="http://schemas.microsoft.com/office/spreadsheetml/2009/9/main" objectType="Drop" dropLines="3" dropStyle="combo" dx="16" fmlaLink="Sheet3!$A$4" fmlaRange="Sheet3!$A$1:$A$3" noThreeD="1" sel="1" val="0"/>
</file>

<file path=xl/ctrlProps/ctrlProp2.xml><?xml version="1.0" encoding="utf-8"?>
<formControlPr xmlns="http://schemas.microsoft.com/office/spreadsheetml/2009/9/main" objectType="Drop" dropLines="3" dropStyle="combo" dx="16" fmlaLink="Sheet3!$A$5" fmlaRange="Sheet3!$A$1:$A$3" noThreeD="1" sel="3" val="0"/>
</file>

<file path=xl/ctrlProps/ctrlProp3.xml><?xml version="1.0" encoding="utf-8"?>
<formControlPr xmlns="http://schemas.microsoft.com/office/spreadsheetml/2009/9/main" objectType="Drop" dropLines="3" dropStyle="combo" dx="16" fmlaLink="Sheet3!$A$6" fmlaRange="Sheet3!$A$1:$A$3" noThreeD="1" sel="1" val="0"/>
</file>

<file path=xl/ctrlProps/ctrlProp4.xml><?xml version="1.0" encoding="utf-8"?>
<formControlPr xmlns="http://schemas.microsoft.com/office/spreadsheetml/2009/9/main" objectType="Drop" dropLines="3" dropStyle="combo" dx="16" fmlaLink="Sheet3!$A$7" fmlaRange="Sheet3!$A$1:$A$3" noThreeD="1" sel="2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47625</xdr:rowOff>
        </xdr:from>
        <xdr:to>
          <xdr:col>1</xdr:col>
          <xdr:colOff>1209675</xdr:colOff>
          <xdr:row>2</xdr:row>
          <xdr:rowOff>504825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3</xdr:row>
          <xdr:rowOff>38100</xdr:rowOff>
        </xdr:from>
        <xdr:to>
          <xdr:col>13</xdr:col>
          <xdr:colOff>1028700</xdr:colOff>
          <xdr:row>3</xdr:row>
          <xdr:rowOff>247650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3</xdr:row>
          <xdr:rowOff>76200</xdr:rowOff>
        </xdr:from>
        <xdr:to>
          <xdr:col>15</xdr:col>
          <xdr:colOff>1047750</xdr:colOff>
          <xdr:row>3</xdr:row>
          <xdr:rowOff>285750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47625</xdr:colOff>
          <xdr:row>3</xdr:row>
          <xdr:rowOff>38100</xdr:rowOff>
        </xdr:from>
        <xdr:to>
          <xdr:col>13</xdr:col>
          <xdr:colOff>1028700</xdr:colOff>
          <xdr:row>3</xdr:row>
          <xdr:rowOff>247650</xdr:rowOff>
        </xdr:to>
        <xdr:sp macro="" textlink="">
          <xdr:nvSpPr>
            <xdr:cNvPr id="12289" name="Drop Down 1" hidden="1">
              <a:extLst>
                <a:ext uri="{63B3BB69-23CF-44E3-9099-C40C66FF867C}">
                  <a14:compatExt spid="_x0000_s12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0</xdr:row>
      <xdr:rowOff>114300</xdr:rowOff>
    </xdr:from>
    <xdr:to>
      <xdr:col>9</xdr:col>
      <xdr:colOff>276225</xdr:colOff>
      <xdr:row>9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0</xdr:row>
      <xdr:rowOff>123825</xdr:rowOff>
    </xdr:from>
    <xdr:to>
      <xdr:col>13</xdr:col>
      <xdr:colOff>285750</xdr:colOff>
      <xdr:row>9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171450</xdr:colOff>
      <xdr:row>13</xdr:row>
      <xdr:rowOff>9525</xdr:rowOff>
    </xdr:from>
    <xdr:to>
      <xdr:col>6</xdr:col>
      <xdr:colOff>390525</xdr:colOff>
      <xdr:row>22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10</xdr:row>
      <xdr:rowOff>76200</xdr:rowOff>
    </xdr:from>
    <xdr:to>
      <xdr:col>12</xdr:col>
      <xdr:colOff>228600</xdr:colOff>
      <xdr:row>20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0.14584</cdr:x>
      <cdr:y>0.16384</cdr:y>
    </cdr:from>
    <cdr:to>
      <cdr:x>0.60984</cdr:x>
      <cdr:y>0.88889</cdr:y>
    </cdr:to>
    <cdr:sp macro="" textlink="">
      <cdr:nvSpPr>
        <cdr:cNvPr id="7" name="Freeform 6"/>
        <cdr:cNvSpPr/>
      </cdr:nvSpPr>
      <cdr:spPr>
        <a:xfrm xmlns:a="http://schemas.openxmlformats.org/drawingml/2006/main">
          <a:off x="404236" y="259056"/>
          <a:ext cx="1286103" cy="1146412"/>
        </a:xfrm>
        <a:custGeom xmlns:a="http://schemas.openxmlformats.org/drawingml/2006/main">
          <a:avLst/>
          <a:gdLst>
            <a:gd name="connsiteX0" fmla="*/ 0 w 2114550"/>
            <a:gd name="connsiteY0" fmla="*/ 2162175 h 2162175"/>
            <a:gd name="connsiteX1" fmla="*/ 2114550 w 2114550"/>
            <a:gd name="connsiteY1" fmla="*/ 2162175 h 2162175"/>
            <a:gd name="connsiteX2" fmla="*/ 2085975 w 2114550"/>
            <a:gd name="connsiteY2" fmla="*/ 762000 h 2162175"/>
            <a:gd name="connsiteX3" fmla="*/ 1990725 w 2114550"/>
            <a:gd name="connsiteY3" fmla="*/ 514350 h 2162175"/>
            <a:gd name="connsiteX4" fmla="*/ 1876425 w 2114550"/>
            <a:gd name="connsiteY4" fmla="*/ 276225 h 2162175"/>
            <a:gd name="connsiteX5" fmla="*/ 1743075 w 2114550"/>
            <a:gd name="connsiteY5" fmla="*/ 85725 h 2162175"/>
            <a:gd name="connsiteX6" fmla="*/ 1657350 w 2114550"/>
            <a:gd name="connsiteY6" fmla="*/ 19050 h 2162175"/>
            <a:gd name="connsiteX7" fmla="*/ 1571625 w 2114550"/>
            <a:gd name="connsiteY7" fmla="*/ 0 h 2162175"/>
            <a:gd name="connsiteX8" fmla="*/ 1457325 w 2114550"/>
            <a:gd name="connsiteY8" fmla="*/ 85725 h 2162175"/>
            <a:gd name="connsiteX9" fmla="*/ 1285875 w 2114550"/>
            <a:gd name="connsiteY9" fmla="*/ 352425 h 2162175"/>
            <a:gd name="connsiteX10" fmla="*/ 1085850 w 2114550"/>
            <a:gd name="connsiteY10" fmla="*/ 819150 h 2162175"/>
            <a:gd name="connsiteX11" fmla="*/ 847725 w 2114550"/>
            <a:gd name="connsiteY11" fmla="*/ 1390650 h 2162175"/>
            <a:gd name="connsiteX12" fmla="*/ 657225 w 2114550"/>
            <a:gd name="connsiteY12" fmla="*/ 1714500 h 2162175"/>
            <a:gd name="connsiteX13" fmla="*/ 542925 w 2114550"/>
            <a:gd name="connsiteY13" fmla="*/ 1876425 h 2162175"/>
            <a:gd name="connsiteX14" fmla="*/ 333375 w 2114550"/>
            <a:gd name="connsiteY14" fmla="*/ 2047875 h 2162175"/>
            <a:gd name="connsiteX15" fmla="*/ 133350 w 2114550"/>
            <a:gd name="connsiteY15" fmla="*/ 2133600 h 2162175"/>
            <a:gd name="connsiteX16" fmla="*/ 0 w 2114550"/>
            <a:gd name="connsiteY16" fmla="*/ 2162175 h 2162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2114550" h="2162175">
              <a:moveTo>
                <a:pt x="0" y="2162175"/>
              </a:moveTo>
              <a:lnTo>
                <a:pt x="2114550" y="2162175"/>
              </a:lnTo>
              <a:lnTo>
                <a:pt x="2085975" y="762000"/>
              </a:lnTo>
              <a:lnTo>
                <a:pt x="1990725" y="514350"/>
              </a:lnTo>
              <a:lnTo>
                <a:pt x="1876425" y="276225"/>
              </a:lnTo>
              <a:lnTo>
                <a:pt x="1743075" y="85725"/>
              </a:lnTo>
              <a:lnTo>
                <a:pt x="1657350" y="19050"/>
              </a:lnTo>
              <a:lnTo>
                <a:pt x="1571625" y="0"/>
              </a:lnTo>
              <a:lnTo>
                <a:pt x="1457325" y="85725"/>
              </a:lnTo>
              <a:lnTo>
                <a:pt x="1285875" y="352425"/>
              </a:lnTo>
              <a:lnTo>
                <a:pt x="1085850" y="819150"/>
              </a:lnTo>
              <a:lnTo>
                <a:pt x="847725" y="1390650"/>
              </a:lnTo>
              <a:lnTo>
                <a:pt x="657225" y="1714500"/>
              </a:lnTo>
              <a:lnTo>
                <a:pt x="542925" y="1876425"/>
              </a:lnTo>
              <a:lnTo>
                <a:pt x="333375" y="2047875"/>
              </a:lnTo>
              <a:lnTo>
                <a:pt x="133350" y="2133600"/>
              </a:lnTo>
              <a:lnTo>
                <a:pt x="0" y="2162175"/>
              </a:lnTo>
              <a:close/>
            </a:path>
          </a:pathLst>
        </a:custGeom>
        <a:solidFill xmlns:a="http://schemas.openxmlformats.org/drawingml/2006/main">
          <a:srgbClr val="CCFFCC"/>
        </a:solidFill>
        <a:ln xmlns:a="http://schemas.openxmlformats.org/drawingml/2006/main" w="3175" cmpd="sng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0.5304</cdr:x>
      <cdr:y>0.89305</cdr:y>
    </cdr:from>
    <cdr:to>
      <cdr:x>0.76987</cdr:x>
      <cdr:y>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207444" y="1590674"/>
          <a:ext cx="545155" cy="19050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Value</a:t>
          </a:r>
        </a:p>
      </cdr:txBody>
    </cdr:sp>
  </cdr:relSizeAnchor>
  <cdr:relSizeAnchor xmlns:cdr="http://schemas.openxmlformats.org/drawingml/2006/chartDrawing">
    <cdr:from>
      <cdr:x>0.38023</cdr:x>
      <cdr:y>0.47569</cdr:y>
    </cdr:from>
    <cdr:to>
      <cdr:x>0.59696</cdr:x>
      <cdr:y>0.64671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952501" y="838225"/>
          <a:ext cx="542924" cy="301358"/>
        </a:xfrm>
        <a:prstGeom xmlns:a="http://schemas.openxmlformats.org/drawingml/2006/main" prst="rect">
          <a:avLst/>
        </a:prstGeom>
        <a:solidFill xmlns:a="http://schemas.openxmlformats.org/drawingml/2006/main">
          <a:srgbClr val="CCFFCC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Prob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0.125</cdr:x>
      <cdr:y>0.17647</cdr:y>
    </cdr:from>
    <cdr:to>
      <cdr:x>0.58498</cdr:x>
      <cdr:y>0.88824</cdr:y>
    </cdr:to>
    <cdr:sp macro="" textlink="">
      <cdr:nvSpPr>
        <cdr:cNvPr id="7" name="Freeform 6"/>
        <cdr:cNvSpPr/>
      </cdr:nvSpPr>
      <cdr:spPr>
        <a:xfrm xmlns:a="http://schemas.openxmlformats.org/drawingml/2006/main">
          <a:off x="301228" y="312643"/>
          <a:ext cx="1108472" cy="1261007"/>
        </a:xfrm>
        <a:custGeom xmlns:a="http://schemas.openxmlformats.org/drawingml/2006/main">
          <a:avLst/>
          <a:gdLst>
            <a:gd name="connsiteX0" fmla="*/ 0 w 2114550"/>
            <a:gd name="connsiteY0" fmla="*/ 2162175 h 2162175"/>
            <a:gd name="connsiteX1" fmla="*/ 2114550 w 2114550"/>
            <a:gd name="connsiteY1" fmla="*/ 2162175 h 2162175"/>
            <a:gd name="connsiteX2" fmla="*/ 2085975 w 2114550"/>
            <a:gd name="connsiteY2" fmla="*/ 762000 h 2162175"/>
            <a:gd name="connsiteX3" fmla="*/ 1990725 w 2114550"/>
            <a:gd name="connsiteY3" fmla="*/ 514350 h 2162175"/>
            <a:gd name="connsiteX4" fmla="*/ 1876425 w 2114550"/>
            <a:gd name="connsiteY4" fmla="*/ 276225 h 2162175"/>
            <a:gd name="connsiteX5" fmla="*/ 1743075 w 2114550"/>
            <a:gd name="connsiteY5" fmla="*/ 85725 h 2162175"/>
            <a:gd name="connsiteX6" fmla="*/ 1657350 w 2114550"/>
            <a:gd name="connsiteY6" fmla="*/ 19050 h 2162175"/>
            <a:gd name="connsiteX7" fmla="*/ 1571625 w 2114550"/>
            <a:gd name="connsiteY7" fmla="*/ 0 h 2162175"/>
            <a:gd name="connsiteX8" fmla="*/ 1457325 w 2114550"/>
            <a:gd name="connsiteY8" fmla="*/ 85725 h 2162175"/>
            <a:gd name="connsiteX9" fmla="*/ 1285875 w 2114550"/>
            <a:gd name="connsiteY9" fmla="*/ 352425 h 2162175"/>
            <a:gd name="connsiteX10" fmla="*/ 1085850 w 2114550"/>
            <a:gd name="connsiteY10" fmla="*/ 819150 h 2162175"/>
            <a:gd name="connsiteX11" fmla="*/ 847725 w 2114550"/>
            <a:gd name="connsiteY11" fmla="*/ 1390650 h 2162175"/>
            <a:gd name="connsiteX12" fmla="*/ 657225 w 2114550"/>
            <a:gd name="connsiteY12" fmla="*/ 1714500 h 2162175"/>
            <a:gd name="connsiteX13" fmla="*/ 542925 w 2114550"/>
            <a:gd name="connsiteY13" fmla="*/ 1876425 h 2162175"/>
            <a:gd name="connsiteX14" fmla="*/ 333375 w 2114550"/>
            <a:gd name="connsiteY14" fmla="*/ 2047875 h 2162175"/>
            <a:gd name="connsiteX15" fmla="*/ 133350 w 2114550"/>
            <a:gd name="connsiteY15" fmla="*/ 2133600 h 2162175"/>
            <a:gd name="connsiteX16" fmla="*/ 0 w 2114550"/>
            <a:gd name="connsiteY16" fmla="*/ 2162175 h 2162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2114550" h="2162175">
              <a:moveTo>
                <a:pt x="0" y="2162175"/>
              </a:moveTo>
              <a:lnTo>
                <a:pt x="2114550" y="2162175"/>
              </a:lnTo>
              <a:lnTo>
                <a:pt x="2085975" y="762000"/>
              </a:lnTo>
              <a:lnTo>
                <a:pt x="1990725" y="514350"/>
              </a:lnTo>
              <a:lnTo>
                <a:pt x="1876425" y="276225"/>
              </a:lnTo>
              <a:lnTo>
                <a:pt x="1743075" y="85725"/>
              </a:lnTo>
              <a:lnTo>
                <a:pt x="1657350" y="19050"/>
              </a:lnTo>
              <a:lnTo>
                <a:pt x="1571625" y="0"/>
              </a:lnTo>
              <a:lnTo>
                <a:pt x="1457325" y="85725"/>
              </a:lnTo>
              <a:lnTo>
                <a:pt x="1285875" y="352425"/>
              </a:lnTo>
              <a:lnTo>
                <a:pt x="1085850" y="819150"/>
              </a:lnTo>
              <a:lnTo>
                <a:pt x="847725" y="1390650"/>
              </a:lnTo>
              <a:lnTo>
                <a:pt x="657225" y="1714500"/>
              </a:lnTo>
              <a:lnTo>
                <a:pt x="542925" y="1876425"/>
              </a:lnTo>
              <a:lnTo>
                <a:pt x="333375" y="2047875"/>
              </a:lnTo>
              <a:lnTo>
                <a:pt x="133350" y="2133600"/>
              </a:lnTo>
              <a:lnTo>
                <a:pt x="0" y="2162175"/>
              </a:lnTo>
              <a:close/>
            </a:path>
          </a:pathLst>
        </a:custGeom>
        <a:solidFill xmlns:a="http://schemas.openxmlformats.org/drawingml/2006/main">
          <a:srgbClr val="FFFFCC"/>
        </a:solidFill>
        <a:ln xmlns:a="http://schemas.openxmlformats.org/drawingml/2006/main" w="3175" cmpd="sng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0.46071</cdr:x>
      <cdr:y>0.89412</cdr:y>
    </cdr:from>
    <cdr:to>
      <cdr:x>0.68571</cdr:x>
      <cdr:y>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228724" y="1447801"/>
          <a:ext cx="600075" cy="171449"/>
        </a:xfrm>
        <a:prstGeom xmlns:a="http://schemas.openxmlformats.org/drawingml/2006/main" prst="rect">
          <a:avLst/>
        </a:prstGeom>
        <a:solidFill xmlns:a="http://schemas.openxmlformats.org/drawingml/2006/main">
          <a:srgbClr val="FF99CC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Value</a:t>
          </a:r>
        </a:p>
      </cdr:txBody>
    </cdr:sp>
  </cdr:relSizeAnchor>
  <cdr:relSizeAnchor xmlns:cdr="http://schemas.openxmlformats.org/drawingml/2006/chartDrawing">
    <cdr:from>
      <cdr:x>0.36759</cdr:x>
      <cdr:y>0.56961</cdr:y>
    </cdr:from>
    <cdr:to>
      <cdr:x>0.54804</cdr:x>
      <cdr:y>0.76451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885825" y="982025"/>
          <a:ext cx="434864" cy="336011"/>
        </a:xfrm>
        <a:prstGeom xmlns:a="http://schemas.openxmlformats.org/drawingml/2006/main" prst="rect">
          <a:avLst/>
        </a:prstGeom>
        <a:solidFill xmlns:a="http://schemas.openxmlformats.org/drawingml/2006/main">
          <a:srgbClr val="FFFFCC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Prob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0.38662</cdr:x>
      <cdr:y>0.17877</cdr:y>
    </cdr:from>
    <cdr:to>
      <cdr:x>0.84375</cdr:x>
      <cdr:y>0.88889</cdr:y>
    </cdr:to>
    <cdr:sp macro="" textlink="">
      <cdr:nvSpPr>
        <cdr:cNvPr id="7" name="Freeform 6"/>
        <cdr:cNvSpPr/>
      </cdr:nvSpPr>
      <cdr:spPr>
        <a:xfrm xmlns:a="http://schemas.openxmlformats.org/drawingml/2006/main" flipH="1">
          <a:off x="990600" y="304801"/>
          <a:ext cx="1171273" cy="1210732"/>
        </a:xfrm>
        <a:custGeom xmlns:a="http://schemas.openxmlformats.org/drawingml/2006/main">
          <a:avLst/>
          <a:gdLst>
            <a:gd name="connsiteX0" fmla="*/ 0 w 2114550"/>
            <a:gd name="connsiteY0" fmla="*/ 2162175 h 2162175"/>
            <a:gd name="connsiteX1" fmla="*/ 2114550 w 2114550"/>
            <a:gd name="connsiteY1" fmla="*/ 2162175 h 2162175"/>
            <a:gd name="connsiteX2" fmla="*/ 2085975 w 2114550"/>
            <a:gd name="connsiteY2" fmla="*/ 762000 h 2162175"/>
            <a:gd name="connsiteX3" fmla="*/ 1990725 w 2114550"/>
            <a:gd name="connsiteY3" fmla="*/ 514350 h 2162175"/>
            <a:gd name="connsiteX4" fmla="*/ 1876425 w 2114550"/>
            <a:gd name="connsiteY4" fmla="*/ 276225 h 2162175"/>
            <a:gd name="connsiteX5" fmla="*/ 1743075 w 2114550"/>
            <a:gd name="connsiteY5" fmla="*/ 85725 h 2162175"/>
            <a:gd name="connsiteX6" fmla="*/ 1657350 w 2114550"/>
            <a:gd name="connsiteY6" fmla="*/ 19050 h 2162175"/>
            <a:gd name="connsiteX7" fmla="*/ 1571625 w 2114550"/>
            <a:gd name="connsiteY7" fmla="*/ 0 h 2162175"/>
            <a:gd name="connsiteX8" fmla="*/ 1457325 w 2114550"/>
            <a:gd name="connsiteY8" fmla="*/ 85725 h 2162175"/>
            <a:gd name="connsiteX9" fmla="*/ 1285875 w 2114550"/>
            <a:gd name="connsiteY9" fmla="*/ 352425 h 2162175"/>
            <a:gd name="connsiteX10" fmla="*/ 1085850 w 2114550"/>
            <a:gd name="connsiteY10" fmla="*/ 819150 h 2162175"/>
            <a:gd name="connsiteX11" fmla="*/ 847725 w 2114550"/>
            <a:gd name="connsiteY11" fmla="*/ 1390650 h 2162175"/>
            <a:gd name="connsiteX12" fmla="*/ 657225 w 2114550"/>
            <a:gd name="connsiteY12" fmla="*/ 1714500 h 2162175"/>
            <a:gd name="connsiteX13" fmla="*/ 542925 w 2114550"/>
            <a:gd name="connsiteY13" fmla="*/ 1876425 h 2162175"/>
            <a:gd name="connsiteX14" fmla="*/ 333375 w 2114550"/>
            <a:gd name="connsiteY14" fmla="*/ 2047875 h 2162175"/>
            <a:gd name="connsiteX15" fmla="*/ 133350 w 2114550"/>
            <a:gd name="connsiteY15" fmla="*/ 2133600 h 2162175"/>
            <a:gd name="connsiteX16" fmla="*/ 0 w 2114550"/>
            <a:gd name="connsiteY16" fmla="*/ 2162175 h 21621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</a:cxnLst>
          <a:rect l="l" t="t" r="r" b="b"/>
          <a:pathLst>
            <a:path w="2114550" h="2162175">
              <a:moveTo>
                <a:pt x="0" y="2162175"/>
              </a:moveTo>
              <a:lnTo>
                <a:pt x="2114550" y="2162175"/>
              </a:lnTo>
              <a:lnTo>
                <a:pt x="2085975" y="762000"/>
              </a:lnTo>
              <a:lnTo>
                <a:pt x="1990725" y="514350"/>
              </a:lnTo>
              <a:lnTo>
                <a:pt x="1876425" y="276225"/>
              </a:lnTo>
              <a:lnTo>
                <a:pt x="1743075" y="85725"/>
              </a:lnTo>
              <a:lnTo>
                <a:pt x="1657350" y="19050"/>
              </a:lnTo>
              <a:lnTo>
                <a:pt x="1571625" y="0"/>
              </a:lnTo>
              <a:lnTo>
                <a:pt x="1457325" y="85725"/>
              </a:lnTo>
              <a:lnTo>
                <a:pt x="1285875" y="352425"/>
              </a:lnTo>
              <a:lnTo>
                <a:pt x="1085850" y="819150"/>
              </a:lnTo>
              <a:lnTo>
                <a:pt x="847725" y="1390650"/>
              </a:lnTo>
              <a:lnTo>
                <a:pt x="657225" y="1714500"/>
              </a:lnTo>
              <a:lnTo>
                <a:pt x="542925" y="1876425"/>
              </a:lnTo>
              <a:lnTo>
                <a:pt x="333375" y="2047875"/>
              </a:lnTo>
              <a:lnTo>
                <a:pt x="133350" y="2133600"/>
              </a:lnTo>
              <a:lnTo>
                <a:pt x="0" y="2162175"/>
              </a:lnTo>
              <a:close/>
            </a:path>
          </a:pathLst>
        </a:custGeom>
        <a:solidFill xmlns:a="http://schemas.openxmlformats.org/drawingml/2006/main">
          <a:srgbClr val="CC99FF"/>
        </a:solidFill>
        <a:ln xmlns:a="http://schemas.openxmlformats.org/drawingml/2006/main" w="3175" cmpd="sng"/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0.34672</cdr:x>
      <cdr:y>0.89744</cdr:y>
    </cdr:from>
    <cdr:to>
      <cdr:x>0.45255</cdr:x>
      <cdr:y>0.99653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904877" y="1666876"/>
          <a:ext cx="276224" cy="184055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00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en-US" sz="1000" b="1"/>
            <a:t>C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0.38462</cdr:x>
      <cdr:y>0.15023</cdr:y>
    </cdr:from>
    <cdr:to>
      <cdr:x>0.58974</cdr:x>
      <cdr:y>0.85446</cdr:y>
    </cdr:to>
    <cdr:sp macro="" textlink="">
      <cdr:nvSpPr>
        <cdr:cNvPr id="7" name="Freeform 6"/>
        <cdr:cNvSpPr/>
      </cdr:nvSpPr>
      <cdr:spPr>
        <a:xfrm xmlns:a="http://schemas.openxmlformats.org/drawingml/2006/main">
          <a:off x="1285876" y="304799"/>
          <a:ext cx="685800" cy="1428751"/>
        </a:xfrm>
        <a:custGeom xmlns:a="http://schemas.openxmlformats.org/drawingml/2006/main">
          <a:avLst/>
          <a:gdLst>
            <a:gd name="connsiteX0" fmla="*/ 0 w 2114550"/>
            <a:gd name="connsiteY0" fmla="*/ 2162175 h 2162175"/>
            <a:gd name="connsiteX1" fmla="*/ 2114550 w 2114550"/>
            <a:gd name="connsiteY1" fmla="*/ 2162175 h 2162175"/>
            <a:gd name="connsiteX2" fmla="*/ 2085975 w 2114550"/>
            <a:gd name="connsiteY2" fmla="*/ 762000 h 2162175"/>
            <a:gd name="connsiteX3" fmla="*/ 1990725 w 2114550"/>
            <a:gd name="connsiteY3" fmla="*/ 514350 h 2162175"/>
            <a:gd name="connsiteX4" fmla="*/ 1876425 w 2114550"/>
            <a:gd name="connsiteY4" fmla="*/ 276225 h 2162175"/>
            <a:gd name="connsiteX5" fmla="*/ 1743075 w 2114550"/>
            <a:gd name="connsiteY5" fmla="*/ 85725 h 2162175"/>
            <a:gd name="connsiteX6" fmla="*/ 1657350 w 2114550"/>
            <a:gd name="connsiteY6" fmla="*/ 19050 h 2162175"/>
            <a:gd name="connsiteX7" fmla="*/ 1571625 w 2114550"/>
            <a:gd name="connsiteY7" fmla="*/ 0 h 2162175"/>
            <a:gd name="connsiteX8" fmla="*/ 1457325 w 2114550"/>
            <a:gd name="connsiteY8" fmla="*/ 85725 h 2162175"/>
            <a:gd name="connsiteX9" fmla="*/ 1285875 w 2114550"/>
            <a:gd name="connsiteY9" fmla="*/ 352425 h 2162175"/>
            <a:gd name="connsiteX10" fmla="*/ 1085850 w 2114550"/>
            <a:gd name="connsiteY10" fmla="*/ 819150 h 2162175"/>
            <a:gd name="connsiteX11" fmla="*/ 847725 w 2114550"/>
            <a:gd name="connsiteY11" fmla="*/ 1390650 h 2162175"/>
            <a:gd name="connsiteX12" fmla="*/ 657225 w 2114550"/>
            <a:gd name="connsiteY12" fmla="*/ 1714500 h 2162175"/>
            <a:gd name="connsiteX13" fmla="*/ 542925 w 2114550"/>
            <a:gd name="connsiteY13" fmla="*/ 1876425 h 2162175"/>
            <a:gd name="connsiteX14" fmla="*/ 333375 w 2114550"/>
            <a:gd name="connsiteY14" fmla="*/ 2047875 h 2162175"/>
            <a:gd name="connsiteX15" fmla="*/ 133350 w 2114550"/>
            <a:gd name="connsiteY15" fmla="*/ 2133600 h 2162175"/>
            <a:gd name="connsiteX16" fmla="*/ 0 w 2114550"/>
            <a:gd name="connsiteY16" fmla="*/ 2162175 h 2162175"/>
            <a:gd name="connsiteX0" fmla="*/ 0 w 2114550"/>
            <a:gd name="connsiteY0" fmla="*/ 2162175 h 2162175"/>
            <a:gd name="connsiteX1" fmla="*/ 2114550 w 2114550"/>
            <a:gd name="connsiteY1" fmla="*/ 2162175 h 2162175"/>
            <a:gd name="connsiteX2" fmla="*/ 2085975 w 2114550"/>
            <a:gd name="connsiteY2" fmla="*/ 762000 h 2162175"/>
            <a:gd name="connsiteX3" fmla="*/ 1990725 w 2114550"/>
            <a:gd name="connsiteY3" fmla="*/ 514350 h 2162175"/>
            <a:gd name="connsiteX4" fmla="*/ 1876425 w 2114550"/>
            <a:gd name="connsiteY4" fmla="*/ 276225 h 2162175"/>
            <a:gd name="connsiteX5" fmla="*/ 1743075 w 2114550"/>
            <a:gd name="connsiteY5" fmla="*/ 85725 h 2162175"/>
            <a:gd name="connsiteX6" fmla="*/ 1657350 w 2114550"/>
            <a:gd name="connsiteY6" fmla="*/ 19050 h 2162175"/>
            <a:gd name="connsiteX7" fmla="*/ 1571625 w 2114550"/>
            <a:gd name="connsiteY7" fmla="*/ 0 h 2162175"/>
            <a:gd name="connsiteX8" fmla="*/ 1457325 w 2114550"/>
            <a:gd name="connsiteY8" fmla="*/ 85725 h 2162175"/>
            <a:gd name="connsiteX9" fmla="*/ 1285875 w 2114550"/>
            <a:gd name="connsiteY9" fmla="*/ 352425 h 2162175"/>
            <a:gd name="connsiteX10" fmla="*/ 1085850 w 2114550"/>
            <a:gd name="connsiteY10" fmla="*/ 819150 h 2162175"/>
            <a:gd name="connsiteX11" fmla="*/ 1085850 w 2114550"/>
            <a:gd name="connsiteY11" fmla="*/ 1495433 h 2162175"/>
            <a:gd name="connsiteX12" fmla="*/ 657225 w 2114550"/>
            <a:gd name="connsiteY12" fmla="*/ 1714500 h 2162175"/>
            <a:gd name="connsiteX13" fmla="*/ 542925 w 2114550"/>
            <a:gd name="connsiteY13" fmla="*/ 1876425 h 2162175"/>
            <a:gd name="connsiteX14" fmla="*/ 333375 w 2114550"/>
            <a:gd name="connsiteY14" fmla="*/ 2047875 h 2162175"/>
            <a:gd name="connsiteX15" fmla="*/ 133350 w 2114550"/>
            <a:gd name="connsiteY15" fmla="*/ 2133600 h 2162175"/>
            <a:gd name="connsiteX16" fmla="*/ 0 w 2114550"/>
            <a:gd name="connsiteY16" fmla="*/ 2162175 h 2162175"/>
            <a:gd name="connsiteX0" fmla="*/ 0 w 2114550"/>
            <a:gd name="connsiteY0" fmla="*/ 2162175 h 2162175"/>
            <a:gd name="connsiteX1" fmla="*/ 2114550 w 2114550"/>
            <a:gd name="connsiteY1" fmla="*/ 2162175 h 2162175"/>
            <a:gd name="connsiteX2" fmla="*/ 2085975 w 2114550"/>
            <a:gd name="connsiteY2" fmla="*/ 762000 h 2162175"/>
            <a:gd name="connsiteX3" fmla="*/ 1990725 w 2114550"/>
            <a:gd name="connsiteY3" fmla="*/ 514350 h 2162175"/>
            <a:gd name="connsiteX4" fmla="*/ 1876425 w 2114550"/>
            <a:gd name="connsiteY4" fmla="*/ 276225 h 2162175"/>
            <a:gd name="connsiteX5" fmla="*/ 1743075 w 2114550"/>
            <a:gd name="connsiteY5" fmla="*/ 85725 h 2162175"/>
            <a:gd name="connsiteX6" fmla="*/ 1657350 w 2114550"/>
            <a:gd name="connsiteY6" fmla="*/ 19050 h 2162175"/>
            <a:gd name="connsiteX7" fmla="*/ 1571625 w 2114550"/>
            <a:gd name="connsiteY7" fmla="*/ 0 h 2162175"/>
            <a:gd name="connsiteX8" fmla="*/ 1457325 w 2114550"/>
            <a:gd name="connsiteY8" fmla="*/ 85725 h 2162175"/>
            <a:gd name="connsiteX9" fmla="*/ 1285875 w 2114550"/>
            <a:gd name="connsiteY9" fmla="*/ 352425 h 2162175"/>
            <a:gd name="connsiteX10" fmla="*/ 1085850 w 2114550"/>
            <a:gd name="connsiteY10" fmla="*/ 819150 h 2162175"/>
            <a:gd name="connsiteX11" fmla="*/ 1085850 w 2114550"/>
            <a:gd name="connsiteY11" fmla="*/ 1495433 h 2162175"/>
            <a:gd name="connsiteX12" fmla="*/ 1066800 w 2114550"/>
            <a:gd name="connsiteY12" fmla="*/ 1885960 h 2162175"/>
            <a:gd name="connsiteX13" fmla="*/ 542925 w 2114550"/>
            <a:gd name="connsiteY13" fmla="*/ 1876425 h 2162175"/>
            <a:gd name="connsiteX14" fmla="*/ 333375 w 2114550"/>
            <a:gd name="connsiteY14" fmla="*/ 2047875 h 2162175"/>
            <a:gd name="connsiteX15" fmla="*/ 133350 w 2114550"/>
            <a:gd name="connsiteY15" fmla="*/ 2133600 h 2162175"/>
            <a:gd name="connsiteX16" fmla="*/ 0 w 2114550"/>
            <a:gd name="connsiteY16" fmla="*/ 2162175 h 2162175"/>
            <a:gd name="connsiteX0" fmla="*/ 0 w 2114550"/>
            <a:gd name="connsiteY0" fmla="*/ 2162175 h 2162175"/>
            <a:gd name="connsiteX1" fmla="*/ 2114550 w 2114550"/>
            <a:gd name="connsiteY1" fmla="*/ 2162175 h 2162175"/>
            <a:gd name="connsiteX2" fmla="*/ 2085975 w 2114550"/>
            <a:gd name="connsiteY2" fmla="*/ 762000 h 2162175"/>
            <a:gd name="connsiteX3" fmla="*/ 1990725 w 2114550"/>
            <a:gd name="connsiteY3" fmla="*/ 514350 h 2162175"/>
            <a:gd name="connsiteX4" fmla="*/ 1876425 w 2114550"/>
            <a:gd name="connsiteY4" fmla="*/ 276225 h 2162175"/>
            <a:gd name="connsiteX5" fmla="*/ 1743075 w 2114550"/>
            <a:gd name="connsiteY5" fmla="*/ 85725 h 2162175"/>
            <a:gd name="connsiteX6" fmla="*/ 1657350 w 2114550"/>
            <a:gd name="connsiteY6" fmla="*/ 19050 h 2162175"/>
            <a:gd name="connsiteX7" fmla="*/ 1571625 w 2114550"/>
            <a:gd name="connsiteY7" fmla="*/ 0 h 2162175"/>
            <a:gd name="connsiteX8" fmla="*/ 1457325 w 2114550"/>
            <a:gd name="connsiteY8" fmla="*/ 85725 h 2162175"/>
            <a:gd name="connsiteX9" fmla="*/ 1285875 w 2114550"/>
            <a:gd name="connsiteY9" fmla="*/ 352425 h 2162175"/>
            <a:gd name="connsiteX10" fmla="*/ 1085850 w 2114550"/>
            <a:gd name="connsiteY10" fmla="*/ 819150 h 2162175"/>
            <a:gd name="connsiteX11" fmla="*/ 1085850 w 2114550"/>
            <a:gd name="connsiteY11" fmla="*/ 1495433 h 2162175"/>
            <a:gd name="connsiteX12" fmla="*/ 542925 w 2114550"/>
            <a:gd name="connsiteY12" fmla="*/ 1876425 h 2162175"/>
            <a:gd name="connsiteX13" fmla="*/ 333375 w 2114550"/>
            <a:gd name="connsiteY13" fmla="*/ 2047875 h 2162175"/>
            <a:gd name="connsiteX14" fmla="*/ 133350 w 2114550"/>
            <a:gd name="connsiteY14" fmla="*/ 2133600 h 2162175"/>
            <a:gd name="connsiteX15" fmla="*/ 0 w 2114550"/>
            <a:gd name="connsiteY15" fmla="*/ 2162175 h 2162175"/>
            <a:gd name="connsiteX0" fmla="*/ 0 w 2114550"/>
            <a:gd name="connsiteY0" fmla="*/ 2162175 h 2162175"/>
            <a:gd name="connsiteX1" fmla="*/ 2114550 w 2114550"/>
            <a:gd name="connsiteY1" fmla="*/ 2162175 h 2162175"/>
            <a:gd name="connsiteX2" fmla="*/ 2085975 w 2114550"/>
            <a:gd name="connsiteY2" fmla="*/ 762000 h 2162175"/>
            <a:gd name="connsiteX3" fmla="*/ 1990725 w 2114550"/>
            <a:gd name="connsiteY3" fmla="*/ 514350 h 2162175"/>
            <a:gd name="connsiteX4" fmla="*/ 1876425 w 2114550"/>
            <a:gd name="connsiteY4" fmla="*/ 276225 h 2162175"/>
            <a:gd name="connsiteX5" fmla="*/ 1743075 w 2114550"/>
            <a:gd name="connsiteY5" fmla="*/ 85725 h 2162175"/>
            <a:gd name="connsiteX6" fmla="*/ 1657350 w 2114550"/>
            <a:gd name="connsiteY6" fmla="*/ 19050 h 2162175"/>
            <a:gd name="connsiteX7" fmla="*/ 1571625 w 2114550"/>
            <a:gd name="connsiteY7" fmla="*/ 0 h 2162175"/>
            <a:gd name="connsiteX8" fmla="*/ 1457325 w 2114550"/>
            <a:gd name="connsiteY8" fmla="*/ 85725 h 2162175"/>
            <a:gd name="connsiteX9" fmla="*/ 1285875 w 2114550"/>
            <a:gd name="connsiteY9" fmla="*/ 352425 h 2162175"/>
            <a:gd name="connsiteX10" fmla="*/ 1085850 w 2114550"/>
            <a:gd name="connsiteY10" fmla="*/ 819150 h 2162175"/>
            <a:gd name="connsiteX11" fmla="*/ 1085850 w 2114550"/>
            <a:gd name="connsiteY11" fmla="*/ 1495433 h 2162175"/>
            <a:gd name="connsiteX12" fmla="*/ 333375 w 2114550"/>
            <a:gd name="connsiteY12" fmla="*/ 2047875 h 2162175"/>
            <a:gd name="connsiteX13" fmla="*/ 133350 w 2114550"/>
            <a:gd name="connsiteY13" fmla="*/ 2133600 h 2162175"/>
            <a:gd name="connsiteX14" fmla="*/ 0 w 2114550"/>
            <a:gd name="connsiteY14" fmla="*/ 2162175 h 2162175"/>
            <a:gd name="connsiteX0" fmla="*/ 0 w 2114550"/>
            <a:gd name="connsiteY0" fmla="*/ 2162175 h 2162175"/>
            <a:gd name="connsiteX1" fmla="*/ 2114550 w 2114550"/>
            <a:gd name="connsiteY1" fmla="*/ 2162175 h 2162175"/>
            <a:gd name="connsiteX2" fmla="*/ 2085975 w 2114550"/>
            <a:gd name="connsiteY2" fmla="*/ 762000 h 2162175"/>
            <a:gd name="connsiteX3" fmla="*/ 1990725 w 2114550"/>
            <a:gd name="connsiteY3" fmla="*/ 514350 h 2162175"/>
            <a:gd name="connsiteX4" fmla="*/ 1876425 w 2114550"/>
            <a:gd name="connsiteY4" fmla="*/ 276225 h 2162175"/>
            <a:gd name="connsiteX5" fmla="*/ 1743075 w 2114550"/>
            <a:gd name="connsiteY5" fmla="*/ 85725 h 2162175"/>
            <a:gd name="connsiteX6" fmla="*/ 1657350 w 2114550"/>
            <a:gd name="connsiteY6" fmla="*/ 19050 h 2162175"/>
            <a:gd name="connsiteX7" fmla="*/ 1571625 w 2114550"/>
            <a:gd name="connsiteY7" fmla="*/ 0 h 2162175"/>
            <a:gd name="connsiteX8" fmla="*/ 1457325 w 2114550"/>
            <a:gd name="connsiteY8" fmla="*/ 85725 h 2162175"/>
            <a:gd name="connsiteX9" fmla="*/ 1285875 w 2114550"/>
            <a:gd name="connsiteY9" fmla="*/ 352425 h 2162175"/>
            <a:gd name="connsiteX10" fmla="*/ 1085850 w 2114550"/>
            <a:gd name="connsiteY10" fmla="*/ 819150 h 2162175"/>
            <a:gd name="connsiteX11" fmla="*/ 1085850 w 2114550"/>
            <a:gd name="connsiteY11" fmla="*/ 1495433 h 2162175"/>
            <a:gd name="connsiteX12" fmla="*/ 133350 w 2114550"/>
            <a:gd name="connsiteY12" fmla="*/ 2133600 h 2162175"/>
            <a:gd name="connsiteX13" fmla="*/ 0 w 2114550"/>
            <a:gd name="connsiteY13" fmla="*/ 2162175 h 2162175"/>
            <a:gd name="connsiteX0" fmla="*/ 0 w 2114550"/>
            <a:gd name="connsiteY0" fmla="*/ 2162175 h 2162175"/>
            <a:gd name="connsiteX1" fmla="*/ 2114550 w 2114550"/>
            <a:gd name="connsiteY1" fmla="*/ 2162175 h 2162175"/>
            <a:gd name="connsiteX2" fmla="*/ 2085975 w 2114550"/>
            <a:gd name="connsiteY2" fmla="*/ 762000 h 2162175"/>
            <a:gd name="connsiteX3" fmla="*/ 1990725 w 2114550"/>
            <a:gd name="connsiteY3" fmla="*/ 514350 h 2162175"/>
            <a:gd name="connsiteX4" fmla="*/ 1876425 w 2114550"/>
            <a:gd name="connsiteY4" fmla="*/ 276225 h 2162175"/>
            <a:gd name="connsiteX5" fmla="*/ 1743075 w 2114550"/>
            <a:gd name="connsiteY5" fmla="*/ 85725 h 2162175"/>
            <a:gd name="connsiteX6" fmla="*/ 1657350 w 2114550"/>
            <a:gd name="connsiteY6" fmla="*/ 19050 h 2162175"/>
            <a:gd name="connsiteX7" fmla="*/ 1571625 w 2114550"/>
            <a:gd name="connsiteY7" fmla="*/ 0 h 2162175"/>
            <a:gd name="connsiteX8" fmla="*/ 1457325 w 2114550"/>
            <a:gd name="connsiteY8" fmla="*/ 85725 h 2162175"/>
            <a:gd name="connsiteX9" fmla="*/ 1285875 w 2114550"/>
            <a:gd name="connsiteY9" fmla="*/ 352425 h 2162175"/>
            <a:gd name="connsiteX10" fmla="*/ 1085850 w 2114550"/>
            <a:gd name="connsiteY10" fmla="*/ 819150 h 2162175"/>
            <a:gd name="connsiteX11" fmla="*/ 1085850 w 2114550"/>
            <a:gd name="connsiteY11" fmla="*/ 1495433 h 2162175"/>
            <a:gd name="connsiteX12" fmla="*/ 0 w 2114550"/>
            <a:gd name="connsiteY12" fmla="*/ 2162175 h 2162175"/>
            <a:gd name="connsiteX0" fmla="*/ 0 w 2114550"/>
            <a:gd name="connsiteY0" fmla="*/ 2162175 h 2162175"/>
            <a:gd name="connsiteX1" fmla="*/ 2114550 w 2114550"/>
            <a:gd name="connsiteY1" fmla="*/ 2162175 h 2162175"/>
            <a:gd name="connsiteX2" fmla="*/ 2085975 w 2114550"/>
            <a:gd name="connsiteY2" fmla="*/ 762000 h 2162175"/>
            <a:gd name="connsiteX3" fmla="*/ 1990725 w 2114550"/>
            <a:gd name="connsiteY3" fmla="*/ 514350 h 2162175"/>
            <a:gd name="connsiteX4" fmla="*/ 1876425 w 2114550"/>
            <a:gd name="connsiteY4" fmla="*/ 276225 h 2162175"/>
            <a:gd name="connsiteX5" fmla="*/ 1743075 w 2114550"/>
            <a:gd name="connsiteY5" fmla="*/ 85725 h 2162175"/>
            <a:gd name="connsiteX6" fmla="*/ 1657350 w 2114550"/>
            <a:gd name="connsiteY6" fmla="*/ 19050 h 2162175"/>
            <a:gd name="connsiteX7" fmla="*/ 1571625 w 2114550"/>
            <a:gd name="connsiteY7" fmla="*/ 0 h 2162175"/>
            <a:gd name="connsiteX8" fmla="*/ 1457325 w 2114550"/>
            <a:gd name="connsiteY8" fmla="*/ 85725 h 2162175"/>
            <a:gd name="connsiteX9" fmla="*/ 1285875 w 2114550"/>
            <a:gd name="connsiteY9" fmla="*/ 352425 h 2162175"/>
            <a:gd name="connsiteX10" fmla="*/ 1085850 w 2114550"/>
            <a:gd name="connsiteY10" fmla="*/ 819150 h 2162175"/>
            <a:gd name="connsiteX11" fmla="*/ 0 w 2114550"/>
            <a:gd name="connsiteY11" fmla="*/ 2162175 h 2162175"/>
            <a:gd name="connsiteX0" fmla="*/ 0 w 1038225"/>
            <a:gd name="connsiteY0" fmla="*/ 2162187 h 2162187"/>
            <a:gd name="connsiteX1" fmla="*/ 1038225 w 1038225"/>
            <a:gd name="connsiteY1" fmla="*/ 2162175 h 2162187"/>
            <a:gd name="connsiteX2" fmla="*/ 1009650 w 1038225"/>
            <a:gd name="connsiteY2" fmla="*/ 762000 h 2162187"/>
            <a:gd name="connsiteX3" fmla="*/ 914400 w 1038225"/>
            <a:gd name="connsiteY3" fmla="*/ 514350 h 2162187"/>
            <a:gd name="connsiteX4" fmla="*/ 800100 w 1038225"/>
            <a:gd name="connsiteY4" fmla="*/ 276225 h 2162187"/>
            <a:gd name="connsiteX5" fmla="*/ 666750 w 1038225"/>
            <a:gd name="connsiteY5" fmla="*/ 85725 h 2162187"/>
            <a:gd name="connsiteX6" fmla="*/ 581025 w 1038225"/>
            <a:gd name="connsiteY6" fmla="*/ 19050 h 2162187"/>
            <a:gd name="connsiteX7" fmla="*/ 495300 w 1038225"/>
            <a:gd name="connsiteY7" fmla="*/ 0 h 2162187"/>
            <a:gd name="connsiteX8" fmla="*/ 381000 w 1038225"/>
            <a:gd name="connsiteY8" fmla="*/ 85725 h 2162187"/>
            <a:gd name="connsiteX9" fmla="*/ 209550 w 1038225"/>
            <a:gd name="connsiteY9" fmla="*/ 352425 h 2162187"/>
            <a:gd name="connsiteX10" fmla="*/ 9525 w 1038225"/>
            <a:gd name="connsiteY10" fmla="*/ 819150 h 2162187"/>
            <a:gd name="connsiteX11" fmla="*/ 0 w 1038225"/>
            <a:gd name="connsiteY11" fmla="*/ 2162187 h 216218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</a:cxnLst>
          <a:rect l="l" t="t" r="r" b="b"/>
          <a:pathLst>
            <a:path w="1038225" h="2162187">
              <a:moveTo>
                <a:pt x="0" y="2162187"/>
              </a:moveTo>
              <a:lnTo>
                <a:pt x="1038225" y="2162175"/>
              </a:lnTo>
              <a:lnTo>
                <a:pt x="1009650" y="762000"/>
              </a:lnTo>
              <a:lnTo>
                <a:pt x="914400" y="514350"/>
              </a:lnTo>
              <a:lnTo>
                <a:pt x="800100" y="276225"/>
              </a:lnTo>
              <a:lnTo>
                <a:pt x="666750" y="85725"/>
              </a:lnTo>
              <a:lnTo>
                <a:pt x="581025" y="19050"/>
              </a:lnTo>
              <a:lnTo>
                <a:pt x="495300" y="0"/>
              </a:lnTo>
              <a:lnTo>
                <a:pt x="381000" y="85725"/>
              </a:lnTo>
              <a:lnTo>
                <a:pt x="209550" y="352425"/>
              </a:lnTo>
              <a:lnTo>
                <a:pt x="9525" y="819150"/>
              </a:lnTo>
              <a:lnTo>
                <a:pt x="0" y="2162187"/>
              </a:lnTo>
              <a:close/>
            </a:path>
          </a:pathLst>
        </a:custGeom>
        <a:solidFill xmlns:a="http://schemas.openxmlformats.org/drawingml/2006/main">
          <a:srgbClr val="99CCFF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0.32479</cdr:x>
      <cdr:y>0.87324</cdr:y>
    </cdr:from>
    <cdr:to>
      <cdr:x>0.40456</cdr:x>
      <cdr:y>0.97653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085852" y="1771651"/>
          <a:ext cx="266700" cy="209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chemeClr val="tx1"/>
              </a:solidFill>
            </a:rPr>
            <a:t>A</a:t>
          </a:r>
        </a:p>
      </cdr:txBody>
    </cdr:sp>
  </cdr:relSizeAnchor>
  <cdr:relSizeAnchor xmlns:cdr="http://schemas.openxmlformats.org/drawingml/2006/chartDrawing">
    <cdr:from>
      <cdr:x>0.55271</cdr:x>
      <cdr:y>0.87793</cdr:y>
    </cdr:from>
    <cdr:to>
      <cdr:x>0.63248</cdr:x>
      <cdr:y>0.98122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1847850" y="1781175"/>
          <a:ext cx="266700" cy="2095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  <a:ln xmlns:a="http://schemas.openxmlformats.org/drawingml/2006/main" w="25400" cap="flat" cmpd="sng" algn="ctr">
          <a:noFill/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r>
            <a:rPr lang="en-US" sz="1000" b="1">
              <a:solidFill>
                <a:sysClr val="windowText" lastClr="000000"/>
              </a:solidFill>
            </a:rPr>
            <a:t>B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371475</xdr:colOff>
      <xdr:row>1</xdr:row>
      <xdr:rowOff>57150</xdr:rowOff>
    </xdr:from>
    <xdr:to>
      <xdr:col>3</xdr:col>
      <xdr:colOff>685800</xdr:colOff>
      <xdr:row>1</xdr:row>
      <xdr:rowOff>238125</xdr:rowOff>
    </xdr:to>
    <xdr:pic>
      <xdr:nvPicPr>
        <xdr:cNvPr id="1176" name="Object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05150" y="247650"/>
          <a:ext cx="314325" cy="180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371475</xdr:colOff>
          <xdr:row>1</xdr:row>
          <xdr:rowOff>57150</xdr:rowOff>
        </xdr:from>
        <xdr:to>
          <xdr:col>3</xdr:col>
          <xdr:colOff>685800</xdr:colOff>
          <xdr:row>1</xdr:row>
          <xdr:rowOff>238125</xdr:rowOff>
        </xdr:to>
        <xdr:sp macro="" textlink="">
          <xdr:nvSpPr>
            <xdr:cNvPr id="1136" name="Object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495300</xdr:colOff>
          <xdr:row>3</xdr:row>
          <xdr:rowOff>57150</xdr:rowOff>
        </xdr:from>
        <xdr:to>
          <xdr:col>3</xdr:col>
          <xdr:colOff>1123950</xdr:colOff>
          <xdr:row>3</xdr:row>
          <xdr:rowOff>361950</xdr:rowOff>
        </xdr:to>
        <xdr:sp macro="" textlink="">
          <xdr:nvSpPr>
            <xdr:cNvPr id="1137" name="Object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190500</xdr:colOff>
          <xdr:row>4</xdr:row>
          <xdr:rowOff>85725</xdr:rowOff>
        </xdr:from>
        <xdr:to>
          <xdr:col>3</xdr:col>
          <xdr:colOff>1552575</xdr:colOff>
          <xdr:row>4</xdr:row>
          <xdr:rowOff>647700</xdr:rowOff>
        </xdr:to>
        <xdr:sp macro="" textlink="">
          <xdr:nvSpPr>
            <xdr:cNvPr id="1138" name="Object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1</xdr:row>
      <xdr:rowOff>47625</xdr:rowOff>
    </xdr:from>
    <xdr:to>
      <xdr:col>3</xdr:col>
      <xdr:colOff>609600</xdr:colOff>
      <xdr:row>1</xdr:row>
      <xdr:rowOff>228600</xdr:rowOff>
    </xdr:to>
    <xdr:pic>
      <xdr:nvPicPr>
        <xdr:cNvPr id="2200" name="Object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28950" y="238125"/>
          <a:ext cx="314325" cy="180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295275</xdr:colOff>
          <xdr:row>1</xdr:row>
          <xdr:rowOff>47625</xdr:rowOff>
        </xdr:from>
        <xdr:to>
          <xdr:col>3</xdr:col>
          <xdr:colOff>609600</xdr:colOff>
          <xdr:row>1</xdr:row>
          <xdr:rowOff>228600</xdr:rowOff>
        </xdr:to>
        <xdr:sp macro="" textlink="">
          <xdr:nvSpPr>
            <xdr:cNvPr id="2160" name="Object 112" hidden="1">
              <a:extLst>
                <a:ext uri="{63B3BB69-23CF-44E3-9099-C40C66FF867C}">
                  <a14:compatExt spid="_x0000_s2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3</xdr:row>
          <xdr:rowOff>47625</xdr:rowOff>
        </xdr:from>
        <xdr:to>
          <xdr:col>3</xdr:col>
          <xdr:colOff>838200</xdr:colOff>
          <xdr:row>3</xdr:row>
          <xdr:rowOff>333375</xdr:rowOff>
        </xdr:to>
        <xdr:sp macro="" textlink="">
          <xdr:nvSpPr>
            <xdr:cNvPr id="2161" name="Object 113" hidden="1">
              <a:extLst>
                <a:ext uri="{63B3BB69-23CF-44E3-9099-C40C66FF867C}">
                  <a14:compatExt spid="_x0000_s2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238125</xdr:colOff>
          <xdr:row>4</xdr:row>
          <xdr:rowOff>57150</xdr:rowOff>
        </xdr:from>
        <xdr:to>
          <xdr:col>3</xdr:col>
          <xdr:colOff>1000125</xdr:colOff>
          <xdr:row>4</xdr:row>
          <xdr:rowOff>581025</xdr:rowOff>
        </xdr:to>
        <xdr:sp macro="" textlink="">
          <xdr:nvSpPr>
            <xdr:cNvPr id="2162" name="Object 114" hidden="1">
              <a:extLst>
                <a:ext uri="{63B3BB69-23CF-44E3-9099-C40C66FF867C}">
                  <a14:compatExt spid="_x0000_s2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47625</xdr:colOff>
          <xdr:row>3</xdr:row>
          <xdr:rowOff>38100</xdr:rowOff>
        </xdr:from>
        <xdr:to>
          <xdr:col>15</xdr:col>
          <xdr:colOff>1028700</xdr:colOff>
          <xdr:row>3</xdr:row>
          <xdr:rowOff>247650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usie's\STT%202810\NOTES\Graphics\Book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>
            <v>-3</v>
          </cell>
          <cell r="B1">
            <v>4.4318484119380067E-3</v>
          </cell>
        </row>
        <row r="2">
          <cell r="A2">
            <v>-2.95</v>
          </cell>
          <cell r="B2">
            <v>5.1426409230539384E-3</v>
          </cell>
        </row>
        <row r="3">
          <cell r="A3">
            <v>-2.9</v>
          </cell>
          <cell r="B3">
            <v>5.9525324197758529E-3</v>
          </cell>
        </row>
        <row r="4">
          <cell r="A4">
            <v>-2.85</v>
          </cell>
          <cell r="B4">
            <v>6.8727666906139694E-3</v>
          </cell>
        </row>
        <row r="5">
          <cell r="A5">
            <v>-2.8</v>
          </cell>
          <cell r="B5">
            <v>7.9154515829799668E-3</v>
          </cell>
        </row>
        <row r="6">
          <cell r="A6">
            <v>-2.75</v>
          </cell>
          <cell r="B6">
            <v>9.0935625015910512E-3</v>
          </cell>
        </row>
        <row r="7">
          <cell r="A7">
            <v>-2.7</v>
          </cell>
          <cell r="B7">
            <v>1.042093481442259E-2</v>
          </cell>
        </row>
        <row r="8">
          <cell r="A8">
            <v>-2.65</v>
          </cell>
          <cell r="B8">
            <v>1.1912243607605177E-2</v>
          </cell>
        </row>
        <row r="9">
          <cell r="A9">
            <v>-2.6</v>
          </cell>
          <cell r="B9">
            <v>1.3582969233685611E-2</v>
          </cell>
        </row>
        <row r="10">
          <cell r="A10">
            <v>-2.5499999999999998</v>
          </cell>
          <cell r="B10">
            <v>1.5449347134395173E-2</v>
          </cell>
        </row>
        <row r="11">
          <cell r="A11">
            <v>-2.5</v>
          </cell>
          <cell r="B11">
            <v>1.7528300493568537E-2</v>
          </cell>
        </row>
        <row r="12">
          <cell r="A12">
            <v>-2.4500000000000002</v>
          </cell>
          <cell r="B12">
            <v>1.9837354391795309E-2</v>
          </cell>
        </row>
        <row r="13">
          <cell r="A13">
            <v>-2.4</v>
          </cell>
          <cell r="B13">
            <v>2.2394530294842896E-2</v>
          </cell>
        </row>
        <row r="14">
          <cell r="A14">
            <v>-2.35</v>
          </cell>
          <cell r="B14">
            <v>2.5218219915194379E-2</v>
          </cell>
        </row>
        <row r="15">
          <cell r="A15">
            <v>-2.2999999999999998</v>
          </cell>
          <cell r="B15">
            <v>2.8327037741601183E-2</v>
          </cell>
        </row>
        <row r="16">
          <cell r="A16">
            <v>-2.25</v>
          </cell>
          <cell r="B16">
            <v>3.1739651835667418E-2</v>
          </cell>
        </row>
        <row r="17">
          <cell r="A17">
            <v>-2.2000000000000002</v>
          </cell>
          <cell r="B17">
            <v>3.5474592846231418E-2</v>
          </cell>
        </row>
        <row r="18">
          <cell r="A18">
            <v>-2.15</v>
          </cell>
          <cell r="B18">
            <v>3.9550041589370213E-2</v>
          </cell>
        </row>
        <row r="19">
          <cell r="A19">
            <v>-2.1</v>
          </cell>
          <cell r="B19">
            <v>4.3983595980427184E-2</v>
          </cell>
        </row>
        <row r="20">
          <cell r="A20">
            <v>-2.0499999999999998</v>
          </cell>
          <cell r="B20">
            <v>4.8792018579182757E-2</v>
          </cell>
        </row>
        <row r="21">
          <cell r="A21">
            <v>-2</v>
          </cell>
          <cell r="B21">
            <v>5.3990966513188049E-2</v>
          </cell>
        </row>
        <row r="22">
          <cell r="A22">
            <v>-1.95</v>
          </cell>
          <cell r="B22">
            <v>5.9594706068816068E-2</v>
          </cell>
        </row>
        <row r="23">
          <cell r="A23">
            <v>-1.9</v>
          </cell>
          <cell r="B23">
            <v>6.5615814774676581E-2</v>
          </cell>
        </row>
        <row r="24">
          <cell r="A24">
            <v>-1.85</v>
          </cell>
          <cell r="B24">
            <v>7.2064874336217985E-2</v>
          </cell>
        </row>
        <row r="25">
          <cell r="A25">
            <v>-1.8</v>
          </cell>
          <cell r="B25">
            <v>7.8950158300894135E-2</v>
          </cell>
        </row>
        <row r="26">
          <cell r="A26">
            <v>-1.75</v>
          </cell>
          <cell r="B26">
            <v>8.6277318826511518E-2</v>
          </cell>
        </row>
        <row r="27">
          <cell r="A27">
            <v>-1.7</v>
          </cell>
          <cell r="B27">
            <v>9.4049077376886933E-2</v>
          </cell>
        </row>
        <row r="28">
          <cell r="A28">
            <v>-1.65</v>
          </cell>
          <cell r="B28">
            <v>0.10226492456397802</v>
          </cell>
        </row>
        <row r="29">
          <cell r="A29">
            <v>-1.6</v>
          </cell>
          <cell r="B29">
            <v>0.11092083467945553</v>
          </cell>
        </row>
        <row r="30">
          <cell r="A30">
            <v>-1.55000000000001</v>
          </cell>
          <cell r="B30">
            <v>0.12000900069698373</v>
          </cell>
        </row>
        <row r="31">
          <cell r="A31">
            <v>-1.50000000000001</v>
          </cell>
          <cell r="B31">
            <v>0.12951759566588977</v>
          </cell>
        </row>
        <row r="32">
          <cell r="A32">
            <v>-1.4500000000000099</v>
          </cell>
          <cell r="B32">
            <v>0.13943056644535826</v>
          </cell>
        </row>
        <row r="33">
          <cell r="A33">
            <v>-1.4000000000000099</v>
          </cell>
          <cell r="B33">
            <v>0.14972746563574277</v>
          </cell>
        </row>
        <row r="34">
          <cell r="A34">
            <v>-1.3500000000000101</v>
          </cell>
          <cell r="B34">
            <v>0.16038332734191738</v>
          </cell>
        </row>
        <row r="35">
          <cell r="A35">
            <v>-1.30000000000001</v>
          </cell>
          <cell r="B35">
            <v>0.17136859204780511</v>
          </cell>
        </row>
        <row r="36">
          <cell r="A36">
            <v>-1.25000000000001</v>
          </cell>
          <cell r="B36">
            <v>0.18264908538901961</v>
          </cell>
        </row>
        <row r="37">
          <cell r="A37">
            <v>-1.2000000000000099</v>
          </cell>
          <cell r="B37">
            <v>0.19418605498321062</v>
          </cell>
        </row>
        <row r="38">
          <cell r="A38">
            <v>-1.1500000000000099</v>
          </cell>
          <cell r="B38">
            <v>0.20593626871997237</v>
          </cell>
        </row>
        <row r="39">
          <cell r="A39">
            <v>-1.1000000000000101</v>
          </cell>
          <cell r="B39">
            <v>0.21785217703254811</v>
          </cell>
        </row>
        <row r="40">
          <cell r="A40">
            <v>-1.05000000000001</v>
          </cell>
          <cell r="B40">
            <v>0.22988214068423057</v>
          </cell>
        </row>
        <row r="41">
          <cell r="A41">
            <v>-1.00000000000001</v>
          </cell>
          <cell r="B41">
            <v>0.2419707245191409</v>
          </cell>
        </row>
        <row r="42">
          <cell r="A42">
            <v>-0.95000000000000995</v>
          </cell>
          <cell r="B42">
            <v>0.25405905646918658</v>
          </cell>
        </row>
        <row r="43">
          <cell r="A43">
            <v>-0.90000000000001001</v>
          </cell>
          <cell r="B43">
            <v>0.26608524989875243</v>
          </cell>
        </row>
        <row r="44">
          <cell r="A44">
            <v>-0.85000000000000997</v>
          </cell>
          <cell r="B44">
            <v>0.27798488613099409</v>
          </cell>
        </row>
        <row r="45">
          <cell r="A45">
            <v>-0.80000000000001004</v>
          </cell>
          <cell r="B45">
            <v>0.2896915527614804</v>
          </cell>
        </row>
        <row r="46">
          <cell r="A46">
            <v>-0.75000000000000999</v>
          </cell>
          <cell r="B46">
            <v>0.30113743215480215</v>
          </cell>
        </row>
        <row r="47">
          <cell r="A47">
            <v>-0.70000000000000995</v>
          </cell>
          <cell r="B47">
            <v>0.31225393336675905</v>
          </cell>
        </row>
        <row r="48">
          <cell r="A48">
            <v>-0.65000000000001001</v>
          </cell>
          <cell r="B48">
            <v>0.32297235966791216</v>
          </cell>
        </row>
        <row r="49">
          <cell r="A49">
            <v>-0.60000000000000997</v>
          </cell>
          <cell r="B49">
            <v>0.33322460289179762</v>
          </cell>
        </row>
        <row r="50">
          <cell r="A50">
            <v>-0.55000000000001004</v>
          </cell>
          <cell r="B50">
            <v>0.34294385501938196</v>
          </cell>
        </row>
        <row r="51">
          <cell r="A51">
            <v>-0.50000000000000999</v>
          </cell>
          <cell r="B51">
            <v>0.35206532676429769</v>
          </cell>
        </row>
        <row r="52">
          <cell r="A52">
            <v>-0.45000000000001</v>
          </cell>
          <cell r="B52">
            <v>0.36052696246164628</v>
          </cell>
        </row>
        <row r="53">
          <cell r="A53">
            <v>-0.40000000000001001</v>
          </cell>
          <cell r="B53">
            <v>0.36827014030332184</v>
          </cell>
        </row>
        <row r="54">
          <cell r="A54">
            <v>-0.35000000000001003</v>
          </cell>
          <cell r="B54">
            <v>0.37524034691693653</v>
          </cell>
        </row>
        <row r="55">
          <cell r="A55">
            <v>-0.30000000000000998</v>
          </cell>
          <cell r="B55">
            <v>0.38138781546052292</v>
          </cell>
        </row>
        <row r="56">
          <cell r="A56">
            <v>-0.25000000000000999</v>
          </cell>
          <cell r="B56">
            <v>0.38666811680284824</v>
          </cell>
        </row>
        <row r="57">
          <cell r="A57">
            <v>-0.20000000000001</v>
          </cell>
          <cell r="B57">
            <v>0.3910426939754551</v>
          </cell>
        </row>
        <row r="58">
          <cell r="A58">
            <v>-0.15000000000000999</v>
          </cell>
          <cell r="B58">
            <v>0.39447933090788828</v>
          </cell>
        </row>
        <row r="59">
          <cell r="A59">
            <v>-0.10000000000001</v>
          </cell>
          <cell r="B59">
            <v>0.39695254747701136</v>
          </cell>
        </row>
        <row r="60">
          <cell r="A60">
            <v>-5.0000000000010002E-2</v>
          </cell>
          <cell r="B60">
            <v>0.39844391409476376</v>
          </cell>
        </row>
        <row r="61">
          <cell r="A61">
            <v>-1.0214051826551401E-14</v>
          </cell>
          <cell r="B61">
            <v>0.39894228040143265</v>
          </cell>
        </row>
        <row r="62">
          <cell r="A62">
            <v>4.9999999999990101E-2</v>
          </cell>
          <cell r="B62">
            <v>0.39844391409476415</v>
          </cell>
        </row>
        <row r="63">
          <cell r="A63">
            <v>9.9999999999989903E-2</v>
          </cell>
          <cell r="B63">
            <v>0.39695254747701214</v>
          </cell>
        </row>
        <row r="64">
          <cell r="A64">
            <v>0.14999999999999</v>
          </cell>
          <cell r="B64">
            <v>0.39447933090788945</v>
          </cell>
        </row>
        <row r="65">
          <cell r="A65">
            <v>0.19999999999998999</v>
          </cell>
          <cell r="B65">
            <v>0.3910426939754566</v>
          </cell>
        </row>
        <row r="66">
          <cell r="A66">
            <v>0.24999999999999001</v>
          </cell>
          <cell r="B66">
            <v>0.38666811680285013</v>
          </cell>
        </row>
        <row r="67">
          <cell r="A67">
            <v>0.29999999999999</v>
          </cell>
          <cell r="B67">
            <v>0.38138781546052519</v>
          </cell>
        </row>
        <row r="68">
          <cell r="A68">
            <v>0.34999999999998999</v>
          </cell>
          <cell r="B68">
            <v>0.37524034691693914</v>
          </cell>
        </row>
        <row r="69">
          <cell r="A69">
            <v>0.39999999999998997</v>
          </cell>
          <cell r="B69">
            <v>0.36827014030332478</v>
          </cell>
        </row>
        <row r="70">
          <cell r="A70">
            <v>0.44999999999999002</v>
          </cell>
          <cell r="B70">
            <v>0.36052696246164956</v>
          </cell>
        </row>
        <row r="71">
          <cell r="A71">
            <v>0.49999999999999001</v>
          </cell>
          <cell r="B71">
            <v>0.35206532676430119</v>
          </cell>
        </row>
        <row r="72">
          <cell r="A72">
            <v>0.54999999999999005</v>
          </cell>
          <cell r="B72">
            <v>0.34294385501938573</v>
          </cell>
        </row>
        <row r="73">
          <cell r="A73">
            <v>0.59999999999998999</v>
          </cell>
          <cell r="B73">
            <v>0.33322460289180161</v>
          </cell>
        </row>
        <row r="74">
          <cell r="A74">
            <v>0.64999999999999003</v>
          </cell>
          <cell r="B74">
            <v>0.32297235966791632</v>
          </cell>
        </row>
        <row r="75">
          <cell r="A75">
            <v>0.69999999999998996</v>
          </cell>
          <cell r="B75">
            <v>0.31225393336676344</v>
          </cell>
        </row>
        <row r="76">
          <cell r="A76">
            <v>0.74999999999999001</v>
          </cell>
          <cell r="B76">
            <v>0.30113743215480665</v>
          </cell>
        </row>
        <row r="77">
          <cell r="A77">
            <v>0.79999999999999005</v>
          </cell>
          <cell r="B77">
            <v>0.289691552761485</v>
          </cell>
        </row>
        <row r="78">
          <cell r="A78">
            <v>0.84999999999998999</v>
          </cell>
          <cell r="B78">
            <v>0.27798488613099881</v>
          </cell>
        </row>
        <row r="79">
          <cell r="A79">
            <v>0.89999999999999003</v>
          </cell>
          <cell r="B79">
            <v>0.2660852498987572</v>
          </cell>
        </row>
        <row r="80">
          <cell r="A80">
            <v>0.94999999999998996</v>
          </cell>
          <cell r="B80">
            <v>0.25405905646919141</v>
          </cell>
        </row>
        <row r="81">
          <cell r="A81">
            <v>0.99999999999999001</v>
          </cell>
          <cell r="B81">
            <v>0.24197072451914578</v>
          </cell>
        </row>
        <row r="82">
          <cell r="A82">
            <v>1.0499999999999901</v>
          </cell>
          <cell r="B82">
            <v>0.2298821406842354</v>
          </cell>
        </row>
        <row r="83">
          <cell r="A83">
            <v>1.0999999999999901</v>
          </cell>
          <cell r="B83">
            <v>0.21785217703255291</v>
          </cell>
        </row>
        <row r="84">
          <cell r="A84">
            <v>1.1499999999999899</v>
          </cell>
          <cell r="B84">
            <v>0.20593626871997711</v>
          </cell>
        </row>
        <row r="85">
          <cell r="A85">
            <v>1.19999999999999</v>
          </cell>
          <cell r="B85">
            <v>0.19418605498321526</v>
          </cell>
        </row>
        <row r="86">
          <cell r="A86">
            <v>1.24999999999998</v>
          </cell>
          <cell r="B86">
            <v>0.18264908538902647</v>
          </cell>
        </row>
        <row r="87">
          <cell r="A87">
            <v>1.2999999999999801</v>
          </cell>
          <cell r="B87">
            <v>0.17136859204781177</v>
          </cell>
        </row>
        <row r="88">
          <cell r="A88">
            <v>1.3499999999999801</v>
          </cell>
          <cell r="B88">
            <v>0.1603833273419239</v>
          </cell>
        </row>
        <row r="89">
          <cell r="A89">
            <v>1.3999999999999799</v>
          </cell>
          <cell r="B89">
            <v>0.14972746563574904</v>
          </cell>
        </row>
        <row r="90">
          <cell r="A90">
            <v>1.44999999999998</v>
          </cell>
          <cell r="B90">
            <v>0.13943056644536431</v>
          </cell>
        </row>
        <row r="91">
          <cell r="A91">
            <v>1.49999999999998</v>
          </cell>
          <cell r="B91">
            <v>0.1295175956658956</v>
          </cell>
        </row>
        <row r="92">
          <cell r="A92">
            <v>1.5499999999999801</v>
          </cell>
          <cell r="B92">
            <v>0.1200090006969893</v>
          </cell>
        </row>
        <row r="93">
          <cell r="A93">
            <v>1.5999999999999801</v>
          </cell>
          <cell r="B93">
            <v>0.11092083467945907</v>
          </cell>
        </row>
        <row r="94">
          <cell r="A94">
            <v>1.6499999999999799</v>
          </cell>
          <cell r="B94">
            <v>0.10226492456398135</v>
          </cell>
        </row>
        <row r="95">
          <cell r="A95">
            <v>1.69999999999998</v>
          </cell>
          <cell r="B95">
            <v>9.4049077376890125E-2</v>
          </cell>
        </row>
        <row r="96">
          <cell r="A96">
            <v>1.74999999999998</v>
          </cell>
          <cell r="B96">
            <v>8.6277318826514529E-2</v>
          </cell>
        </row>
        <row r="97">
          <cell r="A97">
            <v>1.7999999999999801</v>
          </cell>
          <cell r="B97">
            <v>7.895015830089698E-2</v>
          </cell>
        </row>
        <row r="98">
          <cell r="A98">
            <v>1.8499999999999801</v>
          </cell>
          <cell r="B98">
            <v>7.2064874336220636E-2</v>
          </cell>
        </row>
        <row r="99">
          <cell r="A99">
            <v>1.8999999999999799</v>
          </cell>
          <cell r="B99">
            <v>6.5615814774679079E-2</v>
          </cell>
        </row>
        <row r="100">
          <cell r="A100">
            <v>1.94999999999998</v>
          </cell>
          <cell r="B100">
            <v>5.9594706068818393E-2</v>
          </cell>
        </row>
        <row r="101">
          <cell r="A101">
            <v>1.99999999999998</v>
          </cell>
          <cell r="B101">
            <v>5.3990966513190214E-2</v>
          </cell>
        </row>
        <row r="102">
          <cell r="A102">
            <v>2.0499999999999798</v>
          </cell>
          <cell r="B102">
            <v>4.8792018579184776E-2</v>
          </cell>
        </row>
        <row r="103">
          <cell r="A103">
            <v>2.0999999999999801</v>
          </cell>
          <cell r="B103">
            <v>4.3983595980429023E-2</v>
          </cell>
        </row>
        <row r="104">
          <cell r="A104">
            <v>2.1499999999999799</v>
          </cell>
          <cell r="B104">
            <v>3.955004158937192E-2</v>
          </cell>
        </row>
        <row r="105">
          <cell r="A105">
            <v>2.1999999999999802</v>
          </cell>
          <cell r="B105">
            <v>3.5474592846232979E-2</v>
          </cell>
        </row>
        <row r="106">
          <cell r="A106">
            <v>2.24999999999998</v>
          </cell>
          <cell r="B106">
            <v>3.173965183566884E-2</v>
          </cell>
        </row>
        <row r="107">
          <cell r="A107">
            <v>2.2999999999999798</v>
          </cell>
          <cell r="B107">
            <v>2.832703774160248E-2</v>
          </cell>
        </row>
        <row r="108">
          <cell r="A108">
            <v>2.3499999999999801</v>
          </cell>
          <cell r="B108">
            <v>2.5218219915195562E-2</v>
          </cell>
        </row>
        <row r="109">
          <cell r="A109">
            <v>2.3999999999999799</v>
          </cell>
          <cell r="B109">
            <v>2.2394530294843971E-2</v>
          </cell>
        </row>
        <row r="110">
          <cell r="A110">
            <v>2.4499999999999802</v>
          </cell>
          <cell r="B110">
            <v>1.9837354391796288E-2</v>
          </cell>
        </row>
        <row r="111">
          <cell r="A111">
            <v>2.49999999999998</v>
          </cell>
          <cell r="B111">
            <v>1.7528300493569408E-2</v>
          </cell>
        </row>
        <row r="112">
          <cell r="A112">
            <v>2.5499999999999798</v>
          </cell>
          <cell r="B112">
            <v>1.544934713439596E-2</v>
          </cell>
        </row>
        <row r="113">
          <cell r="A113">
            <v>2.5999999999999801</v>
          </cell>
          <cell r="B113">
            <v>1.3582969233686317E-2</v>
          </cell>
        </row>
        <row r="114">
          <cell r="A114">
            <v>2.6499999999999799</v>
          </cell>
          <cell r="B114">
            <v>1.1912243607605812E-2</v>
          </cell>
        </row>
        <row r="115">
          <cell r="A115">
            <v>2.6999999999999802</v>
          </cell>
          <cell r="B115">
            <v>1.0420934814423148E-2</v>
          </cell>
        </row>
        <row r="116">
          <cell r="A116">
            <v>2.74999999999998</v>
          </cell>
          <cell r="B116">
            <v>9.0935625015915525E-3</v>
          </cell>
        </row>
        <row r="117">
          <cell r="A117">
            <v>2.7999999999999798</v>
          </cell>
          <cell r="B117">
            <v>7.9154515829804092E-3</v>
          </cell>
        </row>
        <row r="118">
          <cell r="A118">
            <v>2.8499999999999801</v>
          </cell>
          <cell r="B118">
            <v>6.8727666906143597E-3</v>
          </cell>
        </row>
        <row r="119">
          <cell r="A119">
            <v>2.8999999999999799</v>
          </cell>
          <cell r="B119">
            <v>5.9525324197762016E-3</v>
          </cell>
        </row>
        <row r="120">
          <cell r="A120">
            <v>2.9499999999999802</v>
          </cell>
          <cell r="B120">
            <v>5.1426409230542394E-3</v>
          </cell>
        </row>
        <row r="121">
          <cell r="A121">
            <v>2.99999999999998</v>
          </cell>
          <cell r="B121">
            <v>4.4318484119382747E-3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emf"/><Relationship Id="rId3" Type="http://schemas.openxmlformats.org/officeDocument/2006/relationships/oleObject" Target="../embeddings/oleObject2.bin"/><Relationship Id="rId7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3.bin"/><Relationship Id="rId4" Type="http://schemas.openxmlformats.org/officeDocument/2006/relationships/image" Target="../media/image2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6.bin"/><Relationship Id="rId5" Type="http://schemas.openxmlformats.org/officeDocument/2006/relationships/image" Target="../media/image6.emf"/><Relationship Id="rId4" Type="http://schemas.openxmlformats.org/officeDocument/2006/relationships/oleObject" Target="../embeddings/oleObject5.bin"/><Relationship Id="rId9" Type="http://schemas.openxmlformats.org/officeDocument/2006/relationships/image" Target="../media/image8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abSelected="1" workbookViewId="0">
      <selection activeCell="A17" sqref="A17:B28"/>
    </sheetView>
  </sheetViews>
  <sheetFormatPr defaultRowHeight="15" x14ac:dyDescent="0.25"/>
  <cols>
    <col min="1" max="1" width="15.5703125" customWidth="1"/>
    <col min="2" max="2" width="15" customWidth="1"/>
    <col min="3" max="9" width="12.7109375" customWidth="1"/>
  </cols>
  <sheetData>
    <row r="1" spans="1:13" s="168" customFormat="1" ht="18" x14ac:dyDescent="0.25">
      <c r="A1" s="167" t="s">
        <v>292</v>
      </c>
    </row>
    <row r="2" spans="1:13" ht="15.75" x14ac:dyDescent="0.25">
      <c r="A2" s="129" t="s">
        <v>265</v>
      </c>
      <c r="B2" s="130"/>
      <c r="C2" s="130"/>
      <c r="D2" s="130"/>
      <c r="E2" s="130"/>
      <c r="F2" s="130"/>
      <c r="G2" s="131"/>
      <c r="H2" s="131"/>
      <c r="I2" s="131"/>
    </row>
    <row r="3" spans="1:13" ht="16.5" thickBot="1" x14ac:dyDescent="0.3">
      <c r="A3" s="131"/>
      <c r="B3" s="131"/>
      <c r="C3" s="131"/>
      <c r="D3" s="131"/>
      <c r="E3" s="131"/>
      <c r="F3" s="131"/>
      <c r="G3" s="131"/>
      <c r="H3" s="132" t="s">
        <v>266</v>
      </c>
      <c r="I3" s="131"/>
    </row>
    <row r="4" spans="1:13" ht="16.5" thickBot="1" x14ac:dyDescent="0.3">
      <c r="A4" s="131"/>
      <c r="B4" s="131"/>
      <c r="C4" s="131"/>
      <c r="D4" s="131"/>
      <c r="E4" s="131"/>
      <c r="F4" s="131"/>
      <c r="G4" s="131"/>
      <c r="H4" s="133" t="s">
        <v>267</v>
      </c>
      <c r="I4" s="169">
        <v>2329</v>
      </c>
    </row>
    <row r="5" spans="1:13" ht="15.75" x14ac:dyDescent="0.25">
      <c r="A5" s="134" t="s">
        <v>268</v>
      </c>
      <c r="B5" s="134" t="s">
        <v>269</v>
      </c>
      <c r="C5" s="134" t="s">
        <v>270</v>
      </c>
      <c r="D5" s="134" t="s">
        <v>271</v>
      </c>
      <c r="E5" s="134" t="s">
        <v>272</v>
      </c>
      <c r="F5" s="134" t="s">
        <v>273</v>
      </c>
      <c r="G5" s="134" t="s">
        <v>274</v>
      </c>
      <c r="H5" s="132"/>
      <c r="I5" s="135" t="s">
        <v>275</v>
      </c>
    </row>
    <row r="6" spans="1:13" ht="15.75" x14ac:dyDescent="0.25">
      <c r="A6" s="136" t="e">
        <f>(C6-F6)/G6</f>
        <v>#DIV/0!</v>
      </c>
      <c r="B6" s="137" t="e">
        <f>E6*D6/G6</f>
        <v>#DIV/0!</v>
      </c>
      <c r="C6" s="138"/>
      <c r="D6" s="138"/>
      <c r="E6" s="138"/>
      <c r="F6" s="138"/>
      <c r="G6" s="138"/>
      <c r="H6" s="131"/>
      <c r="I6" s="139">
        <f>F6+G6*$I$4</f>
        <v>0</v>
      </c>
    </row>
    <row r="7" spans="1:13" ht="15.75" x14ac:dyDescent="0.25">
      <c r="A7" s="136" t="e">
        <f>(C7-F7)/G7</f>
        <v>#DIV/0!</v>
      </c>
      <c r="B7" s="138"/>
      <c r="C7" s="131"/>
      <c r="D7" s="140" t="e">
        <f>G7*B7/E7</f>
        <v>#DIV/0!</v>
      </c>
      <c r="E7" s="138"/>
      <c r="F7" s="138"/>
      <c r="G7" s="138"/>
      <c r="H7" s="131"/>
      <c r="I7" s="141">
        <f t="shared" ref="I7:I12" si="0">F7+G7*$I$4</f>
        <v>0</v>
      </c>
    </row>
    <row r="8" spans="1:13" ht="15.75" x14ac:dyDescent="0.25">
      <c r="A8" s="136" t="e">
        <f>(C8-F8)/G8</f>
        <v>#DIV/0!</v>
      </c>
      <c r="B8" s="138"/>
      <c r="C8" s="138"/>
      <c r="D8" s="131"/>
      <c r="E8" s="142" t="e">
        <f>B8*G8/D8</f>
        <v>#DIV/0!</v>
      </c>
      <c r="F8" s="138"/>
      <c r="G8" s="138"/>
      <c r="H8" s="131"/>
      <c r="I8" s="143">
        <f t="shared" si="0"/>
        <v>0</v>
      </c>
    </row>
    <row r="9" spans="1:13" ht="15.75" x14ac:dyDescent="0.25">
      <c r="A9" s="138"/>
      <c r="B9" s="137" t="e">
        <f>E9*D9/G9</f>
        <v>#DIV/0!</v>
      </c>
      <c r="C9" s="141">
        <f>F9+G9*A9</f>
        <v>0</v>
      </c>
      <c r="D9" s="138"/>
      <c r="E9" s="144"/>
      <c r="F9" s="138"/>
      <c r="G9" s="138"/>
      <c r="H9" s="131"/>
      <c r="I9" s="145">
        <f t="shared" si="0"/>
        <v>0</v>
      </c>
    </row>
    <row r="10" spans="1:13" ht="15.75" x14ac:dyDescent="0.25">
      <c r="A10" s="138"/>
      <c r="B10" s="138"/>
      <c r="C10" s="141">
        <f>F10+G10*A10</f>
        <v>0</v>
      </c>
      <c r="D10" s="140" t="e">
        <f>G10*B10/E10</f>
        <v>#DIV/0!</v>
      </c>
      <c r="E10" s="138"/>
      <c r="F10" s="138"/>
      <c r="G10" s="138"/>
      <c r="H10" s="131"/>
      <c r="I10" s="146">
        <f t="shared" si="0"/>
        <v>0</v>
      </c>
    </row>
    <row r="11" spans="1:13" ht="15.75" x14ac:dyDescent="0.25">
      <c r="A11" s="138"/>
      <c r="B11" s="138"/>
      <c r="C11" s="141">
        <f>F11+G11*A11</f>
        <v>0</v>
      </c>
      <c r="D11" s="144"/>
      <c r="E11" s="142" t="e">
        <f>B11*G11/D11</f>
        <v>#DIV/0!</v>
      </c>
      <c r="F11" s="138"/>
      <c r="G11" s="138"/>
      <c r="H11" s="131"/>
      <c r="I11" s="140">
        <f t="shared" si="0"/>
        <v>0</v>
      </c>
    </row>
    <row r="12" spans="1:13" ht="15.75" x14ac:dyDescent="0.25">
      <c r="A12" s="138"/>
      <c r="B12" s="138"/>
      <c r="C12" s="138"/>
      <c r="D12" s="138"/>
      <c r="E12" s="138"/>
      <c r="F12" s="147" t="e">
        <f>C12-G12*A12</f>
        <v>#DIV/0!</v>
      </c>
      <c r="G12" s="148" t="e">
        <f>E12*D12/B12</f>
        <v>#DIV/0!</v>
      </c>
      <c r="H12" s="131"/>
      <c r="I12" s="147" t="e">
        <f t="shared" si="0"/>
        <v>#DIV/0!</v>
      </c>
    </row>
    <row r="15" spans="1:13" ht="18" x14ac:dyDescent="0.25">
      <c r="A15" s="167" t="s">
        <v>293</v>
      </c>
      <c r="B15" s="131"/>
      <c r="C15" s="131"/>
      <c r="D15" s="131"/>
      <c r="G15" s="131"/>
      <c r="M15" s="149"/>
    </row>
    <row r="16" spans="1:13" ht="15.75" x14ac:dyDescent="0.25">
      <c r="A16" s="131" t="s">
        <v>278</v>
      </c>
      <c r="B16" s="131" t="s">
        <v>279</v>
      </c>
      <c r="C16" s="131" t="s">
        <v>280</v>
      </c>
      <c r="E16" s="149" t="s">
        <v>276</v>
      </c>
      <c r="G16" s="131"/>
    </row>
    <row r="17" spans="1:12" ht="15.75" x14ac:dyDescent="0.25">
      <c r="A17" s="154"/>
      <c r="B17" s="154"/>
      <c r="C17" s="155" t="str">
        <f>IF(ISBLANK(A17),"",B17-($F$27*A17+$I$27))</f>
        <v/>
      </c>
      <c r="E17" s="131" t="s">
        <v>281</v>
      </c>
      <c r="F17" s="150" t="e">
        <f>CORREL(A17:A37,B17:B37)</f>
        <v>#DIV/0!</v>
      </c>
      <c r="G17" s="131"/>
    </row>
    <row r="18" spans="1:12" ht="15.75" x14ac:dyDescent="0.25">
      <c r="A18" s="154"/>
      <c r="B18" s="154"/>
      <c r="C18" s="155" t="str">
        <f t="shared" ref="C18:C38" si="1">IF(ISBLANK(A18),"",B18-($F$27*A18+$I$27))</f>
        <v/>
      </c>
      <c r="E18" s="21" t="s">
        <v>285</v>
      </c>
      <c r="F18" s="131" t="e">
        <f>AVERAGE(A17:A37)</f>
        <v>#DIV/0!</v>
      </c>
      <c r="G18" s="131"/>
    </row>
    <row r="19" spans="1:12" ht="15.75" x14ac:dyDescent="0.25">
      <c r="A19" s="154"/>
      <c r="B19" s="154"/>
      <c r="C19" s="155" t="str">
        <f t="shared" si="1"/>
        <v/>
      </c>
      <c r="E19" s="21" t="s">
        <v>286</v>
      </c>
      <c r="F19" s="131" t="e">
        <f>STDEV(A17:A37)</f>
        <v>#DIV/0!</v>
      </c>
      <c r="G19" s="131"/>
    </row>
    <row r="20" spans="1:12" ht="15.75" x14ac:dyDescent="0.25">
      <c r="A20" s="154"/>
      <c r="B20" s="154"/>
      <c r="C20" s="155" t="str">
        <f t="shared" si="1"/>
        <v/>
      </c>
      <c r="E20" s="21" t="s">
        <v>287</v>
      </c>
      <c r="F20" s="131" t="e">
        <f>AVERAGE(B17:B37)</f>
        <v>#DIV/0!</v>
      </c>
      <c r="G20" s="131"/>
    </row>
    <row r="21" spans="1:12" ht="15.75" x14ac:dyDescent="0.25">
      <c r="A21" s="154"/>
      <c r="B21" s="154"/>
      <c r="C21" s="155" t="str">
        <f t="shared" si="1"/>
        <v/>
      </c>
      <c r="E21" s="21" t="s">
        <v>289</v>
      </c>
      <c r="F21" s="131" t="e">
        <f>STDEV(B17:B37)</f>
        <v>#DIV/0!</v>
      </c>
      <c r="G21" s="131"/>
    </row>
    <row r="22" spans="1:12" ht="15.75" x14ac:dyDescent="0.25">
      <c r="A22" s="154"/>
      <c r="B22" s="154"/>
      <c r="C22" s="155" t="str">
        <f t="shared" si="1"/>
        <v/>
      </c>
      <c r="E22" s="131"/>
      <c r="F22" s="131"/>
      <c r="G22" s="131"/>
      <c r="H22" s="131"/>
      <c r="I22" s="131"/>
      <c r="J22" s="160"/>
      <c r="K22" s="160"/>
      <c r="L22" s="131"/>
    </row>
    <row r="23" spans="1:12" ht="15.75" x14ac:dyDescent="0.25">
      <c r="A23" s="154"/>
      <c r="B23" s="154"/>
      <c r="C23" s="155" t="str">
        <f t="shared" si="1"/>
        <v/>
      </c>
      <c r="E23" s="131" t="s">
        <v>291</v>
      </c>
      <c r="F23" s="155">
        <f>ROUND(SUM(C17:C37),6)</f>
        <v>0</v>
      </c>
      <c r="G23" s="131"/>
      <c r="H23" s="131"/>
      <c r="I23" s="131"/>
      <c r="J23" s="160"/>
      <c r="K23" s="160"/>
      <c r="L23" s="131"/>
    </row>
    <row r="24" spans="1:12" ht="15.75" x14ac:dyDescent="0.25">
      <c r="A24" s="154"/>
      <c r="B24" s="154"/>
      <c r="C24" s="155" t="str">
        <f t="shared" si="1"/>
        <v/>
      </c>
      <c r="D24" s="131"/>
      <c r="E24" s="131"/>
      <c r="F24" s="131"/>
      <c r="G24" s="131"/>
      <c r="H24" s="131"/>
      <c r="I24" s="131"/>
      <c r="J24" s="160"/>
      <c r="K24" s="160"/>
      <c r="L24" s="131"/>
    </row>
    <row r="25" spans="1:12" ht="15.75" x14ac:dyDescent="0.25">
      <c r="A25" s="154"/>
      <c r="B25" s="154"/>
      <c r="C25" s="155" t="str">
        <f t="shared" si="1"/>
        <v/>
      </c>
      <c r="D25" s="131"/>
      <c r="E25" s="149" t="s">
        <v>277</v>
      </c>
      <c r="G25" s="149"/>
      <c r="H25" s="132"/>
      <c r="I25" s="132"/>
      <c r="J25" s="160"/>
      <c r="K25" s="160"/>
      <c r="L25" s="131"/>
    </row>
    <row r="26" spans="1:12" ht="15.75" x14ac:dyDescent="0.25">
      <c r="A26" s="154"/>
      <c r="B26" s="154"/>
      <c r="C26" s="155" t="str">
        <f t="shared" si="1"/>
        <v/>
      </c>
      <c r="D26" s="131"/>
      <c r="E26" s="151" t="s">
        <v>282</v>
      </c>
      <c r="F26" s="152" t="s">
        <v>283</v>
      </c>
      <c r="G26" s="152" t="s">
        <v>174</v>
      </c>
      <c r="H26" s="152"/>
      <c r="I26" s="153" t="s">
        <v>284</v>
      </c>
      <c r="J26" s="160"/>
      <c r="K26" s="160"/>
      <c r="L26" s="131"/>
    </row>
    <row r="27" spans="1:12" ht="15.75" x14ac:dyDescent="0.25">
      <c r="A27" s="154"/>
      <c r="B27" s="154"/>
      <c r="C27" s="155" t="str">
        <f t="shared" si="1"/>
        <v/>
      </c>
      <c r="D27" s="131"/>
      <c r="E27" s="156" t="s">
        <v>282</v>
      </c>
      <c r="F27" s="157" t="e">
        <f>SLOPE(B16:B37,A16:A37)</f>
        <v>#DIV/0!</v>
      </c>
      <c r="G27" s="158" t="s">
        <v>174</v>
      </c>
      <c r="H27" s="158" t="e">
        <f>IF(I27&gt;=0,"+","")</f>
        <v>#DIV/0!</v>
      </c>
      <c r="I27" s="159" t="e">
        <f>INTERCEPT(B16:B37,A16:A37)</f>
        <v>#DIV/0!</v>
      </c>
      <c r="J27" s="160"/>
      <c r="K27" s="160"/>
      <c r="L27" s="131"/>
    </row>
    <row r="28" spans="1:12" ht="16.5" thickBot="1" x14ac:dyDescent="0.3">
      <c r="A28" s="154"/>
      <c r="B28" s="154"/>
      <c r="C28" s="155" t="str">
        <f t="shared" si="1"/>
        <v/>
      </c>
      <c r="D28" s="131"/>
      <c r="E28" s="131"/>
      <c r="F28" s="131"/>
      <c r="G28" s="160"/>
      <c r="H28" s="160"/>
      <c r="I28" s="131"/>
      <c r="J28" s="160"/>
      <c r="K28" s="160"/>
      <c r="L28" s="131"/>
    </row>
    <row r="29" spans="1:12" ht="18" x14ac:dyDescent="0.25">
      <c r="A29" s="154"/>
      <c r="B29" s="154"/>
      <c r="C29" s="155" t="str">
        <f t="shared" si="1"/>
        <v/>
      </c>
      <c r="D29" s="131"/>
      <c r="E29" s="161" t="s">
        <v>266</v>
      </c>
      <c r="F29" s="162"/>
      <c r="G29" s="160"/>
      <c r="H29" s="21" t="s">
        <v>288</v>
      </c>
      <c r="J29" s="160"/>
      <c r="K29" s="160"/>
      <c r="L29" s="131"/>
    </row>
    <row r="30" spans="1:12" ht="15.75" x14ac:dyDescent="0.25">
      <c r="A30" s="154"/>
      <c r="B30" s="154"/>
      <c r="C30" s="155" t="str">
        <f t="shared" si="1"/>
        <v/>
      </c>
      <c r="D30" s="131"/>
      <c r="E30" s="163" t="s">
        <v>290</v>
      </c>
      <c r="F30" s="164">
        <v>25</v>
      </c>
      <c r="G30" s="160"/>
      <c r="H30" s="150" t="e">
        <f>RSQ(B17:B37,A17:A37)</f>
        <v>#DIV/0!</v>
      </c>
      <c r="J30" s="160"/>
      <c r="K30" s="160"/>
      <c r="L30" s="131"/>
    </row>
    <row r="31" spans="1:12" ht="16.5" thickBot="1" x14ac:dyDescent="0.3">
      <c r="A31" s="154"/>
      <c r="B31" s="154"/>
      <c r="C31" s="155" t="str">
        <f t="shared" si="1"/>
        <v/>
      </c>
      <c r="D31" s="131"/>
      <c r="E31" s="165" t="s">
        <v>282</v>
      </c>
      <c r="F31" s="166" t="e">
        <f>F27*F30+I27</f>
        <v>#DIV/0!</v>
      </c>
      <c r="G31" s="160"/>
      <c r="H31" s="160"/>
      <c r="I31" s="131"/>
      <c r="J31" s="160"/>
      <c r="K31" s="160"/>
      <c r="L31" s="131"/>
    </row>
    <row r="32" spans="1:12" ht="15.75" x14ac:dyDescent="0.25">
      <c r="A32" s="154"/>
      <c r="B32" s="154"/>
      <c r="C32" s="155" t="str">
        <f t="shared" si="1"/>
        <v/>
      </c>
      <c r="D32" s="131"/>
      <c r="E32" s="131"/>
      <c r="F32" s="131"/>
      <c r="G32" s="131"/>
      <c r="H32" s="131"/>
      <c r="I32" s="131"/>
      <c r="J32" s="160"/>
      <c r="K32" s="160"/>
      <c r="L32" s="131"/>
    </row>
    <row r="33" spans="1:12" ht="15.75" x14ac:dyDescent="0.25">
      <c r="A33" s="154"/>
      <c r="B33" s="154"/>
      <c r="C33" s="155" t="str">
        <f t="shared" si="1"/>
        <v/>
      </c>
      <c r="D33" s="131"/>
      <c r="E33" s="131"/>
      <c r="F33" s="131"/>
      <c r="G33" s="131"/>
      <c r="H33" s="131"/>
      <c r="I33" s="131"/>
      <c r="J33" s="160"/>
      <c r="K33" s="160"/>
      <c r="L33" s="131"/>
    </row>
    <row r="34" spans="1:12" ht="15.75" x14ac:dyDescent="0.25">
      <c r="A34" s="154"/>
      <c r="B34" s="154"/>
      <c r="C34" s="155" t="str">
        <f t="shared" si="1"/>
        <v/>
      </c>
      <c r="D34" s="131"/>
      <c r="E34" s="131"/>
      <c r="F34" s="131"/>
      <c r="G34" s="131"/>
      <c r="H34" s="131"/>
      <c r="I34" s="131"/>
      <c r="J34" s="160"/>
      <c r="K34" s="160"/>
      <c r="L34" s="131"/>
    </row>
    <row r="35" spans="1:12" ht="15.75" x14ac:dyDescent="0.25">
      <c r="A35" s="154"/>
      <c r="B35" s="154"/>
      <c r="C35" s="155" t="str">
        <f t="shared" si="1"/>
        <v/>
      </c>
      <c r="D35" s="131"/>
      <c r="E35" s="131"/>
      <c r="F35" s="131"/>
      <c r="G35" s="131"/>
      <c r="H35" s="131"/>
      <c r="I35" s="131"/>
      <c r="J35" s="160"/>
      <c r="K35" s="160"/>
      <c r="L35" s="131"/>
    </row>
    <row r="36" spans="1:12" ht="15.75" x14ac:dyDescent="0.25">
      <c r="A36" s="154"/>
      <c r="B36" s="154"/>
      <c r="C36" s="155" t="str">
        <f t="shared" si="1"/>
        <v/>
      </c>
      <c r="D36" s="131"/>
      <c r="E36" s="131"/>
      <c r="F36" s="131"/>
      <c r="G36" s="131"/>
      <c r="H36" s="131"/>
      <c r="I36" s="131"/>
      <c r="J36" s="160"/>
      <c r="K36" s="160"/>
      <c r="L36" s="131"/>
    </row>
    <row r="37" spans="1:12" ht="15.75" x14ac:dyDescent="0.25">
      <c r="A37" s="154"/>
      <c r="B37" s="154"/>
      <c r="C37" s="155" t="str">
        <f t="shared" si="1"/>
        <v/>
      </c>
      <c r="D37" s="131"/>
      <c r="E37" s="131"/>
      <c r="F37" s="131"/>
      <c r="G37" s="131"/>
      <c r="H37" s="131"/>
      <c r="I37" s="131"/>
      <c r="J37" s="160"/>
      <c r="K37" s="160"/>
      <c r="L37" s="131"/>
    </row>
    <row r="38" spans="1:12" ht="15.75" x14ac:dyDescent="0.25">
      <c r="C38" s="155" t="str">
        <f t="shared" si="1"/>
        <v/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2"/>
  <sheetViews>
    <sheetView workbookViewId="0">
      <selection activeCell="O38" sqref="O38"/>
    </sheetView>
  </sheetViews>
  <sheetFormatPr defaultRowHeight="15" x14ac:dyDescent="0.25"/>
  <cols>
    <col min="1" max="1" width="4.42578125" customWidth="1"/>
    <col min="2" max="2" width="12.28515625" customWidth="1"/>
    <col min="3" max="3" width="1.7109375" bestFit="1" customWidth="1"/>
    <col min="4" max="4" width="13.7109375" bestFit="1" customWidth="1"/>
    <col min="5" max="5" width="2.85546875" bestFit="1" customWidth="1"/>
    <col min="6" max="6" width="12" customWidth="1"/>
    <col min="7" max="7" width="2.28515625" bestFit="1" customWidth="1"/>
    <col min="8" max="8" width="27.140625" customWidth="1"/>
    <col min="9" max="9" width="17.85546875" customWidth="1"/>
    <col min="10" max="10" width="10.7109375" customWidth="1"/>
    <col min="11" max="11" width="20.5703125" customWidth="1"/>
    <col min="12" max="12" width="12.28515625" customWidth="1"/>
    <col min="13" max="13" width="7.5703125" style="1" customWidth="1"/>
    <col min="14" max="14" width="16.42578125" customWidth="1"/>
    <col min="15" max="15" width="7" customWidth="1"/>
    <col min="16" max="16" width="14.85546875" customWidth="1"/>
    <col min="17" max="17" width="2.28515625" customWidth="1"/>
    <col min="18" max="18" width="17.42578125" bestFit="1" customWidth="1"/>
  </cols>
  <sheetData>
    <row r="1" spans="1:18" ht="15.75" thickBot="1" x14ac:dyDescent="0.3">
      <c r="A1" s="32"/>
      <c r="B1" s="32"/>
      <c r="C1" s="32"/>
      <c r="D1" s="32"/>
      <c r="E1" s="32"/>
      <c r="F1" s="32"/>
      <c r="G1" s="32"/>
      <c r="H1" s="32"/>
      <c r="I1" s="32"/>
      <c r="J1" s="32"/>
      <c r="K1" s="46" t="s">
        <v>52</v>
      </c>
      <c r="L1" s="47"/>
      <c r="M1" s="47"/>
      <c r="N1" s="47"/>
      <c r="O1" s="46"/>
      <c r="P1" s="46"/>
      <c r="Q1" s="46"/>
      <c r="R1" s="32"/>
    </row>
    <row r="2" spans="1:18" ht="17.25" thickBot="1" x14ac:dyDescent="0.35">
      <c r="A2" s="33"/>
      <c r="B2" s="33" t="s">
        <v>21</v>
      </c>
      <c r="C2" s="33"/>
      <c r="D2" s="34"/>
      <c r="E2" s="33" t="s">
        <v>22</v>
      </c>
      <c r="F2" s="33" t="s">
        <v>86</v>
      </c>
      <c r="G2" s="33"/>
      <c r="H2" s="33"/>
      <c r="I2" s="33"/>
      <c r="J2" s="33"/>
      <c r="L2" s="1"/>
      <c r="N2" s="1"/>
      <c r="R2" s="33"/>
    </row>
    <row r="3" spans="1:18" ht="15.75" x14ac:dyDescent="0.3">
      <c r="A3" s="32"/>
      <c r="B3" s="32"/>
      <c r="C3" s="32"/>
      <c r="D3" s="32"/>
      <c r="E3" s="32"/>
      <c r="F3" s="32"/>
      <c r="G3" s="32"/>
      <c r="H3" s="32"/>
      <c r="I3" s="32"/>
      <c r="J3" s="32"/>
      <c r="K3" t="s">
        <v>53</v>
      </c>
      <c r="L3" s="1" t="s">
        <v>54</v>
      </c>
      <c r="M3" s="1" t="s">
        <v>87</v>
      </c>
      <c r="N3" s="1" t="s">
        <v>46</v>
      </c>
      <c r="O3" s="54">
        <v>0</v>
      </c>
      <c r="R3" s="32"/>
    </row>
    <row r="4" spans="1:18" ht="24.75" customHeight="1" x14ac:dyDescent="0.3">
      <c r="A4" s="32"/>
      <c r="B4" s="35" t="s">
        <v>24</v>
      </c>
      <c r="C4" s="32"/>
      <c r="D4" s="32">
        <f>1-D2/100</f>
        <v>1</v>
      </c>
      <c r="E4" s="32"/>
      <c r="F4" s="32"/>
      <c r="G4" s="32"/>
      <c r="H4" s="32"/>
      <c r="I4" s="32"/>
      <c r="J4" s="32"/>
      <c r="K4" t="s">
        <v>56</v>
      </c>
      <c r="L4" s="1" t="s">
        <v>57</v>
      </c>
      <c r="M4" s="1" t="s">
        <v>87</v>
      </c>
      <c r="N4" s="55"/>
      <c r="O4">
        <f>O3</f>
        <v>0</v>
      </c>
      <c r="R4" s="32"/>
    </row>
    <row r="5" spans="1:18" x14ac:dyDescent="0.25">
      <c r="A5" s="32"/>
      <c r="B5" s="35" t="s">
        <v>25</v>
      </c>
      <c r="C5" s="32"/>
      <c r="D5" s="32">
        <f>D4/2</f>
        <v>0.5</v>
      </c>
      <c r="E5" s="32"/>
      <c r="F5" s="32"/>
      <c r="G5" s="32"/>
      <c r="H5" s="32"/>
      <c r="I5" s="32"/>
      <c r="J5" s="32"/>
      <c r="L5" s="1"/>
      <c r="N5" s="1"/>
      <c r="R5" s="32"/>
    </row>
    <row r="6" spans="1:18" x14ac:dyDescent="0.25">
      <c r="A6" s="32"/>
      <c r="B6" s="32" t="s">
        <v>26</v>
      </c>
      <c r="C6" s="32"/>
      <c r="D6" s="32">
        <f>1-D5</f>
        <v>0.5</v>
      </c>
      <c r="E6" s="32"/>
      <c r="F6" s="32"/>
      <c r="G6" s="32"/>
      <c r="H6" s="32"/>
      <c r="I6" s="32"/>
      <c r="J6" s="32"/>
      <c r="K6" s="46" t="s">
        <v>58</v>
      </c>
      <c r="L6" s="47"/>
      <c r="M6" s="47"/>
      <c r="N6" s="47"/>
      <c r="O6" s="46"/>
      <c r="P6" s="46"/>
      <c r="Q6" s="46"/>
      <c r="R6" s="32"/>
    </row>
    <row r="7" spans="1:18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46"/>
      <c r="L7" s="47"/>
      <c r="M7" s="47"/>
      <c r="N7" s="47"/>
      <c r="O7" s="46"/>
      <c r="P7" s="46"/>
      <c r="Q7" s="46"/>
      <c r="R7" s="32"/>
    </row>
    <row r="8" spans="1:18" ht="18.75" x14ac:dyDescent="0.35">
      <c r="A8" s="32"/>
      <c r="B8" s="32" t="s">
        <v>27</v>
      </c>
      <c r="C8" s="32"/>
      <c r="D8" s="32">
        <f>NORMINV(D6,0,1)</f>
        <v>0</v>
      </c>
      <c r="E8" s="32"/>
      <c r="F8" s="32"/>
      <c r="G8" s="32"/>
      <c r="H8" s="32"/>
      <c r="I8" s="32"/>
      <c r="J8" s="32"/>
      <c r="K8" s="1"/>
      <c r="L8" s="1" t="s">
        <v>59</v>
      </c>
      <c r="R8" s="32"/>
    </row>
    <row r="9" spans="1:18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1" t="s">
        <v>60</v>
      </c>
      <c r="L9" s="1"/>
      <c r="R9" s="32"/>
    </row>
    <row r="10" spans="1:18" ht="18.75" x14ac:dyDescent="0.35">
      <c r="A10" s="32"/>
      <c r="B10" s="32" t="s">
        <v>88</v>
      </c>
      <c r="C10" s="32"/>
      <c r="D10" s="36"/>
      <c r="E10" s="32"/>
      <c r="F10" s="32" t="s">
        <v>89</v>
      </c>
      <c r="G10" s="32"/>
      <c r="H10" s="36"/>
      <c r="I10" s="32"/>
      <c r="J10" s="32"/>
      <c r="K10" s="1" t="s">
        <v>16</v>
      </c>
      <c r="N10" s="15" t="s">
        <v>90</v>
      </c>
      <c r="O10" s="15"/>
      <c r="P10" s="15" t="s">
        <v>91</v>
      </c>
      <c r="R10" s="32" t="s">
        <v>92</v>
      </c>
    </row>
    <row r="11" spans="1:18" ht="18.75" x14ac:dyDescent="0.35">
      <c r="A11" s="32"/>
      <c r="B11" s="32" t="s">
        <v>93</v>
      </c>
      <c r="C11" s="32"/>
      <c r="D11" s="36"/>
      <c r="E11" s="32"/>
      <c r="F11" s="32" t="s">
        <v>94</v>
      </c>
      <c r="G11" s="32"/>
      <c r="H11" s="36"/>
      <c r="I11" s="32"/>
      <c r="J11" s="32"/>
      <c r="K11" s="1" t="s">
        <v>61</v>
      </c>
      <c r="N11" s="56"/>
      <c r="P11" s="50"/>
      <c r="R11" s="32" t="s">
        <v>95</v>
      </c>
    </row>
    <row r="12" spans="1:18" ht="18.75" x14ac:dyDescent="0.3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1" t="s">
        <v>62</v>
      </c>
      <c r="N12" s="32" t="s">
        <v>93</v>
      </c>
      <c r="P12" s="32" t="s">
        <v>94</v>
      </c>
      <c r="R12" s="32"/>
    </row>
    <row r="13" spans="1:18" x14ac:dyDescent="0.25">
      <c r="A13" s="32"/>
      <c r="B13" s="32" t="s">
        <v>31</v>
      </c>
      <c r="C13" s="32"/>
      <c r="D13" s="32"/>
      <c r="E13" s="32"/>
      <c r="F13" s="32"/>
      <c r="G13" s="32"/>
      <c r="H13" s="32"/>
      <c r="I13" s="32"/>
      <c r="J13" s="32"/>
      <c r="K13" s="1" t="s">
        <v>96</v>
      </c>
      <c r="N13" s="50"/>
      <c r="P13" s="50"/>
      <c r="R13" s="32"/>
    </row>
    <row r="14" spans="1:18" x14ac:dyDescent="0.25">
      <c r="A14" s="32"/>
      <c r="B14" s="32"/>
      <c r="C14" s="32"/>
      <c r="D14" s="32" t="s">
        <v>97</v>
      </c>
      <c r="E14" s="32"/>
      <c r="F14" s="32" t="e">
        <f>SQRT($D$10*(1-$D$10)/$D$11 + $H$10*(1-$H$10)/$H$11)</f>
        <v>#DIV/0!</v>
      </c>
      <c r="G14" s="32"/>
      <c r="H14" s="32"/>
      <c r="I14" s="32"/>
      <c r="J14" s="32"/>
      <c r="K14" s="1"/>
      <c r="R14" s="32"/>
    </row>
    <row r="15" spans="1:18" x14ac:dyDescent="0.25">
      <c r="A15" s="32"/>
      <c r="B15" s="32"/>
      <c r="C15" s="32"/>
      <c r="D15" s="32" t="s">
        <v>32</v>
      </c>
      <c r="E15" s="32"/>
      <c r="F15" s="32" t="e">
        <f>$D$8*SQRT($D$10*(1-$D$10)/$D$11 + $H$10*(1-$H$10)/$H$11)</f>
        <v>#DIV/0!</v>
      </c>
      <c r="G15" s="32"/>
      <c r="H15" s="57" t="s">
        <v>98</v>
      </c>
      <c r="I15" s="32"/>
      <c r="J15" s="32"/>
      <c r="K15" s="1"/>
      <c r="N15" t="s">
        <v>99</v>
      </c>
      <c r="P15" s="53" t="e">
        <f>(N11+P11)/(N13+P13)</f>
        <v>#DIV/0!</v>
      </c>
      <c r="R15" s="32"/>
    </row>
    <row r="16" spans="1:18" x14ac:dyDescent="0.25">
      <c r="A16" s="32"/>
      <c r="B16" s="32"/>
      <c r="C16" s="32"/>
      <c r="D16" s="32" t="s">
        <v>34</v>
      </c>
      <c r="E16" s="32"/>
      <c r="F16" s="32" t="e">
        <f>($D$10-$H$10)-$D$8*SQRT($D$10*(1-$D$10)/$D$11 + $H$10*(1-$H$10)/$H$11)</f>
        <v>#DIV/0!</v>
      </c>
      <c r="G16" s="32"/>
      <c r="H16" s="57" t="s">
        <v>100</v>
      </c>
      <c r="I16" s="32"/>
      <c r="J16" s="32"/>
      <c r="K16" s="1"/>
      <c r="R16" s="32"/>
    </row>
    <row r="17" spans="1:18" x14ac:dyDescent="0.25">
      <c r="A17" s="32"/>
      <c r="B17" s="32"/>
      <c r="C17" s="32"/>
      <c r="D17" s="32" t="s">
        <v>36</v>
      </c>
      <c r="E17" s="32"/>
      <c r="F17" s="32" t="e">
        <f>($D$10-$H$10)+$D$8*SQRT($D$10*(1-$D$10)/$D$11 + $H$10*(1-$H$10)/$H$11)</f>
        <v>#DIV/0!</v>
      </c>
      <c r="G17" s="32"/>
      <c r="H17" s="57" t="s">
        <v>101</v>
      </c>
      <c r="I17" s="32"/>
      <c r="J17" s="32"/>
      <c r="K17" s="15" t="s">
        <v>102</v>
      </c>
      <c r="R17" s="32"/>
    </row>
    <row r="18" spans="1:18" ht="15.75" thickBo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1"/>
      <c r="R18" s="32"/>
    </row>
    <row r="19" spans="1:18" ht="15.75" x14ac:dyDescent="0.3">
      <c r="A19" s="32"/>
      <c r="B19" s="37" t="s">
        <v>38</v>
      </c>
      <c r="C19" s="38"/>
      <c r="D19" s="38">
        <f>D2</f>
        <v>0</v>
      </c>
      <c r="E19" s="38" t="s">
        <v>22</v>
      </c>
      <c r="F19" s="38" t="s">
        <v>103</v>
      </c>
      <c r="G19" s="38"/>
      <c r="H19" s="38"/>
      <c r="I19" s="39"/>
      <c r="J19" s="32"/>
      <c r="K19" s="58" t="s">
        <v>104</v>
      </c>
      <c r="L19" s="1"/>
      <c r="N19" s="1"/>
      <c r="P19" s="15" t="s">
        <v>65</v>
      </c>
      <c r="R19" s="32"/>
    </row>
    <row r="20" spans="1:18" ht="15.75" thickBot="1" x14ac:dyDescent="0.3">
      <c r="A20" s="32"/>
      <c r="B20" s="40"/>
      <c r="C20" s="41" t="s">
        <v>40</v>
      </c>
      <c r="D20" s="42" t="e">
        <f>F16</f>
        <v>#DIV/0!</v>
      </c>
      <c r="E20" s="42" t="s">
        <v>41</v>
      </c>
      <c r="F20" s="42" t="e">
        <f>F17</f>
        <v>#DIV/0!</v>
      </c>
      <c r="G20" s="42" t="s">
        <v>42</v>
      </c>
      <c r="H20" s="42"/>
      <c r="I20" s="43"/>
      <c r="J20" s="32"/>
      <c r="L20" s="1"/>
      <c r="N20" s="1"/>
      <c r="R20" s="32"/>
    </row>
    <row r="21" spans="1:18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49" t="s">
        <v>105</v>
      </c>
      <c r="L21" s="52">
        <f>O3</f>
        <v>0</v>
      </c>
      <c r="N21" s="1"/>
      <c r="R21" s="32"/>
    </row>
    <row r="22" spans="1:18" x14ac:dyDescent="0.25">
      <c r="A22" s="59"/>
      <c r="B22" s="60"/>
      <c r="C22" s="59"/>
      <c r="D22" s="59"/>
      <c r="E22" s="59"/>
      <c r="F22" s="59"/>
      <c r="G22" s="59"/>
      <c r="H22" s="59"/>
      <c r="I22" s="32"/>
      <c r="J22" s="32"/>
      <c r="K22" s="49" t="s">
        <v>106</v>
      </c>
      <c r="L22" s="52" t="e">
        <f>SQRT(P15*(1-P15)/N13 +P15*(1-P15)/P13)</f>
        <v>#DIV/0!</v>
      </c>
      <c r="N22" s="1"/>
      <c r="R22" s="32"/>
    </row>
    <row r="23" spans="1:18" x14ac:dyDescent="0.25">
      <c r="A23" s="59"/>
      <c r="B23" s="59"/>
      <c r="C23" s="59"/>
      <c r="D23" s="59"/>
      <c r="E23" s="59"/>
      <c r="F23" s="59"/>
      <c r="G23" s="59"/>
      <c r="H23" s="59"/>
      <c r="I23" s="32"/>
      <c r="J23" s="32"/>
      <c r="L23" s="1"/>
      <c r="N23" s="1"/>
      <c r="R23" s="32"/>
    </row>
    <row r="24" spans="1:18" x14ac:dyDescent="0.25">
      <c r="A24" s="59"/>
      <c r="B24" s="59"/>
      <c r="C24" s="59"/>
      <c r="D24" s="59"/>
      <c r="E24" s="59"/>
      <c r="F24" s="59"/>
      <c r="G24" s="59"/>
      <c r="H24" s="59"/>
      <c r="I24" s="32"/>
      <c r="J24" s="32"/>
      <c r="K24" s="46" t="s">
        <v>68</v>
      </c>
      <c r="L24" s="47"/>
      <c r="M24" s="47"/>
      <c r="N24" s="47"/>
      <c r="O24" s="46"/>
      <c r="P24" s="46"/>
      <c r="Q24" s="46"/>
      <c r="R24" s="32"/>
    </row>
    <row r="25" spans="1:18" x14ac:dyDescent="0.25">
      <c r="A25" s="59"/>
      <c r="B25" s="59"/>
      <c r="C25" s="59"/>
      <c r="D25" s="59"/>
      <c r="E25" s="59"/>
      <c r="F25" s="59"/>
      <c r="G25" s="59"/>
      <c r="H25" s="59"/>
      <c r="I25" s="32"/>
      <c r="J25" s="32"/>
      <c r="L25" s="1"/>
      <c r="N25" s="1"/>
      <c r="R25" s="32"/>
    </row>
    <row r="26" spans="1:18" x14ac:dyDescent="0.25">
      <c r="A26" s="59"/>
      <c r="B26" s="59"/>
      <c r="C26" s="59"/>
      <c r="D26" s="59"/>
      <c r="E26" s="59"/>
      <c r="F26" s="59"/>
      <c r="G26" s="59"/>
      <c r="H26" s="59"/>
      <c r="I26" s="32"/>
      <c r="J26" s="32"/>
      <c r="K26" t="s">
        <v>107</v>
      </c>
      <c r="L26" s="52" t="e">
        <f>N11/N13</f>
        <v>#DIV/0!</v>
      </c>
      <c r="N26" s="15"/>
      <c r="R26" s="32"/>
    </row>
    <row r="27" spans="1:18" x14ac:dyDescent="0.25">
      <c r="A27" s="59"/>
      <c r="B27" s="59"/>
      <c r="C27" s="59"/>
      <c r="D27" s="59"/>
      <c r="E27" s="59"/>
      <c r="F27" s="59"/>
      <c r="G27" s="59"/>
      <c r="H27" s="59"/>
      <c r="I27" s="32"/>
      <c r="J27" s="32"/>
      <c r="K27" t="s">
        <v>108</v>
      </c>
      <c r="L27" s="52" t="e">
        <f>P11/P13</f>
        <v>#DIV/0!</v>
      </c>
      <c r="N27" s="15"/>
      <c r="R27" s="32"/>
    </row>
    <row r="28" spans="1:18" x14ac:dyDescent="0.25">
      <c r="A28" s="59"/>
      <c r="B28" s="61"/>
      <c r="C28" s="59"/>
      <c r="D28" s="59"/>
      <c r="E28" s="59"/>
      <c r="F28" s="59"/>
      <c r="G28" s="59"/>
      <c r="H28" s="59"/>
      <c r="I28" s="32"/>
      <c r="J28" s="32"/>
      <c r="L28" s="1"/>
      <c r="N28" s="1"/>
      <c r="R28" s="32"/>
    </row>
    <row r="29" spans="1:18" x14ac:dyDescent="0.25">
      <c r="A29" s="59"/>
      <c r="B29" s="59"/>
      <c r="C29" s="59"/>
      <c r="D29" s="59"/>
      <c r="E29" s="59"/>
      <c r="F29" s="59"/>
      <c r="G29" s="59"/>
      <c r="H29" s="59"/>
      <c r="I29" s="32"/>
      <c r="J29" s="32"/>
      <c r="K29" t="s">
        <v>109</v>
      </c>
      <c r="L29" s="1"/>
      <c r="N29" s="1"/>
      <c r="R29" s="32"/>
    </row>
    <row r="30" spans="1:18" x14ac:dyDescent="0.25">
      <c r="A30" s="59"/>
      <c r="B30" s="59"/>
      <c r="C30" s="174"/>
      <c r="D30" s="174"/>
      <c r="E30" s="59"/>
      <c r="F30" s="59"/>
      <c r="G30" s="174"/>
      <c r="H30" s="174"/>
      <c r="I30" s="32"/>
      <c r="J30" s="32"/>
      <c r="K30" t="s">
        <v>72</v>
      </c>
      <c r="L30" s="52" t="e">
        <f>(L26-L27)/L22</f>
        <v>#DIV/0!</v>
      </c>
      <c r="N30" s="1"/>
      <c r="R30" s="32"/>
    </row>
    <row r="31" spans="1:18" x14ac:dyDescent="0.25">
      <c r="A31" s="59"/>
      <c r="B31" s="59"/>
      <c r="C31" s="59"/>
      <c r="D31" s="59"/>
      <c r="E31" s="59"/>
      <c r="F31" s="59"/>
      <c r="G31" s="59"/>
      <c r="H31" s="59"/>
      <c r="I31" s="32"/>
      <c r="J31" s="32"/>
      <c r="L31" s="1"/>
      <c r="N31" s="1"/>
      <c r="R31" s="32"/>
    </row>
    <row r="32" spans="1:18" ht="15.75" x14ac:dyDescent="0.3">
      <c r="A32" s="59"/>
      <c r="B32" s="59"/>
      <c r="C32" s="59"/>
      <c r="D32" s="59"/>
      <c r="E32" s="59"/>
      <c r="F32" s="59"/>
      <c r="G32" s="59"/>
      <c r="H32" s="59"/>
      <c r="I32" s="32"/>
      <c r="J32" s="32"/>
      <c r="K32" t="s">
        <v>73</v>
      </c>
      <c r="L32" s="1"/>
      <c r="N32" s="1"/>
      <c r="R32" s="32"/>
    </row>
    <row r="33" spans="1:18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L33" s="53" t="s">
        <v>74</v>
      </c>
      <c r="N33" s="1"/>
      <c r="R33" s="32"/>
    </row>
    <row r="34" spans="1:18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L34" s="53" t="e">
        <f>IF(Sheet3!A5=1,NORMDIST(L30,0,1,1),IF(Sheet3!A5=2,1-NORMDIST(L30,0,1,1), IF(L30&gt;0, 2*(1-NORMDIST(L30,0,1,1)),2*NORMDIST(L30,0,1,1))))</f>
        <v>#DIV/0!</v>
      </c>
      <c r="N34" s="1"/>
      <c r="R34" s="32"/>
    </row>
    <row r="35" spans="1:18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L35" s="1"/>
      <c r="N35" s="1"/>
      <c r="R35" s="32"/>
    </row>
    <row r="36" spans="1:18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46" t="s">
        <v>75</v>
      </c>
      <c r="L36" s="47"/>
      <c r="M36" s="47"/>
      <c r="N36" s="47"/>
      <c r="O36" s="46"/>
      <c r="P36" s="46"/>
      <c r="Q36" s="46"/>
      <c r="R36" s="32"/>
    </row>
    <row r="37" spans="1:18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L37" s="1"/>
      <c r="N37" s="1"/>
      <c r="R37" s="32"/>
    </row>
    <row r="38" spans="1:18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t="s">
        <v>76</v>
      </c>
      <c r="L38" s="15" t="s">
        <v>77</v>
      </c>
      <c r="N38" s="1"/>
      <c r="O38" s="50"/>
      <c r="R38" s="32"/>
    </row>
    <row r="39" spans="1:18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L39" s="1"/>
      <c r="N39" s="1"/>
      <c r="R39" s="32"/>
    </row>
    <row r="40" spans="1:18" ht="15.75" x14ac:dyDescent="0.3">
      <c r="A40" s="32"/>
      <c r="B40" s="32"/>
      <c r="C40" s="32"/>
      <c r="D40" s="32"/>
      <c r="E40" s="32"/>
      <c r="F40" s="32"/>
      <c r="G40" s="32"/>
      <c r="H40" s="32"/>
      <c r="I40" s="32"/>
      <c r="J40" s="32"/>
      <c r="L40" s="1"/>
      <c r="N40" s="52" t="e">
        <f>IF(L34&lt;O38,"Reject","Fail to reject")</f>
        <v>#DIV/0!</v>
      </c>
      <c r="O40" s="52" t="s">
        <v>78</v>
      </c>
      <c r="R40" s="32"/>
    </row>
    <row r="41" spans="1:18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L41" s="1"/>
      <c r="N41" s="1"/>
      <c r="R41" s="32"/>
    </row>
    <row r="42" spans="1:18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t="s">
        <v>79</v>
      </c>
      <c r="L42" s="1" t="s">
        <v>80</v>
      </c>
      <c r="N42" s="1"/>
      <c r="R42" s="32"/>
    </row>
    <row r="43" spans="1:18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L43" s="52" t="e">
        <f>IF(L34&lt;O38,"is","is not")</f>
        <v>#DIV/0!</v>
      </c>
      <c r="N43" s="52" t="e">
        <f>IF(AND(L34&lt;O38,L34&lt;0.01),"strong",IF(AND(L34&lt;O38,L34&lt;0.1,L34&gt;0.05),"weak",""))</f>
        <v>#DIV/0!</v>
      </c>
      <c r="R43" s="32"/>
    </row>
    <row r="44" spans="1:18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L44" s="15" t="s">
        <v>81</v>
      </c>
      <c r="N44" s="1"/>
      <c r="R44" s="32"/>
    </row>
    <row r="45" spans="1:18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L45" s="1"/>
      <c r="N45" s="1"/>
      <c r="R45" s="32"/>
    </row>
    <row r="46" spans="1:18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t="s">
        <v>82</v>
      </c>
      <c r="L46" s="1"/>
      <c r="N46" s="1"/>
      <c r="R46" s="32"/>
    </row>
    <row r="47" spans="1:18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L47" s="1"/>
      <c r="N47" s="1"/>
      <c r="R47" s="32"/>
    </row>
    <row r="48" spans="1:18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46"/>
      <c r="L48" s="1"/>
      <c r="N48" s="1"/>
      <c r="R48" s="32"/>
    </row>
    <row r="49" spans="1:18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L49" s="1"/>
      <c r="N49" s="1"/>
      <c r="R49" s="32"/>
    </row>
    <row r="50" spans="1:18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L50" s="1"/>
      <c r="N50" s="1"/>
      <c r="R50" s="32"/>
    </row>
    <row r="51" spans="1:18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L51" s="1"/>
      <c r="N51" s="1"/>
      <c r="R51" s="32"/>
    </row>
    <row r="52" spans="1:18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L52" s="1"/>
      <c r="N52" s="1"/>
      <c r="R52" s="32"/>
    </row>
  </sheetData>
  <mergeCells count="2">
    <mergeCell ref="C30:D30"/>
    <mergeCell ref="G30:H30"/>
  </mergeCells>
  <conditionalFormatting sqref="D10 H10">
    <cfRule type="expression" dxfId="2" priority="2" stopIfTrue="1">
      <formula>OR(D10&gt;=1,D10&lt;=0)</formula>
    </cfRule>
  </conditionalFormatting>
  <conditionalFormatting sqref="N11 P11">
    <cfRule type="expression" dxfId="1" priority="1" stopIfTrue="1">
      <formula>N11&lt;1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>
                <anchor moveWithCells="1">
                  <from>
                    <xdr:col>13</xdr:col>
                    <xdr:colOff>47625</xdr:colOff>
                    <xdr:row>3</xdr:row>
                    <xdr:rowOff>38100</xdr:rowOff>
                  </from>
                  <to>
                    <xdr:col>13</xdr:col>
                    <xdr:colOff>1028700</xdr:colOff>
                    <xdr:row>3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"/>
    </sheetView>
  </sheetViews>
  <sheetFormatPr defaultRowHeight="15" x14ac:dyDescent="0.25"/>
  <cols>
    <col min="1" max="1" width="19.28515625" bestFit="1" customWidth="1"/>
    <col min="2" max="2" width="19.85546875" bestFit="1" customWidth="1"/>
    <col min="3" max="3" width="17.5703125" customWidth="1"/>
    <col min="4" max="4" width="12" bestFit="1" customWidth="1"/>
    <col min="5" max="5" width="13.85546875" bestFit="1" customWidth="1"/>
  </cols>
  <sheetData>
    <row r="1" spans="1:5" x14ac:dyDescent="0.25">
      <c r="A1" s="1"/>
      <c r="B1" s="1"/>
      <c r="C1" s="1" t="s">
        <v>0</v>
      </c>
      <c r="D1" s="1"/>
      <c r="E1" s="1"/>
    </row>
    <row r="2" spans="1:5" x14ac:dyDescent="0.25">
      <c r="A2" s="1" t="s">
        <v>152</v>
      </c>
      <c r="B2" s="96" t="s">
        <v>153</v>
      </c>
      <c r="C2" s="2"/>
      <c r="D2" s="1"/>
      <c r="E2" s="1"/>
    </row>
    <row r="3" spans="1:5" x14ac:dyDescent="0.25">
      <c r="A3" s="1"/>
      <c r="B3" s="1"/>
      <c r="C3" s="1"/>
      <c r="D3" s="1"/>
      <c r="E3" s="1"/>
    </row>
    <row r="4" spans="1:5" ht="15.75" thickBot="1" x14ac:dyDescent="0.3">
      <c r="A4" s="4" t="s">
        <v>5</v>
      </c>
      <c r="B4" s="5" t="s">
        <v>154</v>
      </c>
      <c r="C4" s="88"/>
      <c r="D4" s="6" t="s">
        <v>155</v>
      </c>
      <c r="E4" s="6" t="e">
        <f>IF(C4&gt;0,1-TDIST(C4,$C$2,1),TDIST(-C4,$C$2,1))</f>
        <v>#NUM!</v>
      </c>
    </row>
    <row r="5" spans="1:5" ht="16.5" thickTop="1" thickBot="1" x14ac:dyDescent="0.3">
      <c r="A5" s="4" t="s">
        <v>5</v>
      </c>
      <c r="B5" s="72" t="s">
        <v>183</v>
      </c>
      <c r="C5" s="90"/>
      <c r="D5" s="7" t="s">
        <v>156</v>
      </c>
      <c r="E5" s="7" t="e">
        <f>TINV(C5,C2)</f>
        <v>#NUM!</v>
      </c>
    </row>
    <row r="6" spans="1:5" ht="15.75" thickTop="1" x14ac:dyDescent="0.25">
      <c r="A6" s="1"/>
      <c r="B6" s="1"/>
      <c r="C6" s="1"/>
      <c r="D6" s="1"/>
      <c r="E6" s="1"/>
    </row>
    <row r="7" spans="1:5" ht="15.75" thickBot="1" x14ac:dyDescent="0.3">
      <c r="A7" s="1" t="s">
        <v>6</v>
      </c>
      <c r="B7" s="1"/>
      <c r="C7" s="1"/>
      <c r="D7" s="1"/>
      <c r="E7" s="1"/>
    </row>
    <row r="8" spans="1:5" x14ac:dyDescent="0.25">
      <c r="A8" s="8" t="s">
        <v>7</v>
      </c>
      <c r="B8" s="9" t="s">
        <v>157</v>
      </c>
      <c r="C8" s="9" t="s">
        <v>9</v>
      </c>
      <c r="D8" s="10" t="s">
        <v>158</v>
      </c>
      <c r="E8" s="11" t="s">
        <v>6</v>
      </c>
    </row>
    <row r="9" spans="1:5" ht="15.75" thickBot="1" x14ac:dyDescent="0.3">
      <c r="A9" s="92"/>
      <c r="B9" s="9" t="e">
        <f>IF(A9&gt;0,1-TDIST(A9,$C$2,1),TDIST(-A9,$C$2,1))</f>
        <v>#NUM!</v>
      </c>
      <c r="C9" s="93"/>
      <c r="D9" s="9" t="e">
        <f>IF(C9&gt;0,1-TDIST(C9,$C$2,1),TDIST(-C9,$C$2,1))</f>
        <v>#NUM!</v>
      </c>
      <c r="E9" s="12" t="e">
        <f>D9-B9</f>
        <v>#NUM!</v>
      </c>
    </row>
    <row r="10" spans="1:5" x14ac:dyDescent="0.25">
      <c r="A10" s="73"/>
      <c r="B10" s="73"/>
      <c r="C10" s="73"/>
      <c r="D10" s="73"/>
      <c r="E10" s="74"/>
    </row>
    <row r="11" spans="1:5" ht="15.75" thickBot="1" x14ac:dyDescent="0.3">
      <c r="A11" s="73" t="s">
        <v>159</v>
      </c>
      <c r="B11" s="73"/>
      <c r="C11" s="73"/>
      <c r="D11" s="73"/>
      <c r="E11" s="74"/>
    </row>
    <row r="12" spans="1:5" x14ac:dyDescent="0.25">
      <c r="A12" s="73" t="s">
        <v>160</v>
      </c>
      <c r="B12" s="75" t="s">
        <v>161</v>
      </c>
      <c r="C12" s="73"/>
      <c r="D12" s="74"/>
    </row>
    <row r="13" spans="1:5" ht="15.75" thickBot="1" x14ac:dyDescent="0.3">
      <c r="A13" s="94"/>
      <c r="B13" s="76" t="e">
        <f>TDIST(A13,$C$2,2)</f>
        <v>#NUM!</v>
      </c>
      <c r="C13" s="73"/>
      <c r="D13" s="74"/>
    </row>
    <row r="14" spans="1:5" x14ac:dyDescent="0.25">
      <c r="A14" s="1"/>
      <c r="B14" s="1"/>
      <c r="C14" s="1"/>
      <c r="D14" s="1"/>
      <c r="E14" s="1"/>
    </row>
    <row r="15" spans="1:5" ht="15.75" thickBot="1" x14ac:dyDescent="0.3">
      <c r="A15" s="1" t="s">
        <v>162</v>
      </c>
      <c r="B15" s="1"/>
      <c r="C15" s="1"/>
      <c r="D15" s="1"/>
      <c r="E15" s="1"/>
    </row>
    <row r="16" spans="1:5" x14ac:dyDescent="0.25">
      <c r="A16" s="8" t="s">
        <v>12</v>
      </c>
      <c r="B16" s="13" t="s">
        <v>163</v>
      </c>
      <c r="C16" s="1"/>
      <c r="D16" s="1"/>
    </row>
    <row r="17" spans="1:4" ht="15.75" thickBot="1" x14ac:dyDescent="0.3">
      <c r="A17" s="92"/>
      <c r="B17" s="14" t="e">
        <f>IF(A17&gt;0,TDIST(A17,$C$2,1),1-TDIST(-A17,C2,1))</f>
        <v>#NUM!</v>
      </c>
      <c r="C17" s="1"/>
      <c r="D17" s="1"/>
    </row>
  </sheetData>
  <conditionalFormatting sqref="C5">
    <cfRule type="expression" dxfId="0" priority="1" stopIfTrue="1">
      <formula>OR($C$5&gt;=1,$C$5&lt;=0)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workbookViewId="0">
      <selection activeCell="A2" sqref="A2:A13"/>
    </sheetView>
  </sheetViews>
  <sheetFormatPr defaultRowHeight="15" x14ac:dyDescent="0.25"/>
  <cols>
    <col min="1" max="1" width="12.140625" customWidth="1"/>
    <col min="3" max="3" width="9.140625" style="49" customWidth="1"/>
    <col min="4" max="4" width="9.140625" style="1" customWidth="1"/>
    <col min="5" max="5" width="17" style="49" customWidth="1"/>
    <col min="257" max="257" width="12.140625" customWidth="1"/>
    <col min="259" max="260" width="9.140625" customWidth="1"/>
    <col min="261" max="261" width="17" customWidth="1"/>
    <col min="513" max="513" width="12.140625" customWidth="1"/>
    <col min="515" max="516" width="9.140625" customWidth="1"/>
    <col min="517" max="517" width="17" customWidth="1"/>
    <col min="769" max="769" width="12.140625" customWidth="1"/>
    <col min="771" max="772" width="9.140625" customWidth="1"/>
    <col min="773" max="773" width="17" customWidth="1"/>
    <col min="1025" max="1025" width="12.140625" customWidth="1"/>
    <col min="1027" max="1028" width="9.140625" customWidth="1"/>
    <col min="1029" max="1029" width="17" customWidth="1"/>
    <col min="1281" max="1281" width="12.140625" customWidth="1"/>
    <col min="1283" max="1284" width="9.140625" customWidth="1"/>
    <col min="1285" max="1285" width="17" customWidth="1"/>
    <col min="1537" max="1537" width="12.140625" customWidth="1"/>
    <col min="1539" max="1540" width="9.140625" customWidth="1"/>
    <col min="1541" max="1541" width="17" customWidth="1"/>
    <col min="1793" max="1793" width="12.140625" customWidth="1"/>
    <col min="1795" max="1796" width="9.140625" customWidth="1"/>
    <col min="1797" max="1797" width="17" customWidth="1"/>
    <col min="2049" max="2049" width="12.140625" customWidth="1"/>
    <col min="2051" max="2052" width="9.140625" customWidth="1"/>
    <col min="2053" max="2053" width="17" customWidth="1"/>
    <col min="2305" max="2305" width="12.140625" customWidth="1"/>
    <col min="2307" max="2308" width="9.140625" customWidth="1"/>
    <col min="2309" max="2309" width="17" customWidth="1"/>
    <col min="2561" max="2561" width="12.140625" customWidth="1"/>
    <col min="2563" max="2564" width="9.140625" customWidth="1"/>
    <col min="2565" max="2565" width="17" customWidth="1"/>
    <col min="2817" max="2817" width="12.140625" customWidth="1"/>
    <col min="2819" max="2820" width="9.140625" customWidth="1"/>
    <col min="2821" max="2821" width="17" customWidth="1"/>
    <col min="3073" max="3073" width="12.140625" customWidth="1"/>
    <col min="3075" max="3076" width="9.140625" customWidth="1"/>
    <col min="3077" max="3077" width="17" customWidth="1"/>
    <col min="3329" max="3329" width="12.140625" customWidth="1"/>
    <col min="3331" max="3332" width="9.140625" customWidth="1"/>
    <col min="3333" max="3333" width="17" customWidth="1"/>
    <col min="3585" max="3585" width="12.140625" customWidth="1"/>
    <col min="3587" max="3588" width="9.140625" customWidth="1"/>
    <col min="3589" max="3589" width="17" customWidth="1"/>
    <col min="3841" max="3841" width="12.140625" customWidth="1"/>
    <col min="3843" max="3844" width="9.140625" customWidth="1"/>
    <col min="3845" max="3845" width="17" customWidth="1"/>
    <col min="4097" max="4097" width="12.140625" customWidth="1"/>
    <col min="4099" max="4100" width="9.140625" customWidth="1"/>
    <col min="4101" max="4101" width="17" customWidth="1"/>
    <col min="4353" max="4353" width="12.140625" customWidth="1"/>
    <col min="4355" max="4356" width="9.140625" customWidth="1"/>
    <col min="4357" max="4357" width="17" customWidth="1"/>
    <col min="4609" max="4609" width="12.140625" customWidth="1"/>
    <col min="4611" max="4612" width="9.140625" customWidth="1"/>
    <col min="4613" max="4613" width="17" customWidth="1"/>
    <col min="4865" max="4865" width="12.140625" customWidth="1"/>
    <col min="4867" max="4868" width="9.140625" customWidth="1"/>
    <col min="4869" max="4869" width="17" customWidth="1"/>
    <col min="5121" max="5121" width="12.140625" customWidth="1"/>
    <col min="5123" max="5124" width="9.140625" customWidth="1"/>
    <col min="5125" max="5125" width="17" customWidth="1"/>
    <col min="5377" max="5377" width="12.140625" customWidth="1"/>
    <col min="5379" max="5380" width="9.140625" customWidth="1"/>
    <col min="5381" max="5381" width="17" customWidth="1"/>
    <col min="5633" max="5633" width="12.140625" customWidth="1"/>
    <col min="5635" max="5636" width="9.140625" customWidth="1"/>
    <col min="5637" max="5637" width="17" customWidth="1"/>
    <col min="5889" max="5889" width="12.140625" customWidth="1"/>
    <col min="5891" max="5892" width="9.140625" customWidth="1"/>
    <col min="5893" max="5893" width="17" customWidth="1"/>
    <col min="6145" max="6145" width="12.140625" customWidth="1"/>
    <col min="6147" max="6148" width="9.140625" customWidth="1"/>
    <col min="6149" max="6149" width="17" customWidth="1"/>
    <col min="6401" max="6401" width="12.140625" customWidth="1"/>
    <col min="6403" max="6404" width="9.140625" customWidth="1"/>
    <col min="6405" max="6405" width="17" customWidth="1"/>
    <col min="6657" max="6657" width="12.140625" customWidth="1"/>
    <col min="6659" max="6660" width="9.140625" customWidth="1"/>
    <col min="6661" max="6661" width="17" customWidth="1"/>
    <col min="6913" max="6913" width="12.140625" customWidth="1"/>
    <col min="6915" max="6916" width="9.140625" customWidth="1"/>
    <col min="6917" max="6917" width="17" customWidth="1"/>
    <col min="7169" max="7169" width="12.140625" customWidth="1"/>
    <col min="7171" max="7172" width="9.140625" customWidth="1"/>
    <col min="7173" max="7173" width="17" customWidth="1"/>
    <col min="7425" max="7425" width="12.140625" customWidth="1"/>
    <col min="7427" max="7428" width="9.140625" customWidth="1"/>
    <col min="7429" max="7429" width="17" customWidth="1"/>
    <col min="7681" max="7681" width="12.140625" customWidth="1"/>
    <col min="7683" max="7684" width="9.140625" customWidth="1"/>
    <col min="7685" max="7685" width="17" customWidth="1"/>
    <col min="7937" max="7937" width="12.140625" customWidth="1"/>
    <col min="7939" max="7940" width="9.140625" customWidth="1"/>
    <col min="7941" max="7941" width="17" customWidth="1"/>
    <col min="8193" max="8193" width="12.140625" customWidth="1"/>
    <col min="8195" max="8196" width="9.140625" customWidth="1"/>
    <col min="8197" max="8197" width="17" customWidth="1"/>
    <col min="8449" max="8449" width="12.140625" customWidth="1"/>
    <col min="8451" max="8452" width="9.140625" customWidth="1"/>
    <col min="8453" max="8453" width="17" customWidth="1"/>
    <col min="8705" max="8705" width="12.140625" customWidth="1"/>
    <col min="8707" max="8708" width="9.140625" customWidth="1"/>
    <col min="8709" max="8709" width="17" customWidth="1"/>
    <col min="8961" max="8961" width="12.140625" customWidth="1"/>
    <col min="8963" max="8964" width="9.140625" customWidth="1"/>
    <col min="8965" max="8965" width="17" customWidth="1"/>
    <col min="9217" max="9217" width="12.140625" customWidth="1"/>
    <col min="9219" max="9220" width="9.140625" customWidth="1"/>
    <col min="9221" max="9221" width="17" customWidth="1"/>
    <col min="9473" max="9473" width="12.140625" customWidth="1"/>
    <col min="9475" max="9476" width="9.140625" customWidth="1"/>
    <col min="9477" max="9477" width="17" customWidth="1"/>
    <col min="9729" max="9729" width="12.140625" customWidth="1"/>
    <col min="9731" max="9732" width="9.140625" customWidth="1"/>
    <col min="9733" max="9733" width="17" customWidth="1"/>
    <col min="9985" max="9985" width="12.140625" customWidth="1"/>
    <col min="9987" max="9988" width="9.140625" customWidth="1"/>
    <col min="9989" max="9989" width="17" customWidth="1"/>
    <col min="10241" max="10241" width="12.140625" customWidth="1"/>
    <col min="10243" max="10244" width="9.140625" customWidth="1"/>
    <col min="10245" max="10245" width="17" customWidth="1"/>
    <col min="10497" max="10497" width="12.140625" customWidth="1"/>
    <col min="10499" max="10500" width="9.140625" customWidth="1"/>
    <col min="10501" max="10501" width="17" customWidth="1"/>
    <col min="10753" max="10753" width="12.140625" customWidth="1"/>
    <col min="10755" max="10756" width="9.140625" customWidth="1"/>
    <col min="10757" max="10757" width="17" customWidth="1"/>
    <col min="11009" max="11009" width="12.140625" customWidth="1"/>
    <col min="11011" max="11012" width="9.140625" customWidth="1"/>
    <col min="11013" max="11013" width="17" customWidth="1"/>
    <col min="11265" max="11265" width="12.140625" customWidth="1"/>
    <col min="11267" max="11268" width="9.140625" customWidth="1"/>
    <col min="11269" max="11269" width="17" customWidth="1"/>
    <col min="11521" max="11521" width="12.140625" customWidth="1"/>
    <col min="11523" max="11524" width="9.140625" customWidth="1"/>
    <col min="11525" max="11525" width="17" customWidth="1"/>
    <col min="11777" max="11777" width="12.140625" customWidth="1"/>
    <col min="11779" max="11780" width="9.140625" customWidth="1"/>
    <col min="11781" max="11781" width="17" customWidth="1"/>
    <col min="12033" max="12033" width="12.140625" customWidth="1"/>
    <col min="12035" max="12036" width="9.140625" customWidth="1"/>
    <col min="12037" max="12037" width="17" customWidth="1"/>
    <col min="12289" max="12289" width="12.140625" customWidth="1"/>
    <col min="12291" max="12292" width="9.140625" customWidth="1"/>
    <col min="12293" max="12293" width="17" customWidth="1"/>
    <col min="12545" max="12545" width="12.140625" customWidth="1"/>
    <col min="12547" max="12548" width="9.140625" customWidth="1"/>
    <col min="12549" max="12549" width="17" customWidth="1"/>
    <col min="12801" max="12801" width="12.140625" customWidth="1"/>
    <col min="12803" max="12804" width="9.140625" customWidth="1"/>
    <col min="12805" max="12805" width="17" customWidth="1"/>
    <col min="13057" max="13057" width="12.140625" customWidth="1"/>
    <col min="13059" max="13060" width="9.140625" customWidth="1"/>
    <col min="13061" max="13061" width="17" customWidth="1"/>
    <col min="13313" max="13313" width="12.140625" customWidth="1"/>
    <col min="13315" max="13316" width="9.140625" customWidth="1"/>
    <col min="13317" max="13317" width="17" customWidth="1"/>
    <col min="13569" max="13569" width="12.140625" customWidth="1"/>
    <col min="13571" max="13572" width="9.140625" customWidth="1"/>
    <col min="13573" max="13573" width="17" customWidth="1"/>
    <col min="13825" max="13825" width="12.140625" customWidth="1"/>
    <col min="13827" max="13828" width="9.140625" customWidth="1"/>
    <col min="13829" max="13829" width="17" customWidth="1"/>
    <col min="14081" max="14081" width="12.140625" customWidth="1"/>
    <col min="14083" max="14084" width="9.140625" customWidth="1"/>
    <col min="14085" max="14085" width="17" customWidth="1"/>
    <col min="14337" max="14337" width="12.140625" customWidth="1"/>
    <col min="14339" max="14340" width="9.140625" customWidth="1"/>
    <col min="14341" max="14341" width="17" customWidth="1"/>
    <col min="14593" max="14593" width="12.140625" customWidth="1"/>
    <col min="14595" max="14596" width="9.140625" customWidth="1"/>
    <col min="14597" max="14597" width="17" customWidth="1"/>
    <col min="14849" max="14849" width="12.140625" customWidth="1"/>
    <col min="14851" max="14852" width="9.140625" customWidth="1"/>
    <col min="14853" max="14853" width="17" customWidth="1"/>
    <col min="15105" max="15105" width="12.140625" customWidth="1"/>
    <col min="15107" max="15108" width="9.140625" customWidth="1"/>
    <col min="15109" max="15109" width="17" customWidth="1"/>
    <col min="15361" max="15361" width="12.140625" customWidth="1"/>
    <col min="15363" max="15364" width="9.140625" customWidth="1"/>
    <col min="15365" max="15365" width="17" customWidth="1"/>
    <col min="15617" max="15617" width="12.140625" customWidth="1"/>
    <col min="15619" max="15620" width="9.140625" customWidth="1"/>
    <col min="15621" max="15621" width="17" customWidth="1"/>
    <col min="15873" max="15873" width="12.140625" customWidth="1"/>
    <col min="15875" max="15876" width="9.140625" customWidth="1"/>
    <col min="15877" max="15877" width="17" customWidth="1"/>
    <col min="16129" max="16129" width="12.140625" customWidth="1"/>
    <col min="16131" max="16132" width="9.140625" customWidth="1"/>
    <col min="16133" max="16133" width="17" customWidth="1"/>
  </cols>
  <sheetData>
    <row r="1" spans="1:6" x14ac:dyDescent="0.25">
      <c r="A1" t="s">
        <v>110</v>
      </c>
      <c r="C1" s="49" t="s">
        <v>111</v>
      </c>
      <c r="D1" s="1" t="s">
        <v>112</v>
      </c>
    </row>
    <row r="2" spans="1:6" x14ac:dyDescent="0.25">
      <c r="A2" s="125"/>
      <c r="C2" s="49" t="s">
        <v>113</v>
      </c>
      <c r="D2" s="95" t="e">
        <f>AVERAGE(A:A)</f>
        <v>#DIV/0!</v>
      </c>
    </row>
    <row r="3" spans="1:6" x14ac:dyDescent="0.25">
      <c r="A3" s="125"/>
      <c r="C3" s="49" t="s">
        <v>114</v>
      </c>
      <c r="D3" s="95" t="e">
        <f>STDEV(A:A)</f>
        <v>#DIV/0!</v>
      </c>
    </row>
    <row r="4" spans="1:6" x14ac:dyDescent="0.25">
      <c r="A4" s="125"/>
      <c r="C4" s="49" t="s">
        <v>30</v>
      </c>
      <c r="D4" s="95">
        <f>COUNT(A:A)</f>
        <v>0</v>
      </c>
    </row>
    <row r="5" spans="1:6" x14ac:dyDescent="0.25">
      <c r="A5" s="125"/>
    </row>
    <row r="6" spans="1:6" x14ac:dyDescent="0.25">
      <c r="A6" s="125"/>
      <c r="C6" s="49" t="s">
        <v>115</v>
      </c>
      <c r="D6" s="95">
        <f>MIN(A:A)</f>
        <v>0</v>
      </c>
    </row>
    <row r="7" spans="1:6" x14ac:dyDescent="0.25">
      <c r="A7" s="125"/>
      <c r="C7" s="49" t="s">
        <v>116</v>
      </c>
      <c r="D7" s="70" t="e">
        <f>QUARTILE(A:A,1)</f>
        <v>#NUM!</v>
      </c>
      <c r="E7" s="49" t="s">
        <v>117</v>
      </c>
      <c r="F7" s="82" t="e">
        <f>IF(FLOOR((INT((COUNT(A:A)+1)/2)+1)/2,1)=CEILING((INT((COUNT(A:A)+1)/2)+1)/2,1),INDEX(A:A,(INT((COUNT(A:A)+1)/2)+1)/2+1),(INDEX(A:A,FLOOR((INT((COUNT(A:A)+1)/2)+1)/2,1)+1)+INDEX(A:A,CEILING((INT((COUNT(A:A)+1)/2)+1)/2,1)+1))/2)</f>
        <v>#VALUE!</v>
      </c>
    </row>
    <row r="8" spans="1:6" x14ac:dyDescent="0.25">
      <c r="A8" s="125"/>
      <c r="C8" s="49" t="s">
        <v>118</v>
      </c>
      <c r="D8" s="95" t="e">
        <f>MEDIAN(A:A)</f>
        <v>#NUM!</v>
      </c>
    </row>
    <row r="9" spans="1:6" x14ac:dyDescent="0.25">
      <c r="A9" s="125"/>
      <c r="C9" s="49" t="s">
        <v>119</v>
      </c>
      <c r="D9" s="70" t="e">
        <f>QUARTILE(A:A,3)</f>
        <v>#NUM!</v>
      </c>
      <c r="E9" s="49" t="s">
        <v>120</v>
      </c>
      <c r="F9" s="82" t="e">
        <f>IF(FLOOR((INT((COUNT(A:A)+1)/2)+1)/2,1)=CEILING((INT((COUNT(A:A)+1)/2)+1)/2,1),INDEX(A:A,1+COUNT(A:A)-(INT((COUNT(A:A)+1)/2)+1)/2+1),(INDEX(A:A,1+COUNT(A:A)-FLOOR((INT((COUNT(A:A)+1)/2)+1)/2,1)+1)+INDEX(A:A,1+COUNT(A:A)-CEILING((INT((COUNT(A:A)+1)/2)+1)/2,1)+1))/2)</f>
        <v>#VALUE!</v>
      </c>
    </row>
    <row r="10" spans="1:6" x14ac:dyDescent="0.25">
      <c r="A10" s="125"/>
      <c r="C10" s="49" t="s">
        <v>121</v>
      </c>
      <c r="D10" s="95">
        <f>MAX(A:A)</f>
        <v>0</v>
      </c>
    </row>
    <row r="11" spans="1:6" x14ac:dyDescent="0.25">
      <c r="A11" s="125"/>
    </row>
    <row r="12" spans="1:6" x14ac:dyDescent="0.25">
      <c r="A12" s="125"/>
      <c r="C12" s="49" t="s">
        <v>122</v>
      </c>
      <c r="D12" s="1" t="e">
        <f>D9-D7</f>
        <v>#NUM!</v>
      </c>
      <c r="E12" s="49" t="s">
        <v>123</v>
      </c>
      <c r="F12" s="82" t="e">
        <f>F9-F7</f>
        <v>#VALUE!</v>
      </c>
    </row>
    <row r="13" spans="1:6" x14ac:dyDescent="0.25">
      <c r="A13" s="125"/>
      <c r="C13" s="49" t="s">
        <v>124</v>
      </c>
      <c r="D13" s="1">
        <f>D10-D6</f>
        <v>0</v>
      </c>
    </row>
    <row r="14" spans="1:6" x14ac:dyDescent="0.25">
      <c r="A14" s="125"/>
      <c r="E14" s="49" t="s">
        <v>259</v>
      </c>
    </row>
    <row r="15" spans="1:6" x14ac:dyDescent="0.25">
      <c r="A15" s="125"/>
      <c r="E15" s="49" t="s">
        <v>260</v>
      </c>
      <c r="F15" s="82" t="e">
        <f>F7-1.5*F12</f>
        <v>#VALUE!</v>
      </c>
    </row>
    <row r="16" spans="1:6" x14ac:dyDescent="0.25">
      <c r="A16" s="125"/>
      <c r="E16" s="49" t="s">
        <v>261</v>
      </c>
      <c r="F16" s="82" t="e">
        <f>F9+1.5*F12</f>
        <v>#VALUE!</v>
      </c>
    </row>
    <row r="17" spans="1:6" x14ac:dyDescent="0.25">
      <c r="A17" s="125"/>
    </row>
    <row r="18" spans="1:6" x14ac:dyDescent="0.25">
      <c r="A18" s="125"/>
      <c r="E18" s="49" t="s">
        <v>262</v>
      </c>
    </row>
    <row r="19" spans="1:6" x14ac:dyDescent="0.25">
      <c r="A19" s="125"/>
      <c r="E19" s="49" t="s">
        <v>263</v>
      </c>
      <c r="F19" s="82" t="e">
        <f>F7-3*F12</f>
        <v>#VALUE!</v>
      </c>
    </row>
    <row r="20" spans="1:6" x14ac:dyDescent="0.25">
      <c r="A20" s="125"/>
      <c r="E20" s="49" t="s">
        <v>264</v>
      </c>
      <c r="F20" s="82" t="e">
        <f>F9+3*F12</f>
        <v>#VALUE!</v>
      </c>
    </row>
    <row r="21" spans="1:6" x14ac:dyDescent="0.25">
      <c r="A21" s="125"/>
    </row>
    <row r="22" spans="1:6" x14ac:dyDescent="0.25">
      <c r="A22" s="125"/>
    </row>
    <row r="23" spans="1:6" x14ac:dyDescent="0.25">
      <c r="A23" s="125"/>
    </row>
    <row r="24" spans="1:6" x14ac:dyDescent="0.25">
      <c r="A24" s="125"/>
    </row>
    <row r="25" spans="1:6" x14ac:dyDescent="0.25">
      <c r="A25" s="125"/>
    </row>
    <row r="26" spans="1:6" x14ac:dyDescent="0.25">
      <c r="A26" s="125"/>
    </row>
    <row r="27" spans="1:6" x14ac:dyDescent="0.25">
      <c r="A27" s="125"/>
    </row>
    <row r="28" spans="1:6" x14ac:dyDescent="0.25">
      <c r="A28" s="125"/>
    </row>
    <row r="29" spans="1:6" x14ac:dyDescent="0.25">
      <c r="A29" s="125"/>
    </row>
    <row r="30" spans="1:6" x14ac:dyDescent="0.25">
      <c r="A30" s="125"/>
    </row>
    <row r="31" spans="1:6" x14ac:dyDescent="0.25">
      <c r="A31" s="125"/>
    </row>
    <row r="32" spans="1:6" x14ac:dyDescent="0.25">
      <c r="A32" s="125"/>
    </row>
    <row r="33" spans="1:1" x14ac:dyDescent="0.25">
      <c r="A33" s="125"/>
    </row>
    <row r="34" spans="1:1" x14ac:dyDescent="0.25">
      <c r="A34" s="125"/>
    </row>
    <row r="35" spans="1:1" x14ac:dyDescent="0.25">
      <c r="A35" s="125"/>
    </row>
    <row r="36" spans="1:1" x14ac:dyDescent="0.25">
      <c r="A36" s="125"/>
    </row>
    <row r="37" spans="1:1" x14ac:dyDescent="0.25">
      <c r="A37" s="125"/>
    </row>
    <row r="38" spans="1:1" x14ac:dyDescent="0.25">
      <c r="A38" s="125"/>
    </row>
    <row r="39" spans="1:1" x14ac:dyDescent="0.25">
      <c r="A39" s="125"/>
    </row>
    <row r="40" spans="1:1" x14ac:dyDescent="0.25">
      <c r="A40" s="125"/>
    </row>
    <row r="41" spans="1:1" x14ac:dyDescent="0.25">
      <c r="A41" s="125"/>
    </row>
    <row r="42" spans="1:1" x14ac:dyDescent="0.25">
      <c r="A42" s="125"/>
    </row>
    <row r="43" spans="1:1" x14ac:dyDescent="0.25">
      <c r="A43" s="125"/>
    </row>
    <row r="44" spans="1:1" x14ac:dyDescent="0.25">
      <c r="A44" s="125"/>
    </row>
    <row r="45" spans="1:1" x14ac:dyDescent="0.25">
      <c r="A45" s="125"/>
    </row>
    <row r="46" spans="1:1" x14ac:dyDescent="0.25">
      <c r="A46" s="125"/>
    </row>
    <row r="47" spans="1:1" x14ac:dyDescent="0.25">
      <c r="A47" s="125"/>
    </row>
    <row r="48" spans="1:1" x14ac:dyDescent="0.25">
      <c r="A48" s="125"/>
    </row>
    <row r="49" spans="1:1" x14ac:dyDescent="0.25">
      <c r="A49" s="125"/>
    </row>
    <row r="50" spans="1:1" x14ac:dyDescent="0.25">
      <c r="A50" s="125"/>
    </row>
    <row r="51" spans="1:1" x14ac:dyDescent="0.25">
      <c r="A51" s="126"/>
    </row>
    <row r="52" spans="1:1" x14ac:dyDescent="0.25">
      <c r="A52" s="12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8"/>
  <sheetViews>
    <sheetView workbookViewId="0">
      <selection activeCell="Q34" sqref="Q34"/>
    </sheetView>
  </sheetViews>
  <sheetFormatPr defaultRowHeight="15" x14ac:dyDescent="0.25"/>
  <cols>
    <col min="2" max="2" width="10.28515625" customWidth="1"/>
    <col min="4" max="4" width="11.28515625" customWidth="1"/>
    <col min="5" max="5" width="3" customWidth="1"/>
    <col min="6" max="6" width="11.42578125" customWidth="1"/>
    <col min="13" max="13" width="32.7109375" customWidth="1"/>
    <col min="16" max="16" width="16.7109375" customWidth="1"/>
  </cols>
  <sheetData>
    <row r="1" spans="1:19" ht="18" x14ac:dyDescent="0.25">
      <c r="A1" s="62" t="s">
        <v>125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46" t="s">
        <v>52</v>
      </c>
      <c r="N1" s="47"/>
      <c r="O1" s="48"/>
      <c r="P1" s="47"/>
      <c r="Q1" s="46"/>
      <c r="R1" s="46"/>
      <c r="S1" s="46"/>
    </row>
    <row r="2" spans="1:19" ht="18.75" thickBot="1" x14ac:dyDescent="0.3">
      <c r="A2" s="62"/>
      <c r="B2" s="32"/>
      <c r="C2" s="32"/>
      <c r="D2" s="32"/>
      <c r="E2" s="32"/>
      <c r="F2" s="32"/>
      <c r="G2" s="32"/>
      <c r="H2" s="32"/>
      <c r="I2" s="32"/>
      <c r="J2" s="32"/>
      <c r="K2" s="33"/>
      <c r="L2" s="33"/>
      <c r="N2" s="1"/>
      <c r="O2" s="49"/>
      <c r="P2" s="1"/>
    </row>
    <row r="3" spans="1:19" ht="16.5" thickBot="1" x14ac:dyDescent="0.35">
      <c r="A3" s="33"/>
      <c r="B3" s="33" t="s">
        <v>21</v>
      </c>
      <c r="C3" s="33"/>
      <c r="D3" s="34"/>
      <c r="E3" s="33" t="s">
        <v>22</v>
      </c>
      <c r="F3" s="33" t="s">
        <v>126</v>
      </c>
      <c r="G3" s="33"/>
      <c r="H3" s="33"/>
      <c r="I3" s="33"/>
      <c r="J3" s="33"/>
      <c r="K3" s="32"/>
      <c r="L3" s="32"/>
      <c r="M3" t="s">
        <v>53</v>
      </c>
      <c r="N3" s="1" t="s">
        <v>54</v>
      </c>
      <c r="O3" s="63" t="s">
        <v>127</v>
      </c>
      <c r="P3" s="1" t="s">
        <v>46</v>
      </c>
      <c r="Q3" s="50"/>
    </row>
    <row r="4" spans="1:19" ht="28.5" customHeight="1" x14ac:dyDescent="0.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t="s">
        <v>56</v>
      </c>
      <c r="N4" s="1" t="s">
        <v>57</v>
      </c>
      <c r="O4" s="63" t="s">
        <v>127</v>
      </c>
      <c r="P4" s="51"/>
      <c r="Q4">
        <f>Q3</f>
        <v>0</v>
      </c>
    </row>
    <row r="5" spans="1:19" x14ac:dyDescent="0.25">
      <c r="A5" s="32"/>
      <c r="B5" s="35" t="s">
        <v>24</v>
      </c>
      <c r="C5" s="32"/>
      <c r="D5" s="32">
        <f>1-D3/100</f>
        <v>1</v>
      </c>
      <c r="E5" s="32"/>
      <c r="F5" s="32"/>
      <c r="G5" s="32"/>
      <c r="H5" s="32"/>
      <c r="I5" s="32"/>
      <c r="J5" s="32"/>
      <c r="K5" s="32"/>
      <c r="L5" s="32"/>
      <c r="N5" s="1"/>
      <c r="O5" s="49"/>
      <c r="P5" s="1"/>
    </row>
    <row r="6" spans="1:19" x14ac:dyDescent="0.25">
      <c r="A6" s="32"/>
      <c r="B6" s="35" t="s">
        <v>25</v>
      </c>
      <c r="C6" s="32"/>
      <c r="D6" s="32">
        <f>D5/2</f>
        <v>0.5</v>
      </c>
      <c r="E6" s="32"/>
      <c r="F6" s="32"/>
      <c r="G6" s="32"/>
      <c r="H6" s="32"/>
      <c r="I6" s="32"/>
      <c r="J6" s="32"/>
      <c r="K6" s="32"/>
      <c r="L6" s="32"/>
      <c r="M6" s="46" t="s">
        <v>58</v>
      </c>
      <c r="N6" s="47"/>
      <c r="O6" s="48"/>
      <c r="P6" s="47"/>
      <c r="Q6" s="46"/>
      <c r="R6" s="46"/>
      <c r="S6" s="46"/>
    </row>
    <row r="7" spans="1:19" x14ac:dyDescent="0.25">
      <c r="A7" s="32"/>
      <c r="B7" s="32" t="s">
        <v>26</v>
      </c>
      <c r="C7" s="32"/>
      <c r="D7" s="32">
        <f>1-D6</f>
        <v>0.5</v>
      </c>
      <c r="E7" s="32"/>
      <c r="F7" s="32"/>
      <c r="G7" s="32"/>
      <c r="H7" s="32"/>
      <c r="I7" s="32"/>
      <c r="J7" s="32"/>
      <c r="K7" s="32"/>
      <c r="L7" s="32"/>
      <c r="M7" s="46"/>
      <c r="N7" s="47"/>
      <c r="O7" s="48"/>
      <c r="P7" s="47"/>
      <c r="Q7" s="46"/>
      <c r="R7" s="46"/>
      <c r="S7" s="46"/>
    </row>
    <row r="8" spans="1:19" x14ac:dyDescent="0.25">
      <c r="A8" s="32"/>
      <c r="B8" s="32"/>
      <c r="C8" s="32"/>
      <c r="D8" s="32"/>
      <c r="E8" s="32"/>
      <c r="F8" s="32" t="s">
        <v>128</v>
      </c>
      <c r="G8" s="32"/>
      <c r="H8" s="32"/>
      <c r="I8" s="32"/>
      <c r="J8" s="32"/>
      <c r="K8" s="32"/>
      <c r="L8" s="32"/>
      <c r="M8" s="1"/>
      <c r="N8" s="1" t="s">
        <v>59</v>
      </c>
    </row>
    <row r="9" spans="1:19" x14ac:dyDescent="0.25">
      <c r="A9" s="32"/>
      <c r="B9" s="32" t="s">
        <v>30</v>
      </c>
      <c r="C9" s="32"/>
      <c r="D9" s="36"/>
      <c r="E9" s="32"/>
      <c r="F9" s="32" t="s">
        <v>129</v>
      </c>
      <c r="G9" s="32"/>
      <c r="H9" s="32"/>
      <c r="I9" s="32"/>
      <c r="J9" s="32"/>
      <c r="K9" s="32"/>
      <c r="L9" s="32"/>
      <c r="M9" s="1" t="s">
        <v>60</v>
      </c>
      <c r="N9" s="1"/>
    </row>
    <row r="10" spans="1:19" x14ac:dyDescent="0.25">
      <c r="A10" s="32"/>
      <c r="B10" s="32"/>
      <c r="C10" s="32"/>
      <c r="D10" s="59"/>
      <c r="E10" s="32"/>
      <c r="F10" s="32"/>
      <c r="G10" s="32"/>
      <c r="H10" s="32"/>
      <c r="I10" s="32"/>
      <c r="J10" s="32"/>
      <c r="K10" s="32"/>
      <c r="L10" s="32"/>
      <c r="M10" s="1" t="s">
        <v>16</v>
      </c>
      <c r="P10" s="64"/>
      <c r="Q10" s="64"/>
      <c r="R10" s="64"/>
    </row>
    <row r="11" spans="1:19" x14ac:dyDescent="0.25">
      <c r="A11" s="32"/>
      <c r="B11" s="32" t="s">
        <v>130</v>
      </c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1" t="s">
        <v>61</v>
      </c>
      <c r="P11" s="64" t="s">
        <v>131</v>
      </c>
      <c r="Q11" s="64"/>
      <c r="R11" s="64"/>
    </row>
    <row r="12" spans="1:19" x14ac:dyDescent="0.25">
      <c r="A12" s="32"/>
      <c r="B12" s="32" t="s">
        <v>132</v>
      </c>
      <c r="C12" s="36"/>
      <c r="D12" s="32"/>
      <c r="E12" s="32"/>
      <c r="F12" s="32"/>
      <c r="G12" s="32"/>
      <c r="H12" s="32"/>
      <c r="I12" s="32"/>
      <c r="J12" s="32"/>
      <c r="K12" s="32"/>
      <c r="L12" s="32"/>
      <c r="M12" s="49" t="s">
        <v>133</v>
      </c>
      <c r="N12" s="50"/>
      <c r="P12" s="65"/>
      <c r="Q12" s="64" t="s">
        <v>134</v>
      </c>
      <c r="R12" s="64" t="s">
        <v>135</v>
      </c>
    </row>
    <row r="13" spans="1:19" ht="18.75" x14ac:dyDescent="0.35">
      <c r="A13" s="32"/>
      <c r="B13" s="32" t="s">
        <v>136</v>
      </c>
      <c r="C13" s="66" t="e">
        <f>TINV(D5,D9-1)</f>
        <v>#NUM!</v>
      </c>
      <c r="D13" s="32"/>
      <c r="E13" s="32"/>
      <c r="F13" s="32"/>
      <c r="G13" s="32"/>
      <c r="H13" s="32"/>
      <c r="I13" s="32"/>
      <c r="J13" s="32"/>
      <c r="K13" s="32"/>
      <c r="L13" s="32"/>
      <c r="M13" s="1"/>
    </row>
    <row r="14" spans="1:19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67" t="s">
        <v>137</v>
      </c>
      <c r="N14" s="68"/>
      <c r="O14" s="68"/>
      <c r="P14" s="68"/>
      <c r="Q14" s="68"/>
      <c r="R14" s="68"/>
    </row>
    <row r="15" spans="1:19" x14ac:dyDescent="0.25">
      <c r="A15" s="32"/>
      <c r="B15" s="32" t="s">
        <v>138</v>
      </c>
      <c r="C15" s="36"/>
      <c r="D15" s="32"/>
      <c r="E15" s="32"/>
      <c r="F15" s="32"/>
      <c r="G15" s="32"/>
      <c r="H15" s="59"/>
      <c r="I15" s="32"/>
      <c r="J15" s="32"/>
      <c r="K15" s="32"/>
      <c r="L15" s="32"/>
      <c r="M15" s="68" t="s">
        <v>139</v>
      </c>
      <c r="N15" s="68"/>
      <c r="O15" s="68"/>
      <c r="P15" s="1"/>
      <c r="Q15" s="68"/>
      <c r="R15" s="68"/>
    </row>
    <row r="16" spans="1:19" ht="18.75" x14ac:dyDescent="0.3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67" t="s">
        <v>140</v>
      </c>
      <c r="N16" s="69"/>
      <c r="O16" s="67"/>
      <c r="P16" s="1"/>
      <c r="Q16" s="68"/>
      <c r="R16" s="68"/>
    </row>
    <row r="17" spans="1:19" x14ac:dyDescent="0.25">
      <c r="A17" s="32"/>
      <c r="B17" s="32" t="s">
        <v>31</v>
      </c>
      <c r="C17" s="32"/>
      <c r="D17" s="32"/>
      <c r="E17" s="32"/>
      <c r="F17" s="32"/>
      <c r="G17" s="32"/>
      <c r="H17" s="32"/>
      <c r="I17" s="32"/>
      <c r="J17" s="32"/>
      <c r="K17" s="32"/>
      <c r="L17" s="32"/>
      <c r="N17" s="1"/>
      <c r="O17" s="49"/>
      <c r="P17" s="1"/>
    </row>
    <row r="18" spans="1:19" x14ac:dyDescent="0.25">
      <c r="A18" s="32"/>
      <c r="B18" s="32"/>
      <c r="C18" s="32" t="s">
        <v>141</v>
      </c>
      <c r="D18" s="32" t="e">
        <f>C12/SQRT(D9)</f>
        <v>#DIV/0!</v>
      </c>
      <c r="E18" s="32"/>
      <c r="F18" s="32"/>
      <c r="G18" s="32"/>
      <c r="H18" s="32"/>
      <c r="I18" s="32"/>
      <c r="J18" s="32"/>
      <c r="K18" s="32"/>
      <c r="L18" s="32"/>
      <c r="M18" s="49" t="s">
        <v>142</v>
      </c>
      <c r="N18" s="52">
        <f>Q3</f>
        <v>0</v>
      </c>
      <c r="O18" s="49"/>
      <c r="P18" s="1"/>
    </row>
    <row r="19" spans="1:19" x14ac:dyDescent="0.25">
      <c r="A19" s="32"/>
      <c r="B19" s="32"/>
      <c r="C19" s="32" t="s">
        <v>32</v>
      </c>
      <c r="D19" s="32" t="e">
        <f>C13*C12/SQRT(D9)</f>
        <v>#NUM!</v>
      </c>
      <c r="E19" s="32"/>
      <c r="F19" s="32" t="s">
        <v>143</v>
      </c>
      <c r="G19" s="32"/>
      <c r="H19" s="57"/>
      <c r="I19" s="32"/>
      <c r="J19" s="32"/>
      <c r="K19" s="32"/>
      <c r="L19" s="32"/>
      <c r="M19" s="49" t="s">
        <v>144</v>
      </c>
      <c r="N19" s="52" t="e">
        <f>N12/SQRT(P12)</f>
        <v>#DIV/0!</v>
      </c>
      <c r="O19" s="49"/>
      <c r="P19" s="1"/>
      <c r="Q19" s="70"/>
    </row>
    <row r="20" spans="1:19" x14ac:dyDescent="0.25">
      <c r="A20" s="32"/>
      <c r="B20" s="32"/>
      <c r="C20" s="32" t="s">
        <v>34</v>
      </c>
      <c r="D20" s="32" t="e">
        <f>C15-C13*C12/SQRT(D9)</f>
        <v>#NUM!</v>
      </c>
      <c r="E20" s="32"/>
      <c r="F20" s="32"/>
      <c r="G20" s="32"/>
      <c r="H20" s="57"/>
      <c r="I20" s="32"/>
      <c r="J20" s="32"/>
      <c r="K20" s="32"/>
      <c r="L20" s="32"/>
      <c r="N20" s="1"/>
      <c r="O20" s="49"/>
      <c r="P20" s="1"/>
    </row>
    <row r="21" spans="1:19" x14ac:dyDescent="0.25">
      <c r="A21" s="32"/>
      <c r="B21" s="32"/>
      <c r="C21" s="32" t="s">
        <v>36</v>
      </c>
      <c r="D21" s="32" t="e">
        <f>C15+C13*C12/SQRT(D9)</f>
        <v>#NUM!</v>
      </c>
      <c r="E21" s="32"/>
      <c r="F21" s="32"/>
      <c r="G21" s="32"/>
      <c r="H21" s="57"/>
      <c r="I21" s="32"/>
      <c r="J21" s="32"/>
      <c r="K21" s="32"/>
      <c r="L21" s="32"/>
      <c r="M21" s="46" t="s">
        <v>68</v>
      </c>
      <c r="N21" s="47"/>
      <c r="O21" s="48"/>
      <c r="P21" s="47"/>
      <c r="Q21" s="46"/>
      <c r="R21" s="46"/>
      <c r="S21" s="46"/>
    </row>
    <row r="22" spans="1:19" ht="15.75" thickBot="1" x14ac:dyDescent="0.3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M22" s="1"/>
      <c r="N22" s="49"/>
      <c r="O22" s="1"/>
      <c r="S22" s="32"/>
    </row>
    <row r="23" spans="1:19" x14ac:dyDescent="0.25">
      <c r="A23" s="59"/>
      <c r="B23" s="37" t="s">
        <v>38</v>
      </c>
      <c r="C23" s="38">
        <f>D3</f>
        <v>0</v>
      </c>
      <c r="D23" s="38" t="s">
        <v>22</v>
      </c>
      <c r="E23" s="38" t="s">
        <v>145</v>
      </c>
      <c r="F23" s="38"/>
      <c r="G23" s="38"/>
      <c r="H23" s="38"/>
      <c r="I23" s="38"/>
      <c r="J23" s="39"/>
      <c r="K23" s="32"/>
      <c r="L23" s="32"/>
      <c r="M23" t="s">
        <v>146</v>
      </c>
      <c r="N23" s="51"/>
      <c r="O23" s="49"/>
      <c r="P23" s="15"/>
    </row>
    <row r="24" spans="1:19" ht="15.75" thickBot="1" x14ac:dyDescent="0.3">
      <c r="A24" s="59"/>
      <c r="B24" s="40"/>
      <c r="C24" s="41" t="s">
        <v>40</v>
      </c>
      <c r="D24" s="42" t="e">
        <f>D20</f>
        <v>#NUM!</v>
      </c>
      <c r="E24" s="42" t="s">
        <v>41</v>
      </c>
      <c r="F24" s="42" t="e">
        <f>D21</f>
        <v>#NUM!</v>
      </c>
      <c r="G24" s="42" t="s">
        <v>42</v>
      </c>
      <c r="H24" s="42"/>
      <c r="I24" s="42"/>
      <c r="J24" s="43"/>
      <c r="K24" s="71"/>
      <c r="L24" s="32"/>
      <c r="N24" s="1"/>
      <c r="O24" s="49"/>
      <c r="P24" s="1"/>
    </row>
    <row r="25" spans="1:19" x14ac:dyDescent="0.25">
      <c r="A25" s="59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t="s">
        <v>147</v>
      </c>
      <c r="N25" s="1"/>
      <c r="O25" s="49"/>
      <c r="P25" s="1"/>
    </row>
    <row r="26" spans="1:19" x14ac:dyDescent="0.25">
      <c r="A26" s="59"/>
      <c r="B26" s="60" t="s">
        <v>148</v>
      </c>
      <c r="C26" s="59"/>
      <c r="D26" s="59"/>
      <c r="E26" s="59"/>
      <c r="F26" s="59"/>
      <c r="G26" s="59"/>
      <c r="H26" s="59"/>
      <c r="I26" s="59"/>
      <c r="J26" s="32"/>
      <c r="K26" s="32"/>
      <c r="L26" s="32"/>
      <c r="M26" t="s">
        <v>72</v>
      </c>
      <c r="N26" s="52" t="e">
        <f>(N23-N18)/N19</f>
        <v>#DIV/0!</v>
      </c>
      <c r="O26" s="49"/>
      <c r="P26" s="1"/>
    </row>
    <row r="27" spans="1:19" x14ac:dyDescent="0.25">
      <c r="A27" s="59"/>
      <c r="B27" s="59"/>
      <c r="C27" s="59"/>
      <c r="D27" s="59"/>
      <c r="E27" s="59"/>
      <c r="F27" s="59"/>
      <c r="G27" s="59"/>
      <c r="H27" s="59"/>
      <c r="I27" s="59"/>
      <c r="J27" s="32"/>
      <c r="K27" s="32"/>
      <c r="L27" s="32"/>
      <c r="N27" s="1"/>
      <c r="O27" s="49"/>
      <c r="P27" s="1"/>
    </row>
    <row r="28" spans="1:19" ht="15.75" x14ac:dyDescent="0.3">
      <c r="A28" s="59"/>
      <c r="B28" s="59" t="s">
        <v>36</v>
      </c>
      <c r="C28" s="36">
        <v>67.959999999999994</v>
      </c>
      <c r="D28" s="59"/>
      <c r="E28" s="59"/>
      <c r="F28" s="59"/>
      <c r="G28" s="59"/>
      <c r="H28" s="59"/>
      <c r="I28" s="59"/>
      <c r="J28" s="32"/>
      <c r="K28" s="32"/>
      <c r="L28" s="32"/>
      <c r="M28" t="s">
        <v>73</v>
      </c>
      <c r="N28" s="1"/>
      <c r="O28" s="49"/>
      <c r="P28" s="1"/>
    </row>
    <row r="29" spans="1:19" x14ac:dyDescent="0.25">
      <c r="A29" s="59"/>
      <c r="B29" s="59" t="s">
        <v>34</v>
      </c>
      <c r="C29" s="36">
        <v>63.45</v>
      </c>
      <c r="D29" s="59"/>
      <c r="E29" s="59"/>
      <c r="F29" s="59"/>
      <c r="G29" s="59"/>
      <c r="H29" s="59"/>
      <c r="I29" s="59"/>
      <c r="J29" s="32"/>
      <c r="K29" s="32"/>
      <c r="L29" s="32"/>
      <c r="N29" s="53" t="s">
        <v>74</v>
      </c>
      <c r="O29" s="49"/>
      <c r="P29" s="1"/>
    </row>
    <row r="30" spans="1:19" x14ac:dyDescent="0.25">
      <c r="A30" s="59"/>
      <c r="B30" s="59" t="s">
        <v>32</v>
      </c>
      <c r="C30" s="66">
        <f>(C28-C29)/2</f>
        <v>2.2549999999999955</v>
      </c>
      <c r="D30" s="59"/>
      <c r="E30" s="59"/>
      <c r="F30" s="59"/>
      <c r="G30" s="59"/>
      <c r="H30" s="59"/>
      <c r="I30" s="59"/>
      <c r="J30" s="32"/>
      <c r="K30" s="32"/>
      <c r="L30" s="32"/>
      <c r="N30" s="53" t="e">
        <f>IF(N26&gt;0,IF(Sheet3!A6=1,1-TDIST(N26,P12-1,1),IF(Sheet3!A6=2,TDIST(N26,P12-1,1), TDIST(ABS(N26),P12-1,2))),IF(Sheet3!A6=1,TDIST(-N26,P12-1,1),IF(Sheet3!A6=2,1-TDIST(-N26,P12-1,1), TDIST(ABS(N26),P12-1,2))))</f>
        <v>#DIV/0!</v>
      </c>
      <c r="O30" s="49"/>
      <c r="P30" s="1"/>
    </row>
    <row r="31" spans="1:19" x14ac:dyDescent="0.25">
      <c r="A31" s="59"/>
      <c r="B31" s="59"/>
      <c r="C31" s="59"/>
      <c r="D31" s="59"/>
      <c r="E31" s="59"/>
      <c r="F31" s="59"/>
      <c r="G31" s="59"/>
      <c r="H31" s="59"/>
      <c r="I31" s="59"/>
      <c r="J31" s="32"/>
      <c r="K31" s="32"/>
      <c r="L31" s="32"/>
      <c r="N31" s="1"/>
      <c r="O31" s="49"/>
      <c r="P31" s="1"/>
    </row>
    <row r="32" spans="1:19" x14ac:dyDescent="0.25">
      <c r="A32" s="59"/>
      <c r="B32" s="61"/>
      <c r="C32" s="59"/>
      <c r="D32" s="59"/>
      <c r="E32" s="59"/>
      <c r="F32" s="59"/>
      <c r="G32" s="59"/>
      <c r="H32" s="59"/>
      <c r="I32" s="59"/>
      <c r="J32" s="32"/>
      <c r="K32" s="32"/>
      <c r="L32" s="32"/>
      <c r="M32" s="46" t="s">
        <v>75</v>
      </c>
      <c r="N32" s="47"/>
      <c r="O32" s="48"/>
      <c r="P32" s="47"/>
      <c r="Q32" s="46"/>
      <c r="R32" s="46"/>
      <c r="S32" s="46"/>
    </row>
    <row r="33" spans="1:17" x14ac:dyDescent="0.25">
      <c r="A33" s="59"/>
      <c r="B33" s="59"/>
      <c r="C33" s="59"/>
      <c r="D33" s="59"/>
      <c r="E33" s="59"/>
      <c r="F33" s="59"/>
      <c r="G33" s="59"/>
      <c r="H33" s="59"/>
      <c r="I33" s="59"/>
      <c r="J33" s="32"/>
      <c r="K33" s="32"/>
      <c r="L33" s="32"/>
      <c r="N33" s="1"/>
      <c r="O33" s="49"/>
      <c r="P33" s="1"/>
    </row>
    <row r="34" spans="1:17" x14ac:dyDescent="0.25">
      <c r="A34" s="32"/>
      <c r="B34" s="59"/>
      <c r="C34" s="174"/>
      <c r="D34" s="174"/>
      <c r="E34" s="59"/>
      <c r="F34" s="59"/>
      <c r="G34" s="174"/>
      <c r="H34" s="174"/>
      <c r="I34" s="59"/>
      <c r="J34" s="32"/>
      <c r="K34" s="32"/>
      <c r="L34" s="32"/>
      <c r="M34" t="s">
        <v>76</v>
      </c>
      <c r="N34" s="15" t="s">
        <v>77</v>
      </c>
      <c r="O34" s="49"/>
      <c r="P34" s="1"/>
      <c r="Q34" s="50"/>
    </row>
    <row r="35" spans="1:17" x14ac:dyDescent="0.25">
      <c r="A35" s="32"/>
      <c r="B35" s="59"/>
      <c r="C35" s="59"/>
      <c r="D35" s="59"/>
      <c r="E35" s="59"/>
      <c r="F35" s="59"/>
      <c r="G35" s="59"/>
      <c r="H35" s="59"/>
      <c r="I35" s="59"/>
      <c r="J35" s="32"/>
      <c r="K35" s="32"/>
      <c r="L35" s="32"/>
      <c r="N35" s="1"/>
      <c r="O35" s="49"/>
      <c r="P35" s="1"/>
    </row>
    <row r="36" spans="1:17" ht="15.75" x14ac:dyDescent="0.3">
      <c r="A36" s="32"/>
      <c r="B36" s="59"/>
      <c r="C36" s="59"/>
      <c r="D36" s="59"/>
      <c r="E36" s="59"/>
      <c r="F36" s="59"/>
      <c r="G36" s="59"/>
      <c r="H36" s="59"/>
      <c r="I36" s="59"/>
      <c r="J36" s="32"/>
      <c r="K36" s="32"/>
      <c r="L36" s="32"/>
      <c r="N36" s="1"/>
      <c r="O36" s="49"/>
      <c r="P36" s="52" t="e">
        <f>IF(N30&lt;Q34,"Reject","Fail to reject")</f>
        <v>#DIV/0!</v>
      </c>
      <c r="Q36" s="52" t="s">
        <v>78</v>
      </c>
    </row>
    <row r="37" spans="1:17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N37" s="1"/>
      <c r="O37" s="49"/>
      <c r="P37" s="1"/>
    </row>
    <row r="38" spans="1:17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t="s">
        <v>79</v>
      </c>
      <c r="N38" s="1" t="s">
        <v>80</v>
      </c>
      <c r="O38" s="49"/>
      <c r="P38" s="1"/>
    </row>
    <row r="39" spans="1:17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N39" s="52" t="e">
        <f>IF(N30&lt;Q34,"is","is not")</f>
        <v>#DIV/0!</v>
      </c>
      <c r="O39" s="49"/>
      <c r="P39" s="52" t="e">
        <f>IF(AND(N30&lt;Q34,N30&lt;0.01),"strong",IF(AND(N30&lt;Q34,N30&lt;0.1,N30&gt;0.05),"weak",""))</f>
        <v>#DIV/0!</v>
      </c>
    </row>
    <row r="40" spans="1:17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N40" s="15" t="s">
        <v>81</v>
      </c>
      <c r="O40" s="49"/>
      <c r="P40" s="1"/>
    </row>
    <row r="41" spans="1:17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N41" s="1"/>
      <c r="O41" s="49"/>
      <c r="P41" s="1"/>
    </row>
    <row r="42" spans="1:17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t="s">
        <v>82</v>
      </c>
      <c r="N42" s="1"/>
      <c r="O42" s="49"/>
      <c r="P42" s="1"/>
    </row>
    <row r="43" spans="1:17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N43" s="1"/>
      <c r="O43" s="49"/>
      <c r="P43" s="1"/>
    </row>
    <row r="44" spans="1:17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46"/>
      <c r="N44" s="1"/>
      <c r="O44" s="49"/>
      <c r="P44" s="1"/>
    </row>
    <row r="45" spans="1:17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N45" s="1"/>
      <c r="O45" s="49"/>
      <c r="P45" s="1"/>
    </row>
    <row r="46" spans="1:17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N46" s="1"/>
      <c r="O46" s="49"/>
      <c r="P46" s="1"/>
    </row>
    <row r="47" spans="1:17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N47" s="1"/>
      <c r="O47" s="49"/>
      <c r="P47" s="1"/>
    </row>
    <row r="48" spans="1:17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N48" s="1"/>
      <c r="O48" s="49"/>
      <c r="P48" s="1"/>
    </row>
  </sheetData>
  <mergeCells count="2">
    <mergeCell ref="C34:D34"/>
    <mergeCell ref="G34:H3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15</xdr:col>
                    <xdr:colOff>66675</xdr:colOff>
                    <xdr:row>3</xdr:row>
                    <xdr:rowOff>76200</xdr:rowOff>
                  </from>
                  <to>
                    <xdr:col>15</xdr:col>
                    <xdr:colOff>1047750</xdr:colOff>
                    <xdr:row>3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5" sqref="B5"/>
    </sheetView>
  </sheetViews>
  <sheetFormatPr defaultRowHeight="15" x14ac:dyDescent="0.25"/>
  <cols>
    <col min="1" max="1" width="13.5703125" customWidth="1"/>
  </cols>
  <sheetData>
    <row r="1" spans="1:4" x14ac:dyDescent="0.25">
      <c r="A1" s="77" t="s">
        <v>164</v>
      </c>
    </row>
    <row r="3" spans="1:4" x14ac:dyDescent="0.25">
      <c r="A3" t="s">
        <v>165</v>
      </c>
    </row>
    <row r="5" spans="1:4" x14ac:dyDescent="0.25">
      <c r="A5" t="s">
        <v>166</v>
      </c>
      <c r="B5" s="50"/>
      <c r="C5" t="s">
        <v>22</v>
      </c>
      <c r="D5" t="s">
        <v>167</v>
      </c>
    </row>
    <row r="6" spans="1:4" x14ac:dyDescent="0.25">
      <c r="B6" s="54"/>
    </row>
    <row r="7" spans="1:4" ht="18.75" x14ac:dyDescent="0.35">
      <c r="A7" t="s">
        <v>168</v>
      </c>
      <c r="B7" s="78">
        <f>NORMINV(1-(1-B5/100)/2,0,1)</f>
        <v>0</v>
      </c>
    </row>
    <row r="9" spans="1:4" x14ac:dyDescent="0.25">
      <c r="A9" t="s">
        <v>4</v>
      </c>
      <c r="B9" s="50"/>
    </row>
    <row r="10" spans="1:4" x14ac:dyDescent="0.25">
      <c r="A10" t="s">
        <v>169</v>
      </c>
      <c r="B10" s="50"/>
    </row>
    <row r="12" spans="1:4" ht="18" x14ac:dyDescent="0.35">
      <c r="A12" t="s">
        <v>49</v>
      </c>
      <c r="B12" t="s">
        <v>170</v>
      </c>
      <c r="D12" s="78" t="e">
        <f>(B7*B9/B10)^2</f>
        <v>#DIV/0!</v>
      </c>
    </row>
    <row r="14" spans="1:4" x14ac:dyDescent="0.25">
      <c r="A14" s="77" t="s">
        <v>171</v>
      </c>
    </row>
    <row r="16" spans="1:4" ht="18.75" x14ac:dyDescent="0.35">
      <c r="A16" t="s">
        <v>172</v>
      </c>
      <c r="B16" s="78" t="e">
        <f>TINV((1-B5/100),CEILING(D12,1)-1)</f>
        <v>#DIV/0!</v>
      </c>
    </row>
    <row r="18" spans="1:4" ht="18" x14ac:dyDescent="0.35">
      <c r="A18" t="s">
        <v>49</v>
      </c>
      <c r="B18" t="s">
        <v>173</v>
      </c>
      <c r="D18" s="53" t="e">
        <f>(B16*B9/B10)^2</f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A2" sqref="A2:B5"/>
    </sheetView>
  </sheetViews>
  <sheetFormatPr defaultRowHeight="15" x14ac:dyDescent="0.25"/>
  <cols>
    <col min="1" max="1" width="11.7109375" style="103" customWidth="1"/>
    <col min="2" max="2" width="11.7109375" style="85" customWidth="1"/>
    <col min="6" max="6" width="19.42578125" customWidth="1"/>
  </cols>
  <sheetData>
    <row r="1" spans="1:8" s="54" customFormat="1" x14ac:dyDescent="0.25">
      <c r="A1" s="102" t="s">
        <v>222</v>
      </c>
      <c r="B1" s="81" t="s">
        <v>223</v>
      </c>
      <c r="D1" s="100" t="s">
        <v>111</v>
      </c>
      <c r="E1" s="70" t="s">
        <v>112</v>
      </c>
      <c r="F1" s="100"/>
      <c r="G1" s="124"/>
      <c r="H1" s="124"/>
    </row>
    <row r="2" spans="1:8" x14ac:dyDescent="0.25">
      <c r="D2" s="49" t="s">
        <v>226</v>
      </c>
      <c r="E2" s="95">
        <f>COUNT(A:A)</f>
        <v>0</v>
      </c>
      <c r="F2" s="49"/>
      <c r="G2" s="124"/>
      <c r="H2" s="124"/>
    </row>
    <row r="3" spans="1:8" x14ac:dyDescent="0.25">
      <c r="D3" s="49" t="s">
        <v>224</v>
      </c>
      <c r="E3" s="95" t="e">
        <f>AVERAGE(A:A)</f>
        <v>#DIV/0!</v>
      </c>
      <c r="F3" s="49"/>
      <c r="G3" s="124"/>
      <c r="H3" s="124"/>
    </row>
    <row r="4" spans="1:8" x14ac:dyDescent="0.25">
      <c r="D4" s="49" t="s">
        <v>225</v>
      </c>
      <c r="E4" s="95" t="e">
        <f>STDEV(A:A)</f>
        <v>#DIV/0!</v>
      </c>
      <c r="F4" s="49"/>
      <c r="G4" s="124"/>
      <c r="H4" s="124"/>
    </row>
    <row r="5" spans="1:8" x14ac:dyDescent="0.25">
      <c r="F5" s="49"/>
      <c r="G5" s="124"/>
      <c r="H5" s="124"/>
    </row>
    <row r="6" spans="1:8" x14ac:dyDescent="0.25">
      <c r="D6" s="100" t="s">
        <v>229</v>
      </c>
      <c r="E6" s="95">
        <f>COUNT(B:B)</f>
        <v>0</v>
      </c>
      <c r="F6" s="100"/>
      <c r="G6" s="124"/>
      <c r="H6" s="124"/>
    </row>
    <row r="7" spans="1:8" x14ac:dyDescent="0.25">
      <c r="D7" s="100" t="s">
        <v>227</v>
      </c>
      <c r="E7" s="95" t="e">
        <f>AVERAGE(B:B)</f>
        <v>#DIV/0!</v>
      </c>
      <c r="F7" s="100"/>
      <c r="G7" s="124"/>
      <c r="H7" s="124"/>
    </row>
    <row r="8" spans="1:8" x14ac:dyDescent="0.25">
      <c r="D8" s="100" t="s">
        <v>228</v>
      </c>
      <c r="E8" s="95" t="e">
        <f>STDEV(B:B)</f>
        <v>#DIV/0!</v>
      </c>
      <c r="F8" s="100"/>
      <c r="G8" s="124"/>
      <c r="H8" s="124"/>
    </row>
    <row r="9" spans="1:8" x14ac:dyDescent="0.25">
      <c r="F9" s="100"/>
      <c r="G9" s="124"/>
      <c r="H9" s="124"/>
    </row>
    <row r="10" spans="1:8" x14ac:dyDescent="0.25">
      <c r="D10" s="100"/>
      <c r="E10" s="70"/>
      <c r="F10" s="100"/>
      <c r="G10" s="124"/>
      <c r="H10" s="124"/>
    </row>
    <row r="11" spans="1:8" x14ac:dyDescent="0.25">
      <c r="D11" s="100"/>
      <c r="E11" s="70"/>
      <c r="F11" s="100"/>
      <c r="G11" s="124"/>
      <c r="H11" s="124"/>
    </row>
    <row r="12" spans="1:8" x14ac:dyDescent="0.25">
      <c r="D12" s="100"/>
      <c r="E12" s="70"/>
      <c r="F12" s="100"/>
      <c r="G12" s="124"/>
      <c r="H12" s="124"/>
    </row>
    <row r="13" spans="1:8" x14ac:dyDescent="0.25">
      <c r="D13" s="100"/>
      <c r="E13" s="70"/>
      <c r="F13" s="100"/>
      <c r="G13" s="124"/>
      <c r="H13" s="124"/>
    </row>
    <row r="14" spans="1:8" x14ac:dyDescent="0.25">
      <c r="D14" s="100"/>
      <c r="E14" s="70"/>
      <c r="F14" s="100"/>
      <c r="G14" s="124"/>
      <c r="H14" s="124"/>
    </row>
    <row r="15" spans="1:8" x14ac:dyDescent="0.25">
      <c r="D15" s="100"/>
      <c r="E15" s="70"/>
      <c r="F15" s="49"/>
      <c r="G15" s="124"/>
      <c r="H15" s="124"/>
    </row>
    <row r="16" spans="1:8" x14ac:dyDescent="0.25">
      <c r="D16" s="49"/>
      <c r="E16" s="1"/>
      <c r="G16" s="124"/>
      <c r="H16" s="124"/>
    </row>
    <row r="17" spans="7:8" x14ac:dyDescent="0.25">
      <c r="G17" s="124"/>
      <c r="H17" s="124"/>
    </row>
    <row r="18" spans="7:8" x14ac:dyDescent="0.25">
      <c r="G18" s="124"/>
      <c r="H18" s="124"/>
    </row>
    <row r="19" spans="7:8" x14ac:dyDescent="0.25">
      <c r="G19" s="124"/>
      <c r="H19" s="124"/>
    </row>
    <row r="20" spans="7:8" x14ac:dyDescent="0.25">
      <c r="G20" s="124"/>
      <c r="H20" s="124"/>
    </row>
    <row r="21" spans="7:8" x14ac:dyDescent="0.25">
      <c r="G21" s="124"/>
      <c r="H21" s="124"/>
    </row>
    <row r="22" spans="7:8" x14ac:dyDescent="0.25">
      <c r="G22" s="124"/>
      <c r="H22" s="124"/>
    </row>
    <row r="23" spans="7:8" x14ac:dyDescent="0.25">
      <c r="G23" s="124"/>
      <c r="H23" s="124"/>
    </row>
    <row r="24" spans="7:8" x14ac:dyDescent="0.25">
      <c r="G24" s="124"/>
      <c r="H24" s="124"/>
    </row>
    <row r="25" spans="7:8" x14ac:dyDescent="0.25">
      <c r="G25" s="124"/>
      <c r="H25" s="124"/>
    </row>
    <row r="26" spans="7:8" x14ac:dyDescent="0.25">
      <c r="G26" s="124"/>
      <c r="H26" s="124"/>
    </row>
    <row r="27" spans="7:8" x14ac:dyDescent="0.25">
      <c r="G27" s="124"/>
      <c r="H27" s="124"/>
    </row>
    <row r="28" spans="7:8" x14ac:dyDescent="0.25">
      <c r="G28" s="124"/>
      <c r="H28" s="124"/>
    </row>
    <row r="29" spans="7:8" x14ac:dyDescent="0.25">
      <c r="G29" s="124"/>
      <c r="H29" s="124"/>
    </row>
    <row r="30" spans="7:8" x14ac:dyDescent="0.25">
      <c r="G30" s="124"/>
      <c r="H30" s="124"/>
    </row>
    <row r="31" spans="7:8" x14ac:dyDescent="0.25">
      <c r="G31" s="124"/>
      <c r="H31" s="1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5"/>
  <sheetViews>
    <sheetView zoomScaleNormal="100" workbookViewId="0">
      <selection activeCell="D3" sqref="D3"/>
    </sheetView>
  </sheetViews>
  <sheetFormatPr defaultRowHeight="15" x14ac:dyDescent="0.25"/>
  <cols>
    <col min="1" max="1" width="4.42578125" customWidth="1"/>
    <col min="2" max="2" width="12.28515625" customWidth="1"/>
    <col min="3" max="3" width="1.7109375" bestFit="1" customWidth="1"/>
    <col min="4" max="4" width="16.28515625" customWidth="1"/>
    <col min="5" max="5" width="2.85546875" bestFit="1" customWidth="1"/>
    <col min="6" max="6" width="12" customWidth="1"/>
    <col min="7" max="7" width="2.28515625" bestFit="1" customWidth="1"/>
    <col min="8" max="8" width="27.140625" customWidth="1"/>
    <col min="9" max="9" width="2.5703125" customWidth="1"/>
    <col min="10" max="10" width="7.85546875" customWidth="1"/>
    <col min="11" max="11" width="20.5703125" customWidth="1"/>
    <col min="12" max="12" width="14.28515625" customWidth="1"/>
    <col min="13" max="13" width="7.5703125" style="1" customWidth="1"/>
    <col min="14" max="14" width="24.140625" customWidth="1"/>
    <col min="15" max="15" width="12.42578125" customWidth="1"/>
    <col min="16" max="16" width="22.28515625" customWidth="1"/>
    <col min="17" max="17" width="2.28515625" customWidth="1"/>
    <col min="18" max="18" width="17.42578125" bestFit="1" customWidth="1"/>
  </cols>
  <sheetData>
    <row r="1" spans="1:18" ht="22.5" customHeight="1" x14ac:dyDescent="0.25">
      <c r="A1" s="62" t="s">
        <v>200</v>
      </c>
      <c r="K1" s="46" t="s">
        <v>52</v>
      </c>
      <c r="L1" s="47"/>
      <c r="M1" s="47"/>
      <c r="N1" s="47"/>
      <c r="O1" s="46"/>
      <c r="P1" s="46"/>
      <c r="Q1" s="46"/>
      <c r="R1" s="32"/>
    </row>
    <row r="2" spans="1:18" ht="15.75" thickBot="1" x14ac:dyDescent="0.3">
      <c r="A2" s="32"/>
      <c r="B2" s="32"/>
      <c r="C2" s="32"/>
      <c r="D2" s="32"/>
      <c r="E2" s="32"/>
      <c r="F2" s="32"/>
      <c r="G2" s="32"/>
      <c r="H2" s="32"/>
      <c r="I2" s="32"/>
      <c r="J2" s="32"/>
      <c r="L2" s="1"/>
      <c r="N2" s="1"/>
      <c r="R2" s="33"/>
    </row>
    <row r="3" spans="1:18" ht="18.75" thickBot="1" x14ac:dyDescent="0.4">
      <c r="A3" s="33"/>
      <c r="B3" s="33" t="s">
        <v>21</v>
      </c>
      <c r="C3" s="33"/>
      <c r="D3" s="34"/>
      <c r="E3" s="33" t="s">
        <v>22</v>
      </c>
      <c r="F3" s="33" t="s">
        <v>199</v>
      </c>
      <c r="G3" s="33"/>
      <c r="H3" s="33"/>
      <c r="I3" s="33"/>
      <c r="J3" s="33"/>
      <c r="K3" t="s">
        <v>53</v>
      </c>
      <c r="L3" s="1" t="s">
        <v>54</v>
      </c>
      <c r="M3" s="1" t="s">
        <v>211</v>
      </c>
      <c r="N3" s="1" t="s">
        <v>46</v>
      </c>
      <c r="O3" s="54">
        <v>0</v>
      </c>
      <c r="R3" s="32"/>
    </row>
    <row r="4" spans="1:18" ht="23.25" customHeight="1" x14ac:dyDescent="0.35">
      <c r="A4" s="32"/>
      <c r="B4" s="32"/>
      <c r="C4" s="32"/>
      <c r="D4" s="32"/>
      <c r="E4" s="32"/>
      <c r="F4" s="32"/>
      <c r="G4" s="32"/>
      <c r="H4" s="32"/>
      <c r="I4" s="32"/>
      <c r="J4" s="32"/>
      <c r="K4" t="s">
        <v>56</v>
      </c>
      <c r="L4" s="1" t="s">
        <v>57</v>
      </c>
      <c r="M4" s="1" t="s">
        <v>211</v>
      </c>
      <c r="N4" s="55"/>
      <c r="O4">
        <f>O3</f>
        <v>0</v>
      </c>
      <c r="R4" s="32"/>
    </row>
    <row r="5" spans="1:18" ht="24.75" customHeight="1" x14ac:dyDescent="0.25">
      <c r="A5" s="32"/>
      <c r="B5" s="35" t="s">
        <v>24</v>
      </c>
      <c r="C5" s="32"/>
      <c r="D5" s="32">
        <f>1-D3/100</f>
        <v>1</v>
      </c>
      <c r="E5" s="32"/>
      <c r="F5" s="32"/>
      <c r="G5" s="32"/>
      <c r="H5" s="32"/>
      <c r="I5" s="32"/>
      <c r="J5" s="32"/>
      <c r="L5" s="1"/>
      <c r="N5" s="1"/>
      <c r="R5" s="32"/>
    </row>
    <row r="6" spans="1:18" x14ac:dyDescent="0.25">
      <c r="A6" s="32"/>
      <c r="B6" s="35" t="s">
        <v>25</v>
      </c>
      <c r="C6" s="32"/>
      <c r="D6" s="32">
        <f>D5/2</f>
        <v>0.5</v>
      </c>
      <c r="E6" s="32"/>
      <c r="F6" s="32"/>
      <c r="G6" s="32"/>
      <c r="H6" s="32"/>
      <c r="I6" s="32"/>
      <c r="J6" s="32"/>
      <c r="K6" s="46" t="s">
        <v>58</v>
      </c>
      <c r="L6" s="47"/>
      <c r="M6" s="47"/>
      <c r="N6" s="47"/>
      <c r="O6" s="46"/>
      <c r="P6" s="46"/>
      <c r="Q6" s="46"/>
      <c r="R6" s="32"/>
    </row>
    <row r="7" spans="1:18" x14ac:dyDescent="0.25">
      <c r="A7" s="32"/>
      <c r="B7" s="32" t="s">
        <v>26</v>
      </c>
      <c r="C7" s="32"/>
      <c r="D7" s="32">
        <f>1-D6</f>
        <v>0.5</v>
      </c>
      <c r="E7" s="32"/>
      <c r="F7" s="32"/>
      <c r="G7" s="32"/>
      <c r="H7" s="32"/>
      <c r="I7" s="32"/>
      <c r="J7" s="32"/>
      <c r="K7" s="46"/>
      <c r="L7" s="47"/>
      <c r="M7" s="47"/>
      <c r="N7" s="47"/>
      <c r="O7" s="46"/>
      <c r="P7" s="46"/>
      <c r="Q7" s="46"/>
      <c r="R7" s="32"/>
    </row>
    <row r="8" spans="1:18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1"/>
      <c r="L8" s="1" t="s">
        <v>59</v>
      </c>
      <c r="R8" s="32"/>
    </row>
    <row r="9" spans="1:18" ht="18.75" x14ac:dyDescent="0.35">
      <c r="A9" s="32"/>
      <c r="B9" s="32" t="s">
        <v>93</v>
      </c>
      <c r="C9" s="32"/>
      <c r="D9" s="36"/>
      <c r="E9" s="32"/>
      <c r="F9" s="32" t="s">
        <v>94</v>
      </c>
      <c r="G9" s="32"/>
      <c r="H9" s="36"/>
      <c r="I9" s="32"/>
      <c r="J9" s="32"/>
      <c r="K9" s="1" t="s">
        <v>16</v>
      </c>
      <c r="L9" s="1"/>
      <c r="R9" s="32"/>
    </row>
    <row r="10" spans="1:18" ht="18.75" x14ac:dyDescent="0.35">
      <c r="A10" s="32"/>
      <c r="B10" s="32" t="s">
        <v>202</v>
      </c>
      <c r="C10" s="32"/>
      <c r="D10" s="97"/>
      <c r="E10" s="32"/>
      <c r="F10" s="32" t="s">
        <v>203</v>
      </c>
      <c r="G10" s="32"/>
      <c r="H10" s="97"/>
      <c r="I10" s="32"/>
      <c r="J10" s="32"/>
      <c r="K10" s="1" t="s">
        <v>217</v>
      </c>
      <c r="N10" s="1"/>
      <c r="O10" s="64"/>
      <c r="P10" s="64"/>
      <c r="R10" s="32"/>
    </row>
    <row r="11" spans="1:18" ht="18.75" x14ac:dyDescent="0.35">
      <c r="A11" s="32"/>
      <c r="B11" s="32" t="s">
        <v>204</v>
      </c>
      <c r="C11" s="32"/>
      <c r="D11" s="36"/>
      <c r="E11" s="32"/>
      <c r="F11" s="32" t="s">
        <v>205</v>
      </c>
      <c r="G11" s="32"/>
      <c r="H11" s="36"/>
      <c r="I11" s="32"/>
      <c r="J11" s="32"/>
      <c r="K11" s="1" t="s">
        <v>96</v>
      </c>
      <c r="N11" s="59"/>
      <c r="O11" s="54"/>
      <c r="P11" s="59"/>
      <c r="R11" s="32"/>
    </row>
    <row r="12" spans="1:18" x14ac:dyDescent="0.25">
      <c r="A12" s="32"/>
      <c r="I12" s="32"/>
      <c r="J12" s="32"/>
      <c r="K12" s="1"/>
      <c r="N12" s="59"/>
      <c r="O12" s="54"/>
      <c r="P12" s="59"/>
      <c r="R12" s="32"/>
    </row>
    <row r="13" spans="1:18" ht="18.75" x14ac:dyDescent="0.35">
      <c r="A13" s="32"/>
      <c r="B13" s="32" t="s">
        <v>220</v>
      </c>
      <c r="D13" s="99" t="e">
        <f>(D11^2/D9+H11^2/H9)^2/(1/(D9-1)*(D11^2/D9)^2+(1/(H9-1)*(H11^2/H9)^2))</f>
        <v>#DIV/0!</v>
      </c>
      <c r="I13" s="32"/>
      <c r="J13" s="32"/>
      <c r="K13" s="32" t="s">
        <v>93</v>
      </c>
      <c r="L13" s="36"/>
      <c r="N13" s="32" t="s">
        <v>94</v>
      </c>
      <c r="O13" s="36"/>
      <c r="R13" s="32"/>
    </row>
    <row r="14" spans="1:18" ht="18.75" x14ac:dyDescent="0.35">
      <c r="A14" s="32"/>
      <c r="B14" s="32" t="s">
        <v>201</v>
      </c>
      <c r="C14" s="32"/>
      <c r="D14" s="98" t="e">
        <f>TINV(D5,D13)</f>
        <v>#DIV/0!</v>
      </c>
      <c r="E14" s="32"/>
      <c r="F14" s="32"/>
      <c r="G14" s="32"/>
      <c r="H14" s="32"/>
      <c r="I14" s="32"/>
      <c r="J14" s="32"/>
      <c r="K14" s="32" t="s">
        <v>202</v>
      </c>
      <c r="L14" s="97"/>
      <c r="N14" s="32" t="s">
        <v>203</v>
      </c>
      <c r="O14" s="97"/>
      <c r="R14" s="32"/>
    </row>
    <row r="15" spans="1:18" ht="18.75" x14ac:dyDescent="0.3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 t="s">
        <v>204</v>
      </c>
      <c r="L15" s="36"/>
      <c r="N15" s="32" t="s">
        <v>205</v>
      </c>
      <c r="O15" s="36"/>
      <c r="R15" s="32"/>
    </row>
    <row r="16" spans="1:18" x14ac:dyDescent="0.25">
      <c r="A16" s="32"/>
      <c r="B16" s="32" t="s">
        <v>31</v>
      </c>
      <c r="C16" s="32"/>
      <c r="D16" s="32"/>
      <c r="E16" s="32"/>
      <c r="F16" s="32"/>
      <c r="G16" s="32"/>
      <c r="H16" s="32"/>
      <c r="I16" s="32"/>
      <c r="J16" s="32"/>
      <c r="K16" s="1"/>
      <c r="N16" s="54"/>
      <c r="O16" s="54"/>
      <c r="P16" s="54"/>
      <c r="R16" s="32"/>
    </row>
    <row r="17" spans="1:18" ht="18.75" x14ac:dyDescent="0.35">
      <c r="A17" s="32"/>
      <c r="B17" s="32"/>
      <c r="C17" s="32"/>
      <c r="D17" s="32" t="s">
        <v>207</v>
      </c>
      <c r="E17" s="32"/>
      <c r="F17" s="32" t="e">
        <f>SQRT(D11^2/D9+H11^2/H9)</f>
        <v>#DIV/0!</v>
      </c>
      <c r="G17" s="32"/>
      <c r="H17" s="32" t="s">
        <v>206</v>
      </c>
      <c r="I17" s="32"/>
      <c r="J17" s="32"/>
      <c r="K17" s="1"/>
      <c r="R17" s="32"/>
    </row>
    <row r="18" spans="1:18" x14ac:dyDescent="0.25">
      <c r="A18" s="32"/>
      <c r="B18" s="32"/>
      <c r="C18" s="32"/>
      <c r="D18" s="32" t="s">
        <v>32</v>
      </c>
      <c r="E18" s="32"/>
      <c r="F18" s="32" t="e">
        <f>D14*F17</f>
        <v>#DIV/0!</v>
      </c>
      <c r="G18" s="32"/>
      <c r="H18" s="32" t="s">
        <v>208</v>
      </c>
      <c r="I18" s="32"/>
      <c r="J18" s="32"/>
      <c r="K18" s="15" t="s">
        <v>230</v>
      </c>
      <c r="R18" s="32"/>
    </row>
    <row r="19" spans="1:18" x14ac:dyDescent="0.25">
      <c r="A19" s="32"/>
      <c r="B19" s="32"/>
      <c r="C19" s="32"/>
      <c r="D19" s="32" t="s">
        <v>34</v>
      </c>
      <c r="E19" s="32"/>
      <c r="F19" s="32" t="e">
        <f>(D10-H10)-F18</f>
        <v>#DIV/0!</v>
      </c>
      <c r="G19" s="32"/>
      <c r="H19" s="32" t="s">
        <v>209</v>
      </c>
      <c r="I19" s="32"/>
      <c r="J19" s="32"/>
      <c r="K19" s="1"/>
      <c r="R19" s="32"/>
    </row>
    <row r="20" spans="1:18" ht="18.75" x14ac:dyDescent="0.35">
      <c r="A20" s="32"/>
      <c r="B20" s="32"/>
      <c r="C20" s="32"/>
      <c r="D20" s="32" t="s">
        <v>36</v>
      </c>
      <c r="E20" s="32"/>
      <c r="F20" s="32" t="e">
        <f>(D10-H10)+F18</f>
        <v>#DIV/0!</v>
      </c>
      <c r="G20" s="32"/>
      <c r="H20" s="32" t="s">
        <v>210</v>
      </c>
      <c r="I20" s="32"/>
      <c r="J20" s="32"/>
      <c r="K20" s="67" t="s">
        <v>212</v>
      </c>
      <c r="L20" s="1"/>
      <c r="N20" s="1"/>
      <c r="O20" s="15" t="s">
        <v>65</v>
      </c>
      <c r="R20" s="32"/>
    </row>
    <row r="21" spans="1:18" ht="15.75" thickBot="1" x14ac:dyDescent="0.3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101" t="s">
        <v>216</v>
      </c>
      <c r="L21" s="122" t="e">
        <f>(L15^2/L13+O15^2/O13)^2/(1/(L13-1)*(L15^2/L13)^2+(1/(O13-1)*(O15^2/O13)^2))</f>
        <v>#DIV/0!</v>
      </c>
      <c r="M21" s="1" t="s">
        <v>218</v>
      </c>
      <c r="N21" s="1"/>
      <c r="O21" s="64"/>
      <c r="R21" s="32"/>
    </row>
    <row r="22" spans="1:18" ht="18.75" x14ac:dyDescent="0.35">
      <c r="A22" s="32"/>
      <c r="B22" s="37" t="s">
        <v>38</v>
      </c>
      <c r="C22" s="38"/>
      <c r="D22" s="38">
        <f>D3</f>
        <v>0</v>
      </c>
      <c r="E22" s="38" t="s">
        <v>22</v>
      </c>
      <c r="F22" s="121" t="s">
        <v>221</v>
      </c>
      <c r="G22" s="38"/>
      <c r="H22" s="38"/>
      <c r="I22" s="39"/>
      <c r="J22" s="32"/>
      <c r="K22" s="118" t="s">
        <v>255</v>
      </c>
      <c r="L22" s="123"/>
      <c r="M22" s="70"/>
      <c r="R22" s="32"/>
    </row>
    <row r="23" spans="1:18" ht="15.75" thickBot="1" x14ac:dyDescent="0.3">
      <c r="A23" s="32"/>
      <c r="B23" s="40"/>
      <c r="C23" s="41" t="s">
        <v>40</v>
      </c>
      <c r="D23" s="42" t="e">
        <f>F19</f>
        <v>#DIV/0!</v>
      </c>
      <c r="E23" s="42" t="s">
        <v>41</v>
      </c>
      <c r="F23" s="42" t="e">
        <f>F20</f>
        <v>#DIV/0!</v>
      </c>
      <c r="G23" s="42" t="s">
        <v>42</v>
      </c>
      <c r="H23" s="42"/>
      <c r="I23" s="43"/>
      <c r="J23" s="32"/>
      <c r="K23" s="119" t="s">
        <v>256</v>
      </c>
      <c r="L23" s="120" t="e">
        <f>IF(Sheet3!A7=1,TINV(2*L22,L21),IF(Sheet3!A7=2,TINV(2*L22,L21),IF(Sheet3!A7=3,TINV(L22,L21))))</f>
        <v>#DIV/0!</v>
      </c>
      <c r="N23" s="15" t="s">
        <v>258</v>
      </c>
      <c r="R23" s="32"/>
    </row>
    <row r="24" spans="1:18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L24" s="1"/>
      <c r="N24" s="119"/>
      <c r="O24" s="120"/>
      <c r="R24" s="32"/>
    </row>
    <row r="25" spans="1:18" x14ac:dyDescent="0.25">
      <c r="A25" s="59"/>
      <c r="B25" s="60" t="s">
        <v>148</v>
      </c>
      <c r="C25" s="59"/>
      <c r="D25" s="59"/>
      <c r="E25" s="59"/>
      <c r="F25" s="59"/>
      <c r="G25" s="59"/>
      <c r="H25" s="59"/>
      <c r="I25" s="32"/>
      <c r="J25" s="32"/>
      <c r="K25" s="49" t="s">
        <v>213</v>
      </c>
      <c r="L25" s="52">
        <f>O3</f>
        <v>0</v>
      </c>
      <c r="N25" s="1"/>
      <c r="R25" s="32"/>
    </row>
    <row r="26" spans="1:18" x14ac:dyDescent="0.25">
      <c r="A26" s="59"/>
      <c r="B26" s="59"/>
      <c r="C26" s="59"/>
      <c r="D26" s="59"/>
      <c r="E26" s="59"/>
      <c r="F26" s="59"/>
      <c r="G26" s="59"/>
      <c r="H26" s="59"/>
      <c r="I26" s="32"/>
      <c r="J26" s="32"/>
      <c r="K26" s="49" t="s">
        <v>215</v>
      </c>
      <c r="L26" s="52" t="e">
        <f>SQRT(L15^2/L13+O15^2/O13)</f>
        <v>#DIV/0!</v>
      </c>
      <c r="N26" s="1"/>
      <c r="Q26" s="46"/>
      <c r="R26" s="32"/>
    </row>
    <row r="27" spans="1:18" x14ac:dyDescent="0.25">
      <c r="A27" s="59"/>
      <c r="B27" s="59" t="s">
        <v>36</v>
      </c>
      <c r="D27" s="36"/>
      <c r="E27" s="59"/>
      <c r="F27" s="59"/>
      <c r="G27" s="59"/>
      <c r="H27" s="59"/>
      <c r="I27" s="32"/>
      <c r="J27" s="32"/>
      <c r="L27" s="1"/>
      <c r="N27" s="1"/>
      <c r="P27" s="46"/>
      <c r="R27" s="32"/>
    </row>
    <row r="28" spans="1:18" x14ac:dyDescent="0.25">
      <c r="A28" s="59"/>
      <c r="B28" s="59" t="s">
        <v>34</v>
      </c>
      <c r="D28" s="36"/>
      <c r="E28" s="59"/>
      <c r="F28" s="59"/>
      <c r="G28" s="59"/>
      <c r="H28" s="59"/>
      <c r="I28" s="32"/>
      <c r="J28" s="32"/>
      <c r="K28" s="46" t="s">
        <v>68</v>
      </c>
      <c r="L28" s="47"/>
      <c r="M28" s="47"/>
      <c r="N28" s="47"/>
      <c r="O28" s="46"/>
      <c r="R28" s="32"/>
    </row>
    <row r="29" spans="1:18" x14ac:dyDescent="0.25">
      <c r="A29" s="59"/>
      <c r="B29" s="59" t="s">
        <v>32</v>
      </c>
      <c r="D29" s="66">
        <f>(D27-D28)/2</f>
        <v>0</v>
      </c>
      <c r="E29" s="59"/>
      <c r="F29" s="59"/>
      <c r="G29" s="59"/>
      <c r="H29" s="59"/>
      <c r="I29" s="32"/>
      <c r="J29" s="32"/>
      <c r="L29" s="1"/>
      <c r="N29" s="1"/>
      <c r="R29" s="32"/>
    </row>
    <row r="30" spans="1:18" x14ac:dyDescent="0.25">
      <c r="A30" s="59"/>
      <c r="B30" s="59"/>
      <c r="C30" s="59"/>
      <c r="D30" s="59"/>
      <c r="E30" s="59"/>
      <c r="F30" s="59"/>
      <c r="G30" s="59"/>
      <c r="H30" s="59"/>
      <c r="I30" s="32"/>
      <c r="J30" s="32"/>
      <c r="K30" t="s">
        <v>214</v>
      </c>
      <c r="L30" s="1"/>
      <c r="N30" s="1"/>
      <c r="R30" s="32"/>
    </row>
    <row r="31" spans="1:18" x14ac:dyDescent="0.25">
      <c r="A31" s="59"/>
      <c r="B31" s="61"/>
      <c r="C31" s="59"/>
      <c r="D31" s="59"/>
      <c r="E31" s="59"/>
      <c r="F31" s="59"/>
      <c r="G31" s="59"/>
      <c r="H31" s="59"/>
      <c r="I31" s="32"/>
      <c r="J31" s="32"/>
      <c r="K31" t="s">
        <v>72</v>
      </c>
      <c r="L31" s="52" t="e">
        <f>(L14-O14)/L26</f>
        <v>#DIV/0!</v>
      </c>
      <c r="N31" s="1"/>
      <c r="R31" s="32"/>
    </row>
    <row r="32" spans="1:18" x14ac:dyDescent="0.25">
      <c r="A32" s="59"/>
      <c r="B32" s="59"/>
      <c r="C32" s="59"/>
      <c r="D32" s="59"/>
      <c r="E32" s="59"/>
      <c r="F32" s="59"/>
      <c r="G32" s="59"/>
      <c r="H32" s="59"/>
      <c r="I32" s="32"/>
      <c r="J32" s="32"/>
      <c r="L32" s="1"/>
      <c r="N32" s="1"/>
      <c r="R32" s="32"/>
    </row>
    <row r="33" spans="1:18" ht="15.75" x14ac:dyDescent="0.3">
      <c r="A33" s="59"/>
      <c r="B33" s="59"/>
      <c r="C33" s="174"/>
      <c r="D33" s="174"/>
      <c r="E33" s="59"/>
      <c r="F33" s="59"/>
      <c r="G33" s="174"/>
      <c r="H33" s="174"/>
      <c r="I33" s="32"/>
      <c r="J33" s="32"/>
      <c r="K33" t="s">
        <v>73</v>
      </c>
      <c r="L33" s="1"/>
      <c r="N33" s="1"/>
      <c r="R33" s="32"/>
    </row>
    <row r="34" spans="1:18" x14ac:dyDescent="0.25">
      <c r="A34" s="59"/>
      <c r="B34" s="59"/>
      <c r="C34" s="59"/>
      <c r="D34" s="59"/>
      <c r="E34" s="59"/>
      <c r="F34" s="59"/>
      <c r="G34" s="59"/>
      <c r="H34" s="59"/>
      <c r="I34" s="32"/>
      <c r="J34" s="32"/>
      <c r="L34" s="53" t="s">
        <v>74</v>
      </c>
      <c r="N34" s="1"/>
      <c r="R34" s="32"/>
    </row>
    <row r="35" spans="1:18" x14ac:dyDescent="0.25">
      <c r="A35" s="59"/>
      <c r="B35" s="59"/>
      <c r="C35" s="59"/>
      <c r="D35" s="59"/>
      <c r="E35" s="59"/>
      <c r="F35" s="59"/>
      <c r="G35" s="59"/>
      <c r="H35" s="59"/>
      <c r="I35" s="32"/>
      <c r="J35" s="32"/>
      <c r="L35" s="53" t="e">
        <f>IF(L31&gt;0,IF(Sheet3!A7=1,1-TDIST(L31,L21,1),IF(Sheet3!A7=2,TDIST(L31,L21,1), TDIST(ABS(L31),L21,2))),IF(Sheet3!A7=1,TDIST(-L31,L21,1),IF(Sheet3!A7=2,1-TDIST(-L31,L21,1), TDIST(ABS(L31),L21,2))))</f>
        <v>#DIV/0!</v>
      </c>
      <c r="N35" s="1"/>
      <c r="Q35" s="46"/>
      <c r="R35" s="32"/>
    </row>
    <row r="36" spans="1:18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L36" s="1"/>
      <c r="N36" s="1"/>
      <c r="P36" s="46"/>
      <c r="R36" s="32"/>
    </row>
    <row r="37" spans="1:18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46" t="s">
        <v>75</v>
      </c>
      <c r="L37" s="47"/>
      <c r="M37" s="47"/>
      <c r="N37" s="47"/>
      <c r="O37" s="46"/>
      <c r="R37" s="32"/>
    </row>
    <row r="38" spans="1:18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L38" s="1"/>
      <c r="N38" s="1"/>
      <c r="R38" s="32"/>
    </row>
    <row r="39" spans="1:18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t="s">
        <v>76</v>
      </c>
      <c r="L39" s="15" t="s">
        <v>257</v>
      </c>
      <c r="N39" s="1"/>
      <c r="O39" s="99">
        <f>L22</f>
        <v>0</v>
      </c>
      <c r="R39" s="32"/>
    </row>
    <row r="40" spans="1:18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L40" s="1"/>
      <c r="N40" s="1"/>
      <c r="R40" s="32"/>
    </row>
    <row r="41" spans="1:18" ht="15.75" x14ac:dyDescent="0.3">
      <c r="A41" s="32"/>
      <c r="B41" s="32"/>
      <c r="C41" s="32"/>
      <c r="D41" s="32"/>
      <c r="E41" s="32"/>
      <c r="F41" s="32"/>
      <c r="G41" s="32"/>
      <c r="H41" s="32"/>
      <c r="I41" s="32"/>
      <c r="J41" s="32"/>
      <c r="L41" s="1"/>
      <c r="N41" s="52" t="e">
        <f>IF(L35&lt;O39,"Reject","Fail to reject")</f>
        <v>#DIV/0!</v>
      </c>
      <c r="O41" s="52" t="s">
        <v>78</v>
      </c>
      <c r="R41" s="32"/>
    </row>
    <row r="42" spans="1:18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L42" s="1"/>
      <c r="N42" s="1"/>
      <c r="R42" s="32"/>
    </row>
    <row r="43" spans="1:18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t="s">
        <v>79</v>
      </c>
      <c r="L43" s="1" t="s">
        <v>80</v>
      </c>
      <c r="N43" s="1"/>
      <c r="R43" s="32"/>
    </row>
    <row r="44" spans="1:18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L44" s="52" t="e">
        <f>IF(L35&lt;O39,"is","is not")</f>
        <v>#DIV/0!</v>
      </c>
      <c r="N44" s="52" t="e">
        <f>IF(AND(L35&lt;O39,L35&lt;0.01),"strong",IF(AND(L35&lt;O39,L35&lt;0.1,L35&gt;0.05),"weak",""))</f>
        <v>#DIV/0!</v>
      </c>
      <c r="R44" s="32"/>
    </row>
    <row r="45" spans="1:18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L45" s="15" t="s">
        <v>81</v>
      </c>
      <c r="N45" s="1"/>
      <c r="R45" s="32"/>
    </row>
    <row r="46" spans="1:18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L46" s="1"/>
      <c r="N46" s="1"/>
      <c r="R46" s="32"/>
    </row>
    <row r="47" spans="1:18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t="s">
        <v>82</v>
      </c>
      <c r="L47" s="1"/>
      <c r="N47" s="1"/>
      <c r="R47" s="32"/>
    </row>
    <row r="48" spans="1:18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L48" s="1"/>
      <c r="N48" s="1"/>
      <c r="R48" s="32"/>
    </row>
    <row r="49" spans="1:18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46"/>
      <c r="L49" s="1"/>
      <c r="N49" s="1"/>
      <c r="R49" s="32"/>
    </row>
    <row r="50" spans="1:18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L50" s="1"/>
      <c r="N50" s="1"/>
      <c r="R50" s="32"/>
    </row>
    <row r="51" spans="1:18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L51" s="1"/>
      <c r="N51" s="1"/>
      <c r="R51" s="32"/>
    </row>
    <row r="52" spans="1:18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L52" s="1"/>
      <c r="N52" s="1"/>
    </row>
    <row r="53" spans="1:18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L53" s="1"/>
      <c r="N53" s="1"/>
    </row>
    <row r="54" spans="1:18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</row>
    <row r="55" spans="1:18" x14ac:dyDescent="0.25">
      <c r="A55" s="32"/>
      <c r="B55" s="32"/>
      <c r="C55" s="32"/>
      <c r="D55" s="32"/>
      <c r="E55" s="32"/>
      <c r="F55" s="32"/>
      <c r="G55" s="32"/>
      <c r="H55" s="32"/>
      <c r="I55" s="32"/>
    </row>
  </sheetData>
  <mergeCells count="2">
    <mergeCell ref="C33:D33"/>
    <mergeCell ref="G33:H33"/>
  </mergeCells>
  <pageMargins left="0.7" right="0.7" top="0.75" bottom="0.75" header="0.3" footer="0.3"/>
  <pageSetup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Drop Down 1">
              <controlPr defaultSize="0" autoLine="0" autoPict="0">
                <anchor moveWithCells="1">
                  <from>
                    <xdr:col>13</xdr:col>
                    <xdr:colOff>47625</xdr:colOff>
                    <xdr:row>3</xdr:row>
                    <xdr:rowOff>38100</xdr:rowOff>
                  </from>
                  <to>
                    <xdr:col>13</xdr:col>
                    <xdr:colOff>1028700</xdr:colOff>
                    <xdr:row>3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13.7109375" customWidth="1"/>
  </cols>
  <sheetData>
    <row r="1" spans="1:2" x14ac:dyDescent="0.25">
      <c r="A1" t="s">
        <v>83</v>
      </c>
    </row>
    <row r="2" spans="1:2" x14ac:dyDescent="0.25">
      <c r="A2" t="s">
        <v>84</v>
      </c>
    </row>
    <row r="3" spans="1:2" x14ac:dyDescent="0.25">
      <c r="A3" t="s">
        <v>85</v>
      </c>
    </row>
    <row r="4" spans="1:2" x14ac:dyDescent="0.25">
      <c r="A4">
        <v>1</v>
      </c>
      <c r="B4" t="s">
        <v>150</v>
      </c>
    </row>
    <row r="5" spans="1:2" x14ac:dyDescent="0.25">
      <c r="A5">
        <v>3</v>
      </c>
      <c r="B5" t="s">
        <v>151</v>
      </c>
    </row>
    <row r="6" spans="1:2" x14ac:dyDescent="0.25">
      <c r="A6">
        <v>1</v>
      </c>
      <c r="B6" t="s">
        <v>149</v>
      </c>
    </row>
    <row r="7" spans="1:2" x14ac:dyDescent="0.25">
      <c r="A7">
        <v>2</v>
      </c>
      <c r="B7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A4" sqref="A4:B7"/>
    </sheetView>
  </sheetViews>
  <sheetFormatPr defaultRowHeight="15" x14ac:dyDescent="0.25"/>
  <cols>
    <col min="1" max="1" width="14" customWidth="1"/>
    <col min="2" max="2" width="12" bestFit="1" customWidth="1"/>
    <col min="3" max="3" width="6" customWidth="1"/>
    <col min="4" max="4" width="14.5703125" customWidth="1"/>
    <col min="5" max="5" width="1.7109375" customWidth="1"/>
    <col min="6" max="6" width="12" bestFit="1" customWidth="1"/>
    <col min="7" max="7" width="2.5703125" style="54" customWidth="1"/>
    <col min="9" max="9" width="14.85546875" bestFit="1" customWidth="1"/>
    <col min="10" max="10" width="3" customWidth="1"/>
    <col min="11" max="11" width="9" customWidth="1"/>
  </cols>
  <sheetData>
    <row r="1" spans="1:11" x14ac:dyDescent="0.25">
      <c r="A1" s="15" t="s">
        <v>184</v>
      </c>
      <c r="B1" s="1"/>
      <c r="H1" s="1"/>
    </row>
    <row r="2" spans="1:11" x14ac:dyDescent="0.25">
      <c r="A2" s="1"/>
      <c r="B2" s="1"/>
      <c r="H2" s="1"/>
    </row>
    <row r="3" spans="1:11" x14ac:dyDescent="0.25">
      <c r="A3" s="79" t="s">
        <v>174</v>
      </c>
      <c r="B3" s="79" t="s">
        <v>175</v>
      </c>
      <c r="D3" t="s">
        <v>176</v>
      </c>
      <c r="F3" s="16" t="s">
        <v>185</v>
      </c>
      <c r="G3" s="80"/>
      <c r="H3" s="1"/>
      <c r="I3" t="s">
        <v>177</v>
      </c>
      <c r="K3" t="s">
        <v>178</v>
      </c>
    </row>
    <row r="4" spans="1:11" x14ac:dyDescent="0.25">
      <c r="A4" s="81"/>
      <c r="B4" s="81"/>
      <c r="D4" t="str">
        <f>IF(ISBLANK(A4),"",(A4-$F$4)^2)</f>
        <v/>
      </c>
      <c r="F4" s="82">
        <f>SUMPRODUCT(A4:A24,B4:B24)</f>
        <v>0</v>
      </c>
      <c r="H4" s="1"/>
      <c r="I4">
        <f>SUMPRODUCT(K4:K24,B4:B24)</f>
        <v>0</v>
      </c>
      <c r="K4">
        <f>A4^2</f>
        <v>0</v>
      </c>
    </row>
    <row r="5" spans="1:11" x14ac:dyDescent="0.25">
      <c r="A5" s="81"/>
      <c r="B5" s="81"/>
      <c r="D5" t="str">
        <f t="shared" ref="D5:D24" si="0">IF(ISBLANK(A5),"",(A5-$F$4)^2)</f>
        <v/>
      </c>
      <c r="H5" s="1"/>
      <c r="K5">
        <f>A5^2</f>
        <v>0</v>
      </c>
    </row>
    <row r="6" spans="1:11" x14ac:dyDescent="0.25">
      <c r="A6" s="81"/>
      <c r="B6" s="81"/>
      <c r="D6" t="str">
        <f t="shared" si="0"/>
        <v/>
      </c>
      <c r="F6" s="16" t="s">
        <v>186</v>
      </c>
      <c r="G6" s="80"/>
      <c r="H6" s="1"/>
      <c r="I6" t="s">
        <v>179</v>
      </c>
      <c r="K6">
        <f>A6^2</f>
        <v>0</v>
      </c>
    </row>
    <row r="7" spans="1:11" x14ac:dyDescent="0.25">
      <c r="A7" s="81"/>
      <c r="B7" s="81"/>
      <c r="D7" t="str">
        <f t="shared" si="0"/>
        <v/>
      </c>
      <c r="F7" s="82">
        <f>SUMPRODUCT(D4:D24,B4:B24)</f>
        <v>0</v>
      </c>
      <c r="H7" s="83" t="s">
        <v>180</v>
      </c>
      <c r="I7" s="84">
        <f>I4-F4^2</f>
        <v>0</v>
      </c>
      <c r="K7">
        <f>A7^2</f>
        <v>0</v>
      </c>
    </row>
    <row r="8" spans="1:11" x14ac:dyDescent="0.25">
      <c r="A8" s="81"/>
      <c r="B8" s="81"/>
      <c r="D8" t="str">
        <f t="shared" si="0"/>
        <v/>
      </c>
      <c r="H8" s="1"/>
      <c r="K8">
        <f>A8^2</f>
        <v>0</v>
      </c>
    </row>
    <row r="9" spans="1:11" x14ac:dyDescent="0.25">
      <c r="A9" s="81"/>
      <c r="B9" s="81"/>
      <c r="D9" t="str">
        <f t="shared" si="0"/>
        <v/>
      </c>
      <c r="F9" t="s">
        <v>181</v>
      </c>
      <c r="H9" s="1"/>
    </row>
    <row r="10" spans="1:11" x14ac:dyDescent="0.25">
      <c r="A10" s="81"/>
      <c r="B10" s="81"/>
      <c r="D10" t="str">
        <f t="shared" si="0"/>
        <v/>
      </c>
      <c r="F10" s="82">
        <f>SQRT(F7)</f>
        <v>0</v>
      </c>
      <c r="H10" s="1"/>
    </row>
    <row r="11" spans="1:11" x14ac:dyDescent="0.25">
      <c r="A11" s="81"/>
      <c r="B11" s="81"/>
      <c r="D11" t="str">
        <f t="shared" si="0"/>
        <v/>
      </c>
      <c r="H11" s="1"/>
    </row>
    <row r="12" spans="1:11" x14ac:dyDescent="0.25">
      <c r="A12" s="81"/>
      <c r="B12" s="81"/>
      <c r="D12" t="str">
        <f t="shared" si="0"/>
        <v/>
      </c>
      <c r="H12" s="1"/>
    </row>
    <row r="13" spans="1:11" x14ac:dyDescent="0.25">
      <c r="A13" s="81"/>
      <c r="B13" s="81"/>
      <c r="D13" t="str">
        <f t="shared" si="0"/>
        <v/>
      </c>
      <c r="H13" s="1"/>
    </row>
    <row r="14" spans="1:11" x14ac:dyDescent="0.25">
      <c r="A14" s="81"/>
      <c r="B14" s="81"/>
      <c r="D14" t="str">
        <f t="shared" si="0"/>
        <v/>
      </c>
      <c r="H14" s="1"/>
    </row>
    <row r="15" spans="1:11" x14ac:dyDescent="0.25">
      <c r="A15" s="85"/>
      <c r="B15" s="85"/>
      <c r="D15" t="str">
        <f t="shared" si="0"/>
        <v/>
      </c>
      <c r="H15" s="1"/>
    </row>
    <row r="16" spans="1:11" x14ac:dyDescent="0.25">
      <c r="A16" s="85"/>
      <c r="B16" s="85"/>
      <c r="D16" t="str">
        <f t="shared" si="0"/>
        <v/>
      </c>
    </row>
    <row r="17" spans="1:4" x14ac:dyDescent="0.25">
      <c r="A17" s="85"/>
      <c r="B17" s="85"/>
      <c r="D17" t="str">
        <f t="shared" si="0"/>
        <v/>
      </c>
    </row>
    <row r="18" spans="1:4" x14ac:dyDescent="0.25">
      <c r="A18" s="85"/>
      <c r="B18" s="85"/>
      <c r="D18" t="str">
        <f t="shared" si="0"/>
        <v/>
      </c>
    </row>
    <row r="19" spans="1:4" x14ac:dyDescent="0.25">
      <c r="A19" s="85"/>
      <c r="B19" s="85"/>
      <c r="D19" t="str">
        <f t="shared" si="0"/>
        <v/>
      </c>
    </row>
    <row r="20" spans="1:4" x14ac:dyDescent="0.25">
      <c r="A20" s="85"/>
      <c r="B20" s="85"/>
      <c r="D20" t="str">
        <f t="shared" si="0"/>
        <v/>
      </c>
    </row>
    <row r="21" spans="1:4" x14ac:dyDescent="0.25">
      <c r="A21" s="85"/>
      <c r="B21" s="85"/>
      <c r="D21" t="str">
        <f t="shared" si="0"/>
        <v/>
      </c>
    </row>
    <row r="22" spans="1:4" x14ac:dyDescent="0.25">
      <c r="A22" s="85"/>
      <c r="B22" s="85"/>
      <c r="D22" t="str">
        <f t="shared" si="0"/>
        <v/>
      </c>
    </row>
    <row r="23" spans="1:4" x14ac:dyDescent="0.25">
      <c r="A23" s="85"/>
      <c r="B23" s="85"/>
      <c r="D23" t="str">
        <f t="shared" si="0"/>
        <v/>
      </c>
    </row>
    <row r="24" spans="1:4" x14ac:dyDescent="0.25">
      <c r="A24" s="85"/>
      <c r="B24" s="85"/>
      <c r="D24" t="str">
        <f t="shared" si="0"/>
        <v/>
      </c>
    </row>
    <row r="26" spans="1:4" x14ac:dyDescent="0.25">
      <c r="A26" s="83" t="s">
        <v>182</v>
      </c>
      <c r="B26" s="83">
        <f>SUM(B4:B24)</f>
        <v>0</v>
      </c>
    </row>
  </sheetData>
  <conditionalFormatting sqref="A26:B26">
    <cfRule type="expression" dxfId="11" priority="5" stopIfTrue="1">
      <formula>NOT($B$26=1)</formula>
    </cfRule>
  </conditionalFormatting>
  <conditionalFormatting sqref="B4:B24">
    <cfRule type="expression" dxfId="10" priority="1">
      <formula>OR(B4&gt;1,B4&lt;0)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R20" sqref="R20"/>
    </sheetView>
  </sheetViews>
  <sheetFormatPr defaultRowHeight="15" x14ac:dyDescent="0.25"/>
  <sheetData>
    <row r="1" spans="1:10" x14ac:dyDescent="0.25">
      <c r="A1" s="15" t="s">
        <v>299</v>
      </c>
      <c r="C1" s="1" t="s">
        <v>300</v>
      </c>
      <c r="D1" s="1" t="s">
        <v>301</v>
      </c>
      <c r="E1" t="s">
        <v>302</v>
      </c>
      <c r="G1" s="175" t="s">
        <v>303</v>
      </c>
      <c r="H1" t="s">
        <v>304</v>
      </c>
      <c r="J1" t="s">
        <v>305</v>
      </c>
    </row>
    <row r="2" spans="1:10" x14ac:dyDescent="0.25">
      <c r="C2" s="1"/>
      <c r="G2" s="176"/>
    </row>
    <row r="3" spans="1:10" x14ac:dyDescent="0.25">
      <c r="A3" s="49" t="s">
        <v>306</v>
      </c>
      <c r="B3" s="110"/>
      <c r="C3" s="1" t="s">
        <v>7</v>
      </c>
      <c r="D3" s="127"/>
      <c r="E3" s="49" t="s">
        <v>320</v>
      </c>
      <c r="F3" s="110">
        <v>0.8</v>
      </c>
      <c r="G3" s="176" t="s">
        <v>24</v>
      </c>
      <c r="H3" s="127"/>
      <c r="J3">
        <f>$B$3*$F3</f>
        <v>0</v>
      </c>
    </row>
    <row r="4" spans="1:10" x14ac:dyDescent="0.25">
      <c r="A4" s="49"/>
      <c r="C4" s="1"/>
      <c r="E4" s="49" t="s">
        <v>321</v>
      </c>
      <c r="F4" s="110">
        <v>0.2</v>
      </c>
      <c r="G4" s="176" t="s">
        <v>307</v>
      </c>
      <c r="H4" s="127"/>
      <c r="J4">
        <f>$B$3*$F4</f>
        <v>0</v>
      </c>
    </row>
    <row r="5" spans="1:10" x14ac:dyDescent="0.25">
      <c r="A5" s="49"/>
      <c r="C5" s="1"/>
      <c r="E5" s="49" t="s">
        <v>322</v>
      </c>
      <c r="F5" s="110"/>
      <c r="G5" s="176" t="s">
        <v>308</v>
      </c>
      <c r="H5" s="127"/>
      <c r="J5">
        <f>$B$3*$F5</f>
        <v>0</v>
      </c>
    </row>
    <row r="6" spans="1:10" x14ac:dyDescent="0.25">
      <c r="A6" s="49"/>
      <c r="C6" s="1"/>
      <c r="E6" s="49" t="s">
        <v>323</v>
      </c>
      <c r="F6" s="110"/>
      <c r="G6" s="176" t="s">
        <v>309</v>
      </c>
      <c r="H6" s="127"/>
      <c r="J6">
        <f>$B$3*$F6</f>
        <v>0</v>
      </c>
    </row>
    <row r="7" spans="1:10" x14ac:dyDescent="0.25">
      <c r="A7" s="49"/>
      <c r="C7" s="1"/>
      <c r="E7" s="177" t="s">
        <v>310</v>
      </c>
      <c r="F7" s="178">
        <f>SUM(F3:F6)</f>
        <v>1</v>
      </c>
      <c r="G7" s="176"/>
    </row>
    <row r="8" spans="1:10" x14ac:dyDescent="0.25">
      <c r="A8" s="49" t="s">
        <v>311</v>
      </c>
      <c r="B8" s="110"/>
      <c r="C8" s="1" t="s">
        <v>9</v>
      </c>
      <c r="D8" s="127"/>
      <c r="E8" s="49" t="s">
        <v>324</v>
      </c>
      <c r="F8" s="110">
        <v>0.55000000000000004</v>
      </c>
      <c r="G8" s="176" t="s">
        <v>24</v>
      </c>
      <c r="H8" s="127"/>
      <c r="J8">
        <f>$B$8*F8</f>
        <v>0</v>
      </c>
    </row>
    <row r="9" spans="1:10" x14ac:dyDescent="0.25">
      <c r="A9" s="49"/>
      <c r="C9" s="1"/>
      <c r="E9" s="49" t="s">
        <v>325</v>
      </c>
      <c r="F9" s="110">
        <v>0.45</v>
      </c>
      <c r="G9" s="176" t="s">
        <v>307</v>
      </c>
      <c r="H9" s="127"/>
      <c r="J9">
        <f>$B$8*F9</f>
        <v>0</v>
      </c>
    </row>
    <row r="10" spans="1:10" x14ac:dyDescent="0.25">
      <c r="A10" s="49"/>
      <c r="C10" s="1"/>
      <c r="E10" s="49" t="s">
        <v>326</v>
      </c>
      <c r="F10" s="110"/>
      <c r="G10" s="176" t="s">
        <v>308</v>
      </c>
      <c r="H10" s="127"/>
      <c r="J10">
        <f>$B$8*F10</f>
        <v>0</v>
      </c>
    </row>
    <row r="11" spans="1:10" x14ac:dyDescent="0.25">
      <c r="A11" s="49"/>
      <c r="C11" s="1"/>
      <c r="E11" s="49" t="s">
        <v>327</v>
      </c>
      <c r="F11" s="110"/>
      <c r="G11" s="176" t="s">
        <v>309</v>
      </c>
      <c r="H11" s="127"/>
      <c r="J11">
        <f>$B$8*F11</f>
        <v>0</v>
      </c>
    </row>
    <row r="12" spans="1:10" x14ac:dyDescent="0.25">
      <c r="A12" s="49"/>
      <c r="C12" s="1"/>
      <c r="E12" s="177" t="s">
        <v>310</v>
      </c>
      <c r="F12" s="178">
        <f>SUM(F8:F11)</f>
        <v>1</v>
      </c>
      <c r="G12" s="176"/>
    </row>
    <row r="13" spans="1:10" x14ac:dyDescent="0.25">
      <c r="A13" s="49" t="s">
        <v>312</v>
      </c>
      <c r="B13" s="110"/>
      <c r="C13" s="1" t="s">
        <v>12</v>
      </c>
      <c r="D13" s="127"/>
      <c r="E13" s="49" t="s">
        <v>328</v>
      </c>
      <c r="F13" s="110"/>
      <c r="G13" s="176" t="s">
        <v>24</v>
      </c>
      <c r="H13" s="127"/>
      <c r="J13">
        <f>$B$13*F13</f>
        <v>0</v>
      </c>
    </row>
    <row r="14" spans="1:10" x14ac:dyDescent="0.25">
      <c r="A14" s="49"/>
      <c r="C14" s="1"/>
      <c r="E14" s="49" t="s">
        <v>329</v>
      </c>
      <c r="F14" s="110"/>
      <c r="G14" s="176" t="s">
        <v>307</v>
      </c>
      <c r="H14" s="127"/>
      <c r="J14">
        <f>$B$13*F14</f>
        <v>0</v>
      </c>
    </row>
    <row r="15" spans="1:10" x14ac:dyDescent="0.25">
      <c r="A15" s="49"/>
      <c r="C15" s="1"/>
      <c r="E15" s="49" t="s">
        <v>330</v>
      </c>
      <c r="F15" s="110"/>
      <c r="G15" s="176" t="s">
        <v>308</v>
      </c>
      <c r="H15" s="127"/>
      <c r="J15">
        <f>$B$13*F15</f>
        <v>0</v>
      </c>
    </row>
    <row r="16" spans="1:10" x14ac:dyDescent="0.25">
      <c r="A16" s="49"/>
      <c r="C16" s="1"/>
      <c r="E16" s="49" t="s">
        <v>331</v>
      </c>
      <c r="F16" s="110"/>
      <c r="G16" s="176" t="s">
        <v>309</v>
      </c>
      <c r="H16" s="127"/>
      <c r="J16">
        <f>$B$13*F16</f>
        <v>0</v>
      </c>
    </row>
    <row r="17" spans="1:10" x14ac:dyDescent="0.25">
      <c r="A17" s="49"/>
      <c r="C17" s="1"/>
      <c r="E17" s="177" t="s">
        <v>310</v>
      </c>
      <c r="F17" s="178">
        <f>SUM(F13:F16)</f>
        <v>0</v>
      </c>
      <c r="G17" s="176"/>
    </row>
    <row r="18" spans="1:10" x14ac:dyDescent="0.25">
      <c r="A18" s="49" t="s">
        <v>313</v>
      </c>
      <c r="B18" s="110"/>
      <c r="C18" s="1" t="s">
        <v>160</v>
      </c>
      <c r="D18" s="127"/>
      <c r="E18" s="49" t="s">
        <v>332</v>
      </c>
      <c r="F18" s="110"/>
      <c r="G18" s="176" t="s">
        <v>24</v>
      </c>
      <c r="H18" s="127"/>
      <c r="J18">
        <f>$B$18*F18</f>
        <v>0</v>
      </c>
    </row>
    <row r="19" spans="1:10" x14ac:dyDescent="0.25">
      <c r="C19" s="1"/>
      <c r="E19" s="49" t="s">
        <v>333</v>
      </c>
      <c r="F19" s="110"/>
      <c r="G19" s="176" t="s">
        <v>307</v>
      </c>
      <c r="H19" s="127"/>
      <c r="J19">
        <f>$B$18*F19</f>
        <v>0</v>
      </c>
    </row>
    <row r="20" spans="1:10" x14ac:dyDescent="0.25">
      <c r="C20" s="1"/>
      <c r="E20" s="49" t="s">
        <v>334</v>
      </c>
      <c r="F20" s="110"/>
      <c r="G20" s="176" t="s">
        <v>308</v>
      </c>
      <c r="H20" s="127"/>
      <c r="J20">
        <f>$B$18*F20</f>
        <v>0</v>
      </c>
    </row>
    <row r="21" spans="1:10" x14ac:dyDescent="0.25">
      <c r="C21" s="1"/>
      <c r="E21" s="49" t="s">
        <v>335</v>
      </c>
      <c r="F21" s="110"/>
      <c r="G21" s="176" t="s">
        <v>309</v>
      </c>
      <c r="H21" s="127"/>
      <c r="J21">
        <f>$B$18*F21</f>
        <v>0</v>
      </c>
    </row>
    <row r="22" spans="1:10" x14ac:dyDescent="0.25">
      <c r="A22" s="178" t="s">
        <v>310</v>
      </c>
      <c r="B22" s="178">
        <f>SUM(B3,B8,B13,B18)</f>
        <v>0</v>
      </c>
      <c r="C22" s="1"/>
      <c r="E22" s="177" t="s">
        <v>310</v>
      </c>
      <c r="F22" s="178">
        <f>SUM(F18:F21)</f>
        <v>0</v>
      </c>
      <c r="G22" s="176"/>
      <c r="I22" s="178" t="s">
        <v>314</v>
      </c>
      <c r="J22" s="178">
        <f>SUM(J3:J21)</f>
        <v>0</v>
      </c>
    </row>
    <row r="23" spans="1:10" x14ac:dyDescent="0.25">
      <c r="C23" s="1"/>
      <c r="G23" s="176"/>
    </row>
    <row r="24" spans="1:10" x14ac:dyDescent="0.25">
      <c r="C24" s="1"/>
      <c r="G24" s="176"/>
    </row>
    <row r="25" spans="1:10" x14ac:dyDescent="0.25">
      <c r="A25" s="179"/>
      <c r="B25" s="179"/>
      <c r="C25" s="180"/>
      <c r="D25" s="179"/>
      <c r="E25" s="179"/>
      <c r="F25" s="179"/>
      <c r="G25" s="181"/>
      <c r="H25" s="179"/>
      <c r="I25" s="179"/>
      <c r="J25" s="179"/>
    </row>
    <row r="26" spans="1:10" x14ac:dyDescent="0.25">
      <c r="A26" t="s">
        <v>315</v>
      </c>
      <c r="C26" s="1"/>
      <c r="G26" s="176"/>
    </row>
    <row r="27" spans="1:10" x14ac:dyDescent="0.25">
      <c r="C27" s="1"/>
      <c r="G27" s="176"/>
    </row>
    <row r="28" spans="1:10" x14ac:dyDescent="0.25">
      <c r="A28" t="s">
        <v>316</v>
      </c>
      <c r="B28">
        <f>J3+J8+J13+J18</f>
        <v>0</v>
      </c>
      <c r="C28" s="1"/>
      <c r="D28" t="s">
        <v>317</v>
      </c>
      <c r="G28" s="176"/>
    </row>
    <row r="29" spans="1:10" x14ac:dyDescent="0.25">
      <c r="C29" s="1"/>
      <c r="G29" s="176"/>
    </row>
    <row r="30" spans="1:10" x14ac:dyDescent="0.25">
      <c r="A30" t="s">
        <v>318</v>
      </c>
      <c r="B30" t="e">
        <f>J3/B28</f>
        <v>#DIV/0!</v>
      </c>
      <c r="C30" s="1"/>
      <c r="D30" t="s">
        <v>319</v>
      </c>
      <c r="G30" s="17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7"/>
  <sheetViews>
    <sheetView workbookViewId="0">
      <selection activeCell="D4" sqref="D4"/>
    </sheetView>
  </sheetViews>
  <sheetFormatPr defaultRowHeight="15" x14ac:dyDescent="0.25"/>
  <cols>
    <col min="2" max="2" width="20.28515625" customWidth="1"/>
  </cols>
  <sheetData>
    <row r="1" spans="1:4" x14ac:dyDescent="0.25">
      <c r="A1" t="s">
        <v>298</v>
      </c>
    </row>
    <row r="3" spans="1:4" ht="42.75" customHeight="1" x14ac:dyDescent="0.25">
      <c r="A3" s="26" t="s">
        <v>297</v>
      </c>
    </row>
    <row r="4" spans="1:4" x14ac:dyDescent="0.25">
      <c r="A4" s="170" t="s">
        <v>30</v>
      </c>
      <c r="B4" s="110"/>
      <c r="C4" s="49" t="s">
        <v>296</v>
      </c>
      <c r="D4" s="110"/>
    </row>
    <row r="6" spans="1:4" x14ac:dyDescent="0.25">
      <c r="A6" t="s">
        <v>295</v>
      </c>
      <c r="B6" t="s">
        <v>294</v>
      </c>
    </row>
    <row r="7" spans="1:4" x14ac:dyDescent="0.25">
      <c r="A7">
        <v>0</v>
      </c>
      <c r="B7" t="e">
        <f t="shared" ref="B7:B38" si="0">IF(A7&lt;=$B$4,COMBIN($B$4,A7)*$D$4^A7*(1-$D$4)^($B$4-A7),"")</f>
        <v>#NUM!</v>
      </c>
    </row>
    <row r="8" spans="1:4" x14ac:dyDescent="0.25">
      <c r="A8">
        <v>1</v>
      </c>
      <c r="B8" t="str">
        <f t="shared" si="0"/>
        <v/>
      </c>
    </row>
    <row r="9" spans="1:4" x14ac:dyDescent="0.25">
      <c r="A9">
        <v>2</v>
      </c>
      <c r="B9" t="str">
        <f t="shared" si="0"/>
        <v/>
      </c>
    </row>
    <row r="10" spans="1:4" x14ac:dyDescent="0.25">
      <c r="A10">
        <v>3</v>
      </c>
      <c r="B10" t="str">
        <f t="shared" si="0"/>
        <v/>
      </c>
    </row>
    <row r="11" spans="1:4" x14ac:dyDescent="0.25">
      <c r="A11">
        <v>4</v>
      </c>
      <c r="B11" t="str">
        <f t="shared" si="0"/>
        <v/>
      </c>
    </row>
    <row r="12" spans="1:4" x14ac:dyDescent="0.25">
      <c r="A12">
        <v>5</v>
      </c>
      <c r="B12" t="str">
        <f t="shared" si="0"/>
        <v/>
      </c>
    </row>
    <row r="13" spans="1:4" x14ac:dyDescent="0.25">
      <c r="A13">
        <v>6</v>
      </c>
      <c r="B13" t="str">
        <f t="shared" si="0"/>
        <v/>
      </c>
    </row>
    <row r="14" spans="1:4" x14ac:dyDescent="0.25">
      <c r="A14">
        <v>7</v>
      </c>
      <c r="B14" t="str">
        <f t="shared" si="0"/>
        <v/>
      </c>
    </row>
    <row r="15" spans="1:4" x14ac:dyDescent="0.25">
      <c r="A15">
        <v>8</v>
      </c>
      <c r="B15" t="str">
        <f t="shared" si="0"/>
        <v/>
      </c>
    </row>
    <row r="16" spans="1:4" x14ac:dyDescent="0.25">
      <c r="A16">
        <v>9</v>
      </c>
      <c r="B16" t="str">
        <f t="shared" si="0"/>
        <v/>
      </c>
    </row>
    <row r="17" spans="1:2" x14ac:dyDescent="0.25">
      <c r="A17">
        <v>10</v>
      </c>
      <c r="B17" t="str">
        <f t="shared" si="0"/>
        <v/>
      </c>
    </row>
    <row r="18" spans="1:2" x14ac:dyDescent="0.25">
      <c r="A18">
        <v>11</v>
      </c>
      <c r="B18" t="str">
        <f t="shared" si="0"/>
        <v/>
      </c>
    </row>
    <row r="19" spans="1:2" x14ac:dyDescent="0.25">
      <c r="A19">
        <v>12</v>
      </c>
      <c r="B19" t="str">
        <f t="shared" si="0"/>
        <v/>
      </c>
    </row>
    <row r="20" spans="1:2" x14ac:dyDescent="0.25">
      <c r="A20">
        <v>13</v>
      </c>
      <c r="B20" t="str">
        <f t="shared" si="0"/>
        <v/>
      </c>
    </row>
    <row r="21" spans="1:2" x14ac:dyDescent="0.25">
      <c r="A21">
        <v>14</v>
      </c>
      <c r="B21" t="str">
        <f t="shared" si="0"/>
        <v/>
      </c>
    </row>
    <row r="22" spans="1:2" x14ac:dyDescent="0.25">
      <c r="A22">
        <v>15</v>
      </c>
      <c r="B22" t="str">
        <f t="shared" si="0"/>
        <v/>
      </c>
    </row>
    <row r="23" spans="1:2" x14ac:dyDescent="0.25">
      <c r="A23">
        <v>16</v>
      </c>
      <c r="B23" t="str">
        <f t="shared" si="0"/>
        <v/>
      </c>
    </row>
    <row r="24" spans="1:2" x14ac:dyDescent="0.25">
      <c r="A24">
        <v>17</v>
      </c>
      <c r="B24" t="str">
        <f t="shared" si="0"/>
        <v/>
      </c>
    </row>
    <row r="25" spans="1:2" x14ac:dyDescent="0.25">
      <c r="A25">
        <v>18</v>
      </c>
      <c r="B25" t="str">
        <f t="shared" si="0"/>
        <v/>
      </c>
    </row>
    <row r="26" spans="1:2" x14ac:dyDescent="0.25">
      <c r="A26">
        <v>19</v>
      </c>
      <c r="B26" t="str">
        <f t="shared" si="0"/>
        <v/>
      </c>
    </row>
    <row r="27" spans="1:2" x14ac:dyDescent="0.25">
      <c r="A27">
        <v>20</v>
      </c>
      <c r="B27" t="str">
        <f t="shared" si="0"/>
        <v/>
      </c>
    </row>
    <row r="28" spans="1:2" x14ac:dyDescent="0.25">
      <c r="A28">
        <v>21</v>
      </c>
      <c r="B28" t="str">
        <f t="shared" si="0"/>
        <v/>
      </c>
    </row>
    <row r="29" spans="1:2" x14ac:dyDescent="0.25">
      <c r="A29">
        <v>22</v>
      </c>
      <c r="B29" t="str">
        <f t="shared" si="0"/>
        <v/>
      </c>
    </row>
    <row r="30" spans="1:2" x14ac:dyDescent="0.25">
      <c r="A30">
        <v>23</v>
      </c>
      <c r="B30" t="str">
        <f t="shared" si="0"/>
        <v/>
      </c>
    </row>
    <row r="31" spans="1:2" x14ac:dyDescent="0.25">
      <c r="A31">
        <v>24</v>
      </c>
      <c r="B31" t="str">
        <f t="shared" si="0"/>
        <v/>
      </c>
    </row>
    <row r="32" spans="1:2" x14ac:dyDescent="0.25">
      <c r="A32">
        <v>25</v>
      </c>
      <c r="B32" t="str">
        <f t="shared" si="0"/>
        <v/>
      </c>
    </row>
    <row r="33" spans="1:2" x14ac:dyDescent="0.25">
      <c r="A33">
        <v>26</v>
      </c>
      <c r="B33" t="str">
        <f t="shared" si="0"/>
        <v/>
      </c>
    </row>
    <row r="34" spans="1:2" x14ac:dyDescent="0.25">
      <c r="A34">
        <v>27</v>
      </c>
      <c r="B34" t="str">
        <f t="shared" si="0"/>
        <v/>
      </c>
    </row>
    <row r="35" spans="1:2" x14ac:dyDescent="0.25">
      <c r="A35">
        <v>28</v>
      </c>
      <c r="B35" t="str">
        <f t="shared" si="0"/>
        <v/>
      </c>
    </row>
    <row r="36" spans="1:2" x14ac:dyDescent="0.25">
      <c r="A36">
        <v>29</v>
      </c>
      <c r="B36" t="str">
        <f t="shared" si="0"/>
        <v/>
      </c>
    </row>
    <row r="37" spans="1:2" x14ac:dyDescent="0.25">
      <c r="A37">
        <v>30</v>
      </c>
      <c r="B37" t="str">
        <f t="shared" si="0"/>
        <v/>
      </c>
    </row>
    <row r="38" spans="1:2" x14ac:dyDescent="0.25">
      <c r="A38">
        <v>31</v>
      </c>
      <c r="B38" t="str">
        <f t="shared" si="0"/>
        <v/>
      </c>
    </row>
    <row r="39" spans="1:2" x14ac:dyDescent="0.25">
      <c r="A39">
        <v>32</v>
      </c>
      <c r="B39" t="str">
        <f t="shared" ref="B39:B70" si="1">IF(A39&lt;=$B$4,COMBIN($B$4,A39)*$D$4^A39*(1-$D$4)^($B$4-A39),"")</f>
        <v/>
      </c>
    </row>
    <row r="40" spans="1:2" x14ac:dyDescent="0.25">
      <c r="A40">
        <v>33</v>
      </c>
      <c r="B40" t="str">
        <f t="shared" si="1"/>
        <v/>
      </c>
    </row>
    <row r="41" spans="1:2" x14ac:dyDescent="0.25">
      <c r="A41">
        <v>34</v>
      </c>
      <c r="B41" t="str">
        <f t="shared" si="1"/>
        <v/>
      </c>
    </row>
    <row r="42" spans="1:2" x14ac:dyDescent="0.25">
      <c r="A42">
        <v>35</v>
      </c>
      <c r="B42" t="str">
        <f t="shared" si="1"/>
        <v/>
      </c>
    </row>
    <row r="43" spans="1:2" x14ac:dyDescent="0.25">
      <c r="A43">
        <v>36</v>
      </c>
      <c r="B43" t="str">
        <f t="shared" si="1"/>
        <v/>
      </c>
    </row>
    <row r="44" spans="1:2" x14ac:dyDescent="0.25">
      <c r="A44">
        <v>37</v>
      </c>
      <c r="B44" t="str">
        <f t="shared" si="1"/>
        <v/>
      </c>
    </row>
    <row r="45" spans="1:2" x14ac:dyDescent="0.25">
      <c r="A45">
        <v>38</v>
      </c>
      <c r="B45" t="str">
        <f t="shared" si="1"/>
        <v/>
      </c>
    </row>
    <row r="46" spans="1:2" x14ac:dyDescent="0.25">
      <c r="A46">
        <v>39</v>
      </c>
      <c r="B46" t="str">
        <f t="shared" si="1"/>
        <v/>
      </c>
    </row>
    <row r="47" spans="1:2" x14ac:dyDescent="0.25">
      <c r="A47">
        <v>40</v>
      </c>
      <c r="B47" t="str">
        <f t="shared" si="1"/>
        <v/>
      </c>
    </row>
    <row r="48" spans="1:2" x14ac:dyDescent="0.25">
      <c r="A48">
        <v>41</v>
      </c>
      <c r="B48" t="str">
        <f t="shared" si="1"/>
        <v/>
      </c>
    </row>
    <row r="49" spans="1:2" x14ac:dyDescent="0.25">
      <c r="A49">
        <v>42</v>
      </c>
      <c r="B49" t="str">
        <f t="shared" si="1"/>
        <v/>
      </c>
    </row>
    <row r="50" spans="1:2" x14ac:dyDescent="0.25">
      <c r="A50">
        <v>43</v>
      </c>
      <c r="B50" t="str">
        <f t="shared" si="1"/>
        <v/>
      </c>
    </row>
    <row r="51" spans="1:2" x14ac:dyDescent="0.25">
      <c r="A51">
        <v>44</v>
      </c>
      <c r="B51" t="str">
        <f t="shared" si="1"/>
        <v/>
      </c>
    </row>
    <row r="52" spans="1:2" x14ac:dyDescent="0.25">
      <c r="A52">
        <v>45</v>
      </c>
      <c r="B52" t="str">
        <f t="shared" si="1"/>
        <v/>
      </c>
    </row>
    <row r="53" spans="1:2" x14ac:dyDescent="0.25">
      <c r="A53">
        <v>46</v>
      </c>
      <c r="B53" t="str">
        <f t="shared" si="1"/>
        <v/>
      </c>
    </row>
    <row r="54" spans="1:2" x14ac:dyDescent="0.25">
      <c r="A54">
        <v>47</v>
      </c>
      <c r="B54" t="str">
        <f t="shared" si="1"/>
        <v/>
      </c>
    </row>
    <row r="55" spans="1:2" x14ac:dyDescent="0.25">
      <c r="A55">
        <v>48</v>
      </c>
      <c r="B55" t="str">
        <f t="shared" si="1"/>
        <v/>
      </c>
    </row>
    <row r="56" spans="1:2" x14ac:dyDescent="0.25">
      <c r="A56">
        <v>49</v>
      </c>
      <c r="B56" t="str">
        <f t="shared" si="1"/>
        <v/>
      </c>
    </row>
    <row r="57" spans="1:2" x14ac:dyDescent="0.25">
      <c r="A57">
        <v>50</v>
      </c>
      <c r="B57" t="str">
        <f t="shared" si="1"/>
        <v/>
      </c>
    </row>
    <row r="58" spans="1:2" x14ac:dyDescent="0.25">
      <c r="A58">
        <v>51</v>
      </c>
      <c r="B58" t="str">
        <f t="shared" si="1"/>
        <v/>
      </c>
    </row>
    <row r="59" spans="1:2" x14ac:dyDescent="0.25">
      <c r="A59">
        <v>52</v>
      </c>
      <c r="B59" t="str">
        <f t="shared" si="1"/>
        <v/>
      </c>
    </row>
    <row r="60" spans="1:2" x14ac:dyDescent="0.25">
      <c r="A60">
        <v>53</v>
      </c>
      <c r="B60" t="str">
        <f t="shared" si="1"/>
        <v/>
      </c>
    </row>
    <row r="61" spans="1:2" x14ac:dyDescent="0.25">
      <c r="A61">
        <v>54</v>
      </c>
      <c r="B61" t="str">
        <f t="shared" si="1"/>
        <v/>
      </c>
    </row>
    <row r="62" spans="1:2" x14ac:dyDescent="0.25">
      <c r="A62">
        <v>55</v>
      </c>
      <c r="B62" t="str">
        <f t="shared" si="1"/>
        <v/>
      </c>
    </row>
    <row r="63" spans="1:2" x14ac:dyDescent="0.25">
      <c r="A63">
        <v>56</v>
      </c>
      <c r="B63" t="str">
        <f t="shared" si="1"/>
        <v/>
      </c>
    </row>
    <row r="64" spans="1:2" x14ac:dyDescent="0.25">
      <c r="A64">
        <v>57</v>
      </c>
      <c r="B64" t="str">
        <f t="shared" si="1"/>
        <v/>
      </c>
    </row>
    <row r="65" spans="1:2" x14ac:dyDescent="0.25">
      <c r="A65">
        <v>58</v>
      </c>
      <c r="B65" t="str">
        <f t="shared" si="1"/>
        <v/>
      </c>
    </row>
    <row r="66" spans="1:2" x14ac:dyDescent="0.25">
      <c r="A66">
        <v>59</v>
      </c>
      <c r="B66" t="str">
        <f t="shared" si="1"/>
        <v/>
      </c>
    </row>
    <row r="67" spans="1:2" x14ac:dyDescent="0.25">
      <c r="A67">
        <v>60</v>
      </c>
      <c r="B67" t="str">
        <f t="shared" si="1"/>
        <v/>
      </c>
    </row>
    <row r="68" spans="1:2" x14ac:dyDescent="0.25">
      <c r="A68">
        <v>61</v>
      </c>
      <c r="B68" t="str">
        <f t="shared" si="1"/>
        <v/>
      </c>
    </row>
    <row r="69" spans="1:2" x14ac:dyDescent="0.25">
      <c r="A69">
        <v>62</v>
      </c>
      <c r="B69" t="str">
        <f t="shared" si="1"/>
        <v/>
      </c>
    </row>
    <row r="70" spans="1:2" x14ac:dyDescent="0.25">
      <c r="A70">
        <v>63</v>
      </c>
      <c r="B70" t="str">
        <f t="shared" si="1"/>
        <v/>
      </c>
    </row>
    <row r="71" spans="1:2" x14ac:dyDescent="0.25">
      <c r="A71">
        <v>64</v>
      </c>
      <c r="B71" t="str">
        <f t="shared" ref="B71:B102" si="2">IF(A71&lt;=$B$4,COMBIN($B$4,A71)*$D$4^A71*(1-$D$4)^($B$4-A71),"")</f>
        <v/>
      </c>
    </row>
    <row r="72" spans="1:2" x14ac:dyDescent="0.25">
      <c r="A72">
        <v>65</v>
      </c>
      <c r="B72" t="str">
        <f t="shared" si="2"/>
        <v/>
      </c>
    </row>
    <row r="73" spans="1:2" x14ac:dyDescent="0.25">
      <c r="A73">
        <v>66</v>
      </c>
      <c r="B73" t="str">
        <f t="shared" si="2"/>
        <v/>
      </c>
    </row>
    <row r="74" spans="1:2" x14ac:dyDescent="0.25">
      <c r="A74">
        <v>67</v>
      </c>
      <c r="B74" t="str">
        <f t="shared" si="2"/>
        <v/>
      </c>
    </row>
    <row r="75" spans="1:2" x14ac:dyDescent="0.25">
      <c r="A75">
        <v>68</v>
      </c>
      <c r="B75" t="str">
        <f t="shared" si="2"/>
        <v/>
      </c>
    </row>
    <row r="76" spans="1:2" x14ac:dyDescent="0.25">
      <c r="A76">
        <v>69</v>
      </c>
      <c r="B76" t="str">
        <f t="shared" si="2"/>
        <v/>
      </c>
    </row>
    <row r="77" spans="1:2" x14ac:dyDescent="0.25">
      <c r="A77">
        <v>70</v>
      </c>
      <c r="B77" t="str">
        <f t="shared" si="2"/>
        <v/>
      </c>
    </row>
    <row r="78" spans="1:2" x14ac:dyDescent="0.25">
      <c r="A78">
        <v>71</v>
      </c>
      <c r="B78" t="str">
        <f t="shared" si="2"/>
        <v/>
      </c>
    </row>
    <row r="79" spans="1:2" x14ac:dyDescent="0.25">
      <c r="A79">
        <v>72</v>
      </c>
      <c r="B79" t="str">
        <f t="shared" si="2"/>
        <v/>
      </c>
    </row>
    <row r="80" spans="1:2" x14ac:dyDescent="0.25">
      <c r="A80">
        <v>73</v>
      </c>
      <c r="B80" t="str">
        <f t="shared" si="2"/>
        <v/>
      </c>
    </row>
    <row r="81" spans="1:2" x14ac:dyDescent="0.25">
      <c r="A81">
        <v>74</v>
      </c>
      <c r="B81" t="str">
        <f t="shared" si="2"/>
        <v/>
      </c>
    </row>
    <row r="82" spans="1:2" x14ac:dyDescent="0.25">
      <c r="A82">
        <v>75</v>
      </c>
      <c r="B82" t="str">
        <f t="shared" si="2"/>
        <v/>
      </c>
    </row>
    <row r="83" spans="1:2" x14ac:dyDescent="0.25">
      <c r="A83">
        <v>76</v>
      </c>
      <c r="B83" t="str">
        <f t="shared" si="2"/>
        <v/>
      </c>
    </row>
    <row r="84" spans="1:2" x14ac:dyDescent="0.25">
      <c r="A84">
        <v>77</v>
      </c>
      <c r="B84" t="str">
        <f t="shared" si="2"/>
        <v/>
      </c>
    </row>
    <row r="85" spans="1:2" x14ac:dyDescent="0.25">
      <c r="A85">
        <v>78</v>
      </c>
      <c r="B85" t="str">
        <f t="shared" si="2"/>
        <v/>
      </c>
    </row>
    <row r="86" spans="1:2" x14ac:dyDescent="0.25">
      <c r="A86">
        <v>79</v>
      </c>
      <c r="B86" t="str">
        <f t="shared" si="2"/>
        <v/>
      </c>
    </row>
    <row r="87" spans="1:2" x14ac:dyDescent="0.25">
      <c r="A87">
        <v>80</v>
      </c>
      <c r="B87" t="str">
        <f t="shared" si="2"/>
        <v/>
      </c>
    </row>
    <row r="88" spans="1:2" x14ac:dyDescent="0.25">
      <c r="A88">
        <v>81</v>
      </c>
      <c r="B88" t="str">
        <f t="shared" si="2"/>
        <v/>
      </c>
    </row>
    <row r="89" spans="1:2" x14ac:dyDescent="0.25">
      <c r="A89">
        <v>82</v>
      </c>
      <c r="B89" t="str">
        <f t="shared" si="2"/>
        <v/>
      </c>
    </row>
    <row r="90" spans="1:2" x14ac:dyDescent="0.25">
      <c r="A90">
        <v>83</v>
      </c>
      <c r="B90" t="str">
        <f t="shared" si="2"/>
        <v/>
      </c>
    </row>
    <row r="91" spans="1:2" x14ac:dyDescent="0.25">
      <c r="A91">
        <v>84</v>
      </c>
      <c r="B91" t="str">
        <f t="shared" si="2"/>
        <v/>
      </c>
    </row>
    <row r="92" spans="1:2" x14ac:dyDescent="0.25">
      <c r="A92">
        <v>85</v>
      </c>
      <c r="B92" t="str">
        <f t="shared" si="2"/>
        <v/>
      </c>
    </row>
    <row r="93" spans="1:2" x14ac:dyDescent="0.25">
      <c r="A93">
        <v>86</v>
      </c>
      <c r="B93" t="str">
        <f t="shared" si="2"/>
        <v/>
      </c>
    </row>
    <row r="94" spans="1:2" x14ac:dyDescent="0.25">
      <c r="A94">
        <v>87</v>
      </c>
      <c r="B94" t="str">
        <f t="shared" si="2"/>
        <v/>
      </c>
    </row>
    <row r="95" spans="1:2" x14ac:dyDescent="0.25">
      <c r="A95">
        <v>88</v>
      </c>
      <c r="B95" t="str">
        <f t="shared" si="2"/>
        <v/>
      </c>
    </row>
    <row r="96" spans="1:2" x14ac:dyDescent="0.25">
      <c r="A96">
        <v>89</v>
      </c>
      <c r="B96" t="str">
        <f t="shared" si="2"/>
        <v/>
      </c>
    </row>
    <row r="97" spans="1:2" x14ac:dyDescent="0.25">
      <c r="A97">
        <v>90</v>
      </c>
      <c r="B97" t="str">
        <f t="shared" si="2"/>
        <v/>
      </c>
    </row>
    <row r="98" spans="1:2" x14ac:dyDescent="0.25">
      <c r="A98">
        <v>91</v>
      </c>
      <c r="B98" t="str">
        <f t="shared" si="2"/>
        <v/>
      </c>
    </row>
    <row r="99" spans="1:2" x14ac:dyDescent="0.25">
      <c r="A99">
        <v>92</v>
      </c>
      <c r="B99" t="str">
        <f t="shared" si="2"/>
        <v/>
      </c>
    </row>
    <row r="100" spans="1:2" x14ac:dyDescent="0.25">
      <c r="A100">
        <v>93</v>
      </c>
      <c r="B100" t="str">
        <f t="shared" si="2"/>
        <v/>
      </c>
    </row>
    <row r="101" spans="1:2" x14ac:dyDescent="0.25">
      <c r="A101">
        <v>94</v>
      </c>
      <c r="B101" t="str">
        <f t="shared" si="2"/>
        <v/>
      </c>
    </row>
    <row r="102" spans="1:2" x14ac:dyDescent="0.25">
      <c r="A102">
        <v>95</v>
      </c>
      <c r="B102" t="str">
        <f t="shared" si="2"/>
        <v/>
      </c>
    </row>
    <row r="103" spans="1:2" x14ac:dyDescent="0.25">
      <c r="A103">
        <v>96</v>
      </c>
      <c r="B103" t="str">
        <f t="shared" ref="B103:B107" si="3">IF(A103&lt;=$B$4,COMBIN($B$4,A103)*$D$4^A103*(1-$D$4)^($B$4-A103),"")</f>
        <v/>
      </c>
    </row>
    <row r="104" spans="1:2" x14ac:dyDescent="0.25">
      <c r="A104">
        <v>97</v>
      </c>
      <c r="B104" t="str">
        <f t="shared" si="3"/>
        <v/>
      </c>
    </row>
    <row r="105" spans="1:2" x14ac:dyDescent="0.25">
      <c r="A105">
        <v>98</v>
      </c>
      <c r="B105" t="str">
        <f t="shared" si="3"/>
        <v/>
      </c>
    </row>
    <row r="106" spans="1:2" x14ac:dyDescent="0.25">
      <c r="A106">
        <v>99</v>
      </c>
      <c r="B106" t="str">
        <f t="shared" si="3"/>
        <v/>
      </c>
    </row>
    <row r="107" spans="1:2" x14ac:dyDescent="0.25">
      <c r="A107">
        <v>100</v>
      </c>
      <c r="B107" t="str">
        <f t="shared" si="3"/>
        <v/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4337" r:id="rId4">
          <objectPr defaultSize="0" r:id="rId5">
            <anchor moveWithCells="1">
              <from>
                <xdr:col>1</xdr:col>
                <xdr:colOff>38100</xdr:colOff>
                <xdr:row>2</xdr:row>
                <xdr:rowOff>47625</xdr:rowOff>
              </from>
              <to>
                <xdr:col>1</xdr:col>
                <xdr:colOff>1209675</xdr:colOff>
                <xdr:row>2</xdr:row>
                <xdr:rowOff>504825</xdr:rowOff>
              </to>
            </anchor>
          </objectPr>
        </oleObject>
      </mc:Choice>
      <mc:Fallback>
        <oleObject progId="Equation.3" shapeId="1433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A16" sqref="A16"/>
    </sheetView>
  </sheetViews>
  <sheetFormatPr defaultRowHeight="15" x14ac:dyDescent="0.25"/>
  <cols>
    <col min="1" max="1" width="13.85546875" style="1" bestFit="1" customWidth="1"/>
    <col min="2" max="2" width="15.140625" style="1" customWidth="1"/>
    <col min="3" max="3" width="11" style="1" bestFit="1" customWidth="1"/>
    <col min="4" max="4" width="12.85546875" style="1" bestFit="1" customWidth="1"/>
    <col min="5" max="5" width="13.85546875" style="1" bestFit="1" customWidth="1"/>
    <col min="257" max="257" width="13.85546875" bestFit="1" customWidth="1"/>
    <col min="258" max="258" width="15.140625" customWidth="1"/>
    <col min="259" max="259" width="11" bestFit="1" customWidth="1"/>
    <col min="260" max="260" width="12.85546875" bestFit="1" customWidth="1"/>
    <col min="261" max="261" width="13.85546875" bestFit="1" customWidth="1"/>
    <col min="513" max="513" width="13.85546875" bestFit="1" customWidth="1"/>
    <col min="514" max="514" width="15.140625" customWidth="1"/>
    <col min="515" max="515" width="11" bestFit="1" customWidth="1"/>
    <col min="516" max="516" width="12.85546875" bestFit="1" customWidth="1"/>
    <col min="517" max="517" width="13.85546875" bestFit="1" customWidth="1"/>
    <col min="769" max="769" width="13.85546875" bestFit="1" customWidth="1"/>
    <col min="770" max="770" width="15.140625" customWidth="1"/>
    <col min="771" max="771" width="11" bestFit="1" customWidth="1"/>
    <col min="772" max="772" width="12.85546875" bestFit="1" customWidth="1"/>
    <col min="773" max="773" width="13.85546875" bestFit="1" customWidth="1"/>
    <col min="1025" max="1025" width="13.85546875" bestFit="1" customWidth="1"/>
    <col min="1026" max="1026" width="15.140625" customWidth="1"/>
    <col min="1027" max="1027" width="11" bestFit="1" customWidth="1"/>
    <col min="1028" max="1028" width="12.85546875" bestFit="1" customWidth="1"/>
    <col min="1029" max="1029" width="13.85546875" bestFit="1" customWidth="1"/>
    <col min="1281" max="1281" width="13.85546875" bestFit="1" customWidth="1"/>
    <col min="1282" max="1282" width="15.140625" customWidth="1"/>
    <col min="1283" max="1283" width="11" bestFit="1" customWidth="1"/>
    <col min="1284" max="1284" width="12.85546875" bestFit="1" customWidth="1"/>
    <col min="1285" max="1285" width="13.85546875" bestFit="1" customWidth="1"/>
    <col min="1537" max="1537" width="13.85546875" bestFit="1" customWidth="1"/>
    <col min="1538" max="1538" width="15.140625" customWidth="1"/>
    <col min="1539" max="1539" width="11" bestFit="1" customWidth="1"/>
    <col min="1540" max="1540" width="12.85546875" bestFit="1" customWidth="1"/>
    <col min="1541" max="1541" width="13.85546875" bestFit="1" customWidth="1"/>
    <col min="1793" max="1793" width="13.85546875" bestFit="1" customWidth="1"/>
    <col min="1794" max="1794" width="15.140625" customWidth="1"/>
    <col min="1795" max="1795" width="11" bestFit="1" customWidth="1"/>
    <col min="1796" max="1796" width="12.85546875" bestFit="1" customWidth="1"/>
    <col min="1797" max="1797" width="13.85546875" bestFit="1" customWidth="1"/>
    <col min="2049" max="2049" width="13.85546875" bestFit="1" customWidth="1"/>
    <col min="2050" max="2050" width="15.140625" customWidth="1"/>
    <col min="2051" max="2051" width="11" bestFit="1" customWidth="1"/>
    <col min="2052" max="2052" width="12.85546875" bestFit="1" customWidth="1"/>
    <col min="2053" max="2053" width="13.85546875" bestFit="1" customWidth="1"/>
    <col min="2305" max="2305" width="13.85546875" bestFit="1" customWidth="1"/>
    <col min="2306" max="2306" width="15.140625" customWidth="1"/>
    <col min="2307" max="2307" width="11" bestFit="1" customWidth="1"/>
    <col min="2308" max="2308" width="12.85546875" bestFit="1" customWidth="1"/>
    <col min="2309" max="2309" width="13.85546875" bestFit="1" customWidth="1"/>
    <col min="2561" max="2561" width="13.85546875" bestFit="1" customWidth="1"/>
    <col min="2562" max="2562" width="15.140625" customWidth="1"/>
    <col min="2563" max="2563" width="11" bestFit="1" customWidth="1"/>
    <col min="2564" max="2564" width="12.85546875" bestFit="1" customWidth="1"/>
    <col min="2565" max="2565" width="13.85546875" bestFit="1" customWidth="1"/>
    <col min="2817" max="2817" width="13.85546875" bestFit="1" customWidth="1"/>
    <col min="2818" max="2818" width="15.140625" customWidth="1"/>
    <col min="2819" max="2819" width="11" bestFit="1" customWidth="1"/>
    <col min="2820" max="2820" width="12.85546875" bestFit="1" customWidth="1"/>
    <col min="2821" max="2821" width="13.85546875" bestFit="1" customWidth="1"/>
    <col min="3073" max="3073" width="13.85546875" bestFit="1" customWidth="1"/>
    <col min="3074" max="3074" width="15.140625" customWidth="1"/>
    <col min="3075" max="3075" width="11" bestFit="1" customWidth="1"/>
    <col min="3076" max="3076" width="12.85546875" bestFit="1" customWidth="1"/>
    <col min="3077" max="3077" width="13.85546875" bestFit="1" customWidth="1"/>
    <col min="3329" max="3329" width="13.85546875" bestFit="1" customWidth="1"/>
    <col min="3330" max="3330" width="15.140625" customWidth="1"/>
    <col min="3331" max="3331" width="11" bestFit="1" customWidth="1"/>
    <col min="3332" max="3332" width="12.85546875" bestFit="1" customWidth="1"/>
    <col min="3333" max="3333" width="13.85546875" bestFit="1" customWidth="1"/>
    <col min="3585" max="3585" width="13.85546875" bestFit="1" customWidth="1"/>
    <col min="3586" max="3586" width="15.140625" customWidth="1"/>
    <col min="3587" max="3587" width="11" bestFit="1" customWidth="1"/>
    <col min="3588" max="3588" width="12.85546875" bestFit="1" customWidth="1"/>
    <col min="3589" max="3589" width="13.85546875" bestFit="1" customWidth="1"/>
    <col min="3841" max="3841" width="13.85546875" bestFit="1" customWidth="1"/>
    <col min="3842" max="3842" width="15.140625" customWidth="1"/>
    <col min="3843" max="3843" width="11" bestFit="1" customWidth="1"/>
    <col min="3844" max="3844" width="12.85546875" bestFit="1" customWidth="1"/>
    <col min="3845" max="3845" width="13.85546875" bestFit="1" customWidth="1"/>
    <col min="4097" max="4097" width="13.85546875" bestFit="1" customWidth="1"/>
    <col min="4098" max="4098" width="15.140625" customWidth="1"/>
    <col min="4099" max="4099" width="11" bestFit="1" customWidth="1"/>
    <col min="4100" max="4100" width="12.85546875" bestFit="1" customWidth="1"/>
    <col min="4101" max="4101" width="13.85546875" bestFit="1" customWidth="1"/>
    <col min="4353" max="4353" width="13.85546875" bestFit="1" customWidth="1"/>
    <col min="4354" max="4354" width="15.140625" customWidth="1"/>
    <col min="4355" max="4355" width="11" bestFit="1" customWidth="1"/>
    <col min="4356" max="4356" width="12.85546875" bestFit="1" customWidth="1"/>
    <col min="4357" max="4357" width="13.85546875" bestFit="1" customWidth="1"/>
    <col min="4609" max="4609" width="13.85546875" bestFit="1" customWidth="1"/>
    <col min="4610" max="4610" width="15.140625" customWidth="1"/>
    <col min="4611" max="4611" width="11" bestFit="1" customWidth="1"/>
    <col min="4612" max="4612" width="12.85546875" bestFit="1" customWidth="1"/>
    <col min="4613" max="4613" width="13.85546875" bestFit="1" customWidth="1"/>
    <col min="4865" max="4865" width="13.85546875" bestFit="1" customWidth="1"/>
    <col min="4866" max="4866" width="15.140625" customWidth="1"/>
    <col min="4867" max="4867" width="11" bestFit="1" customWidth="1"/>
    <col min="4868" max="4868" width="12.85546875" bestFit="1" customWidth="1"/>
    <col min="4869" max="4869" width="13.85546875" bestFit="1" customWidth="1"/>
    <col min="5121" max="5121" width="13.85546875" bestFit="1" customWidth="1"/>
    <col min="5122" max="5122" width="15.140625" customWidth="1"/>
    <col min="5123" max="5123" width="11" bestFit="1" customWidth="1"/>
    <col min="5124" max="5124" width="12.85546875" bestFit="1" customWidth="1"/>
    <col min="5125" max="5125" width="13.85546875" bestFit="1" customWidth="1"/>
    <col min="5377" max="5377" width="13.85546875" bestFit="1" customWidth="1"/>
    <col min="5378" max="5378" width="15.140625" customWidth="1"/>
    <col min="5379" max="5379" width="11" bestFit="1" customWidth="1"/>
    <col min="5380" max="5380" width="12.85546875" bestFit="1" customWidth="1"/>
    <col min="5381" max="5381" width="13.85546875" bestFit="1" customWidth="1"/>
    <col min="5633" max="5633" width="13.85546875" bestFit="1" customWidth="1"/>
    <col min="5634" max="5634" width="15.140625" customWidth="1"/>
    <col min="5635" max="5635" width="11" bestFit="1" customWidth="1"/>
    <col min="5636" max="5636" width="12.85546875" bestFit="1" customWidth="1"/>
    <col min="5637" max="5637" width="13.85546875" bestFit="1" customWidth="1"/>
    <col min="5889" max="5889" width="13.85546875" bestFit="1" customWidth="1"/>
    <col min="5890" max="5890" width="15.140625" customWidth="1"/>
    <col min="5891" max="5891" width="11" bestFit="1" customWidth="1"/>
    <col min="5892" max="5892" width="12.85546875" bestFit="1" customWidth="1"/>
    <col min="5893" max="5893" width="13.85546875" bestFit="1" customWidth="1"/>
    <col min="6145" max="6145" width="13.85546875" bestFit="1" customWidth="1"/>
    <col min="6146" max="6146" width="15.140625" customWidth="1"/>
    <col min="6147" max="6147" width="11" bestFit="1" customWidth="1"/>
    <col min="6148" max="6148" width="12.85546875" bestFit="1" customWidth="1"/>
    <col min="6149" max="6149" width="13.85546875" bestFit="1" customWidth="1"/>
    <col min="6401" max="6401" width="13.85546875" bestFit="1" customWidth="1"/>
    <col min="6402" max="6402" width="15.140625" customWidth="1"/>
    <col min="6403" max="6403" width="11" bestFit="1" customWidth="1"/>
    <col min="6404" max="6404" width="12.85546875" bestFit="1" customWidth="1"/>
    <col min="6405" max="6405" width="13.85546875" bestFit="1" customWidth="1"/>
    <col min="6657" max="6657" width="13.85546875" bestFit="1" customWidth="1"/>
    <col min="6658" max="6658" width="15.140625" customWidth="1"/>
    <col min="6659" max="6659" width="11" bestFit="1" customWidth="1"/>
    <col min="6660" max="6660" width="12.85546875" bestFit="1" customWidth="1"/>
    <col min="6661" max="6661" width="13.85546875" bestFit="1" customWidth="1"/>
    <col min="6913" max="6913" width="13.85546875" bestFit="1" customWidth="1"/>
    <col min="6914" max="6914" width="15.140625" customWidth="1"/>
    <col min="6915" max="6915" width="11" bestFit="1" customWidth="1"/>
    <col min="6916" max="6916" width="12.85546875" bestFit="1" customWidth="1"/>
    <col min="6917" max="6917" width="13.85546875" bestFit="1" customWidth="1"/>
    <col min="7169" max="7169" width="13.85546875" bestFit="1" customWidth="1"/>
    <col min="7170" max="7170" width="15.140625" customWidth="1"/>
    <col min="7171" max="7171" width="11" bestFit="1" customWidth="1"/>
    <col min="7172" max="7172" width="12.85546875" bestFit="1" customWidth="1"/>
    <col min="7173" max="7173" width="13.85546875" bestFit="1" customWidth="1"/>
    <col min="7425" max="7425" width="13.85546875" bestFit="1" customWidth="1"/>
    <col min="7426" max="7426" width="15.140625" customWidth="1"/>
    <col min="7427" max="7427" width="11" bestFit="1" customWidth="1"/>
    <col min="7428" max="7428" width="12.85546875" bestFit="1" customWidth="1"/>
    <col min="7429" max="7429" width="13.85546875" bestFit="1" customWidth="1"/>
    <col min="7681" max="7681" width="13.85546875" bestFit="1" customWidth="1"/>
    <col min="7682" max="7682" width="15.140625" customWidth="1"/>
    <col min="7683" max="7683" width="11" bestFit="1" customWidth="1"/>
    <col min="7684" max="7684" width="12.85546875" bestFit="1" customWidth="1"/>
    <col min="7685" max="7685" width="13.85546875" bestFit="1" customWidth="1"/>
    <col min="7937" max="7937" width="13.85546875" bestFit="1" customWidth="1"/>
    <col min="7938" max="7938" width="15.140625" customWidth="1"/>
    <col min="7939" max="7939" width="11" bestFit="1" customWidth="1"/>
    <col min="7940" max="7940" width="12.85546875" bestFit="1" customWidth="1"/>
    <col min="7941" max="7941" width="13.85546875" bestFit="1" customWidth="1"/>
    <col min="8193" max="8193" width="13.85546875" bestFit="1" customWidth="1"/>
    <col min="8194" max="8194" width="15.140625" customWidth="1"/>
    <col min="8195" max="8195" width="11" bestFit="1" customWidth="1"/>
    <col min="8196" max="8196" width="12.85546875" bestFit="1" customWidth="1"/>
    <col min="8197" max="8197" width="13.85546875" bestFit="1" customWidth="1"/>
    <col min="8449" max="8449" width="13.85546875" bestFit="1" customWidth="1"/>
    <col min="8450" max="8450" width="15.140625" customWidth="1"/>
    <col min="8451" max="8451" width="11" bestFit="1" customWidth="1"/>
    <col min="8452" max="8452" width="12.85546875" bestFit="1" customWidth="1"/>
    <col min="8453" max="8453" width="13.85546875" bestFit="1" customWidth="1"/>
    <col min="8705" max="8705" width="13.85546875" bestFit="1" customWidth="1"/>
    <col min="8706" max="8706" width="15.140625" customWidth="1"/>
    <col min="8707" max="8707" width="11" bestFit="1" customWidth="1"/>
    <col min="8708" max="8708" width="12.85546875" bestFit="1" customWidth="1"/>
    <col min="8709" max="8709" width="13.85546875" bestFit="1" customWidth="1"/>
    <col min="8961" max="8961" width="13.85546875" bestFit="1" customWidth="1"/>
    <col min="8962" max="8962" width="15.140625" customWidth="1"/>
    <col min="8963" max="8963" width="11" bestFit="1" customWidth="1"/>
    <col min="8964" max="8964" width="12.85546875" bestFit="1" customWidth="1"/>
    <col min="8965" max="8965" width="13.85546875" bestFit="1" customWidth="1"/>
    <col min="9217" max="9217" width="13.85546875" bestFit="1" customWidth="1"/>
    <col min="9218" max="9218" width="15.140625" customWidth="1"/>
    <col min="9219" max="9219" width="11" bestFit="1" customWidth="1"/>
    <col min="9220" max="9220" width="12.85546875" bestFit="1" customWidth="1"/>
    <col min="9221" max="9221" width="13.85546875" bestFit="1" customWidth="1"/>
    <col min="9473" max="9473" width="13.85546875" bestFit="1" customWidth="1"/>
    <col min="9474" max="9474" width="15.140625" customWidth="1"/>
    <col min="9475" max="9475" width="11" bestFit="1" customWidth="1"/>
    <col min="9476" max="9476" width="12.85546875" bestFit="1" customWidth="1"/>
    <col min="9477" max="9477" width="13.85546875" bestFit="1" customWidth="1"/>
    <col min="9729" max="9729" width="13.85546875" bestFit="1" customWidth="1"/>
    <col min="9730" max="9730" width="15.140625" customWidth="1"/>
    <col min="9731" max="9731" width="11" bestFit="1" customWidth="1"/>
    <col min="9732" max="9732" width="12.85546875" bestFit="1" customWidth="1"/>
    <col min="9733" max="9733" width="13.85546875" bestFit="1" customWidth="1"/>
    <col min="9985" max="9985" width="13.85546875" bestFit="1" customWidth="1"/>
    <col min="9986" max="9986" width="15.140625" customWidth="1"/>
    <col min="9987" max="9987" width="11" bestFit="1" customWidth="1"/>
    <col min="9988" max="9988" width="12.85546875" bestFit="1" customWidth="1"/>
    <col min="9989" max="9989" width="13.85546875" bestFit="1" customWidth="1"/>
    <col min="10241" max="10241" width="13.85546875" bestFit="1" customWidth="1"/>
    <col min="10242" max="10242" width="15.140625" customWidth="1"/>
    <col min="10243" max="10243" width="11" bestFit="1" customWidth="1"/>
    <col min="10244" max="10244" width="12.85546875" bestFit="1" customWidth="1"/>
    <col min="10245" max="10245" width="13.85546875" bestFit="1" customWidth="1"/>
    <col min="10497" max="10497" width="13.85546875" bestFit="1" customWidth="1"/>
    <col min="10498" max="10498" width="15.140625" customWidth="1"/>
    <col min="10499" max="10499" width="11" bestFit="1" customWidth="1"/>
    <col min="10500" max="10500" width="12.85546875" bestFit="1" customWidth="1"/>
    <col min="10501" max="10501" width="13.85546875" bestFit="1" customWidth="1"/>
    <col min="10753" max="10753" width="13.85546875" bestFit="1" customWidth="1"/>
    <col min="10754" max="10754" width="15.140625" customWidth="1"/>
    <col min="10755" max="10755" width="11" bestFit="1" customWidth="1"/>
    <col min="10756" max="10756" width="12.85546875" bestFit="1" customWidth="1"/>
    <col min="10757" max="10757" width="13.85546875" bestFit="1" customWidth="1"/>
    <col min="11009" max="11009" width="13.85546875" bestFit="1" customWidth="1"/>
    <col min="11010" max="11010" width="15.140625" customWidth="1"/>
    <col min="11011" max="11011" width="11" bestFit="1" customWidth="1"/>
    <col min="11012" max="11012" width="12.85546875" bestFit="1" customWidth="1"/>
    <col min="11013" max="11013" width="13.85546875" bestFit="1" customWidth="1"/>
    <col min="11265" max="11265" width="13.85546875" bestFit="1" customWidth="1"/>
    <col min="11266" max="11266" width="15.140625" customWidth="1"/>
    <col min="11267" max="11267" width="11" bestFit="1" customWidth="1"/>
    <col min="11268" max="11268" width="12.85546875" bestFit="1" customWidth="1"/>
    <col min="11269" max="11269" width="13.85546875" bestFit="1" customWidth="1"/>
    <col min="11521" max="11521" width="13.85546875" bestFit="1" customWidth="1"/>
    <col min="11522" max="11522" width="15.140625" customWidth="1"/>
    <col min="11523" max="11523" width="11" bestFit="1" customWidth="1"/>
    <col min="11524" max="11524" width="12.85546875" bestFit="1" customWidth="1"/>
    <col min="11525" max="11525" width="13.85546875" bestFit="1" customWidth="1"/>
    <col min="11777" max="11777" width="13.85546875" bestFit="1" customWidth="1"/>
    <col min="11778" max="11778" width="15.140625" customWidth="1"/>
    <col min="11779" max="11779" width="11" bestFit="1" customWidth="1"/>
    <col min="11780" max="11780" width="12.85546875" bestFit="1" customWidth="1"/>
    <col min="11781" max="11781" width="13.85546875" bestFit="1" customWidth="1"/>
    <col min="12033" max="12033" width="13.85546875" bestFit="1" customWidth="1"/>
    <col min="12034" max="12034" width="15.140625" customWidth="1"/>
    <col min="12035" max="12035" width="11" bestFit="1" customWidth="1"/>
    <col min="12036" max="12036" width="12.85546875" bestFit="1" customWidth="1"/>
    <col min="12037" max="12037" width="13.85546875" bestFit="1" customWidth="1"/>
    <col min="12289" max="12289" width="13.85546875" bestFit="1" customWidth="1"/>
    <col min="12290" max="12290" width="15.140625" customWidth="1"/>
    <col min="12291" max="12291" width="11" bestFit="1" customWidth="1"/>
    <col min="12292" max="12292" width="12.85546875" bestFit="1" customWidth="1"/>
    <col min="12293" max="12293" width="13.85546875" bestFit="1" customWidth="1"/>
    <col min="12545" max="12545" width="13.85546875" bestFit="1" customWidth="1"/>
    <col min="12546" max="12546" width="15.140625" customWidth="1"/>
    <col min="12547" max="12547" width="11" bestFit="1" customWidth="1"/>
    <col min="12548" max="12548" width="12.85546875" bestFit="1" customWidth="1"/>
    <col min="12549" max="12549" width="13.85546875" bestFit="1" customWidth="1"/>
    <col min="12801" max="12801" width="13.85546875" bestFit="1" customWidth="1"/>
    <col min="12802" max="12802" width="15.140625" customWidth="1"/>
    <col min="12803" max="12803" width="11" bestFit="1" customWidth="1"/>
    <col min="12804" max="12804" width="12.85546875" bestFit="1" customWidth="1"/>
    <col min="12805" max="12805" width="13.85546875" bestFit="1" customWidth="1"/>
    <col min="13057" max="13057" width="13.85546875" bestFit="1" customWidth="1"/>
    <col min="13058" max="13058" width="15.140625" customWidth="1"/>
    <col min="13059" max="13059" width="11" bestFit="1" customWidth="1"/>
    <col min="13060" max="13060" width="12.85546875" bestFit="1" customWidth="1"/>
    <col min="13061" max="13061" width="13.85546875" bestFit="1" customWidth="1"/>
    <col min="13313" max="13313" width="13.85546875" bestFit="1" customWidth="1"/>
    <col min="13314" max="13314" width="15.140625" customWidth="1"/>
    <col min="13315" max="13315" width="11" bestFit="1" customWidth="1"/>
    <col min="13316" max="13316" width="12.85546875" bestFit="1" customWidth="1"/>
    <col min="13317" max="13317" width="13.85546875" bestFit="1" customWidth="1"/>
    <col min="13569" max="13569" width="13.85546875" bestFit="1" customWidth="1"/>
    <col min="13570" max="13570" width="15.140625" customWidth="1"/>
    <col min="13571" max="13571" width="11" bestFit="1" customWidth="1"/>
    <col min="13572" max="13572" width="12.85546875" bestFit="1" customWidth="1"/>
    <col min="13573" max="13573" width="13.85546875" bestFit="1" customWidth="1"/>
    <col min="13825" max="13825" width="13.85546875" bestFit="1" customWidth="1"/>
    <col min="13826" max="13826" width="15.140625" customWidth="1"/>
    <col min="13827" max="13827" width="11" bestFit="1" customWidth="1"/>
    <col min="13828" max="13828" width="12.85546875" bestFit="1" customWidth="1"/>
    <col min="13829" max="13829" width="13.85546875" bestFit="1" customWidth="1"/>
    <col min="14081" max="14081" width="13.85546875" bestFit="1" customWidth="1"/>
    <col min="14082" max="14082" width="15.140625" customWidth="1"/>
    <col min="14083" max="14083" width="11" bestFit="1" customWidth="1"/>
    <col min="14084" max="14084" width="12.85546875" bestFit="1" customWidth="1"/>
    <col min="14085" max="14085" width="13.85546875" bestFit="1" customWidth="1"/>
    <col min="14337" max="14337" width="13.85546875" bestFit="1" customWidth="1"/>
    <col min="14338" max="14338" width="15.140625" customWidth="1"/>
    <col min="14339" max="14339" width="11" bestFit="1" customWidth="1"/>
    <col min="14340" max="14340" width="12.85546875" bestFit="1" customWidth="1"/>
    <col min="14341" max="14341" width="13.85546875" bestFit="1" customWidth="1"/>
    <col min="14593" max="14593" width="13.85546875" bestFit="1" customWidth="1"/>
    <col min="14594" max="14594" width="15.140625" customWidth="1"/>
    <col min="14595" max="14595" width="11" bestFit="1" customWidth="1"/>
    <col min="14596" max="14596" width="12.85546875" bestFit="1" customWidth="1"/>
    <col min="14597" max="14597" width="13.85546875" bestFit="1" customWidth="1"/>
    <col min="14849" max="14849" width="13.85546875" bestFit="1" customWidth="1"/>
    <col min="14850" max="14850" width="15.140625" customWidth="1"/>
    <col min="14851" max="14851" width="11" bestFit="1" customWidth="1"/>
    <col min="14852" max="14852" width="12.85546875" bestFit="1" customWidth="1"/>
    <col min="14853" max="14853" width="13.85546875" bestFit="1" customWidth="1"/>
    <col min="15105" max="15105" width="13.85546875" bestFit="1" customWidth="1"/>
    <col min="15106" max="15106" width="15.140625" customWidth="1"/>
    <col min="15107" max="15107" width="11" bestFit="1" customWidth="1"/>
    <col min="15108" max="15108" width="12.85546875" bestFit="1" customWidth="1"/>
    <col min="15109" max="15109" width="13.85546875" bestFit="1" customWidth="1"/>
    <col min="15361" max="15361" width="13.85546875" bestFit="1" customWidth="1"/>
    <col min="15362" max="15362" width="15.140625" customWidth="1"/>
    <col min="15363" max="15363" width="11" bestFit="1" customWidth="1"/>
    <col min="15364" max="15364" width="12.85546875" bestFit="1" customWidth="1"/>
    <col min="15365" max="15365" width="13.85546875" bestFit="1" customWidth="1"/>
    <col min="15617" max="15617" width="13.85546875" bestFit="1" customWidth="1"/>
    <col min="15618" max="15618" width="15.140625" customWidth="1"/>
    <col min="15619" max="15619" width="11" bestFit="1" customWidth="1"/>
    <col min="15620" max="15620" width="12.85546875" bestFit="1" customWidth="1"/>
    <col min="15621" max="15621" width="13.85546875" bestFit="1" customWidth="1"/>
    <col min="15873" max="15873" width="13.85546875" bestFit="1" customWidth="1"/>
    <col min="15874" max="15874" width="15.140625" customWidth="1"/>
    <col min="15875" max="15875" width="11" bestFit="1" customWidth="1"/>
    <col min="15876" max="15876" width="12.85546875" bestFit="1" customWidth="1"/>
    <col min="15877" max="15877" width="13.85546875" bestFit="1" customWidth="1"/>
    <col min="16129" max="16129" width="13.85546875" bestFit="1" customWidth="1"/>
    <col min="16130" max="16130" width="15.140625" customWidth="1"/>
    <col min="16131" max="16131" width="11" bestFit="1" customWidth="1"/>
    <col min="16132" max="16132" width="12.85546875" bestFit="1" customWidth="1"/>
    <col min="16133" max="16133" width="13.85546875" bestFit="1" customWidth="1"/>
  </cols>
  <sheetData>
    <row r="1" spans="1:5" x14ac:dyDescent="0.25">
      <c r="E1" s="171" t="s">
        <v>187</v>
      </c>
    </row>
    <row r="2" spans="1:5" ht="15" customHeight="1" x14ac:dyDescent="0.25">
      <c r="C2" s="86" t="s">
        <v>188</v>
      </c>
      <c r="E2" s="171"/>
    </row>
    <row r="3" spans="1:5" x14ac:dyDescent="0.25">
      <c r="A3" s="1" t="s">
        <v>1</v>
      </c>
      <c r="B3" s="87" t="s">
        <v>2</v>
      </c>
      <c r="C3" s="2"/>
      <c r="E3" s="171"/>
    </row>
    <row r="4" spans="1:5" x14ac:dyDescent="0.25">
      <c r="A4" s="1" t="s">
        <v>3</v>
      </c>
      <c r="B4" s="87" t="s">
        <v>4</v>
      </c>
      <c r="C4" s="3"/>
      <c r="E4" s="171"/>
    </row>
    <row r="6" spans="1:5" x14ac:dyDescent="0.25">
      <c r="B6" s="86" t="s">
        <v>189</v>
      </c>
    </row>
    <row r="7" spans="1:5" ht="15.75" thickBot="1" x14ac:dyDescent="0.3">
      <c r="A7" s="4" t="s">
        <v>5</v>
      </c>
      <c r="B7" s="5" t="s">
        <v>190</v>
      </c>
      <c r="C7" s="88"/>
      <c r="D7" s="6" t="s">
        <v>191</v>
      </c>
      <c r="E7" s="6" t="e">
        <f>NORMDIST(C7,C3,C4,1)</f>
        <v>#NUM!</v>
      </c>
    </row>
    <row r="8" spans="1:5" ht="16.5" thickTop="1" thickBot="1" x14ac:dyDescent="0.3">
      <c r="A8" s="4" t="s">
        <v>5</v>
      </c>
      <c r="B8" s="89" t="s">
        <v>192</v>
      </c>
      <c r="C8" s="128"/>
      <c r="D8" s="7" t="s">
        <v>193</v>
      </c>
      <c r="E8" s="7" t="e">
        <f>NORMINV(C8,C3,C4)</f>
        <v>#NUM!</v>
      </c>
    </row>
    <row r="9" spans="1:5" ht="15.75" thickTop="1" x14ac:dyDescent="0.25"/>
    <row r="10" spans="1:5" ht="15.75" thickBot="1" x14ac:dyDescent="0.3">
      <c r="A10" s="86" t="s">
        <v>6</v>
      </c>
    </row>
    <row r="11" spans="1:5" x14ac:dyDescent="0.25">
      <c r="A11" s="8" t="s">
        <v>7</v>
      </c>
      <c r="B11" s="91" t="s">
        <v>8</v>
      </c>
      <c r="C11" s="9" t="s">
        <v>9</v>
      </c>
      <c r="D11" s="10" t="s">
        <v>10</v>
      </c>
      <c r="E11" s="11" t="s">
        <v>6</v>
      </c>
    </row>
    <row r="12" spans="1:5" ht="15.75" thickBot="1" x14ac:dyDescent="0.3">
      <c r="A12" s="92"/>
      <c r="B12" s="9" t="e">
        <f>NORMDIST(A12,$C$3,$C$4,1)</f>
        <v>#NUM!</v>
      </c>
      <c r="C12" s="93"/>
      <c r="D12" s="10" t="e">
        <f>NORMDIST(C12,$C$3,$C$4,1)</f>
        <v>#NUM!</v>
      </c>
      <c r="E12" s="12" t="e">
        <f>D12-B12</f>
        <v>#NUM!</v>
      </c>
    </row>
    <row r="14" spans="1:5" ht="15.75" thickBot="1" x14ac:dyDescent="0.3">
      <c r="A14" s="1" t="s">
        <v>11</v>
      </c>
    </row>
    <row r="15" spans="1:5" x14ac:dyDescent="0.25">
      <c r="A15" s="8" t="s">
        <v>12</v>
      </c>
      <c r="B15" s="1" t="s">
        <v>13</v>
      </c>
      <c r="C15" s="13" t="s">
        <v>14</v>
      </c>
    </row>
    <row r="16" spans="1:5" ht="15.75" thickBot="1" x14ac:dyDescent="0.3">
      <c r="A16" s="92"/>
      <c r="B16" s="1" t="e">
        <f>NORMDIST(A16,C3,C4,1)</f>
        <v>#NUM!</v>
      </c>
      <c r="C16" s="14" t="e">
        <f>1-B16</f>
        <v>#NUM!</v>
      </c>
    </row>
  </sheetData>
  <mergeCells count="1">
    <mergeCell ref="E1:E4"/>
  </mergeCells>
  <conditionalFormatting sqref="C8">
    <cfRule type="expression" dxfId="9" priority="1">
      <formula>OR($C$8&gt;=1,$C$8&lt;=0)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A17" sqref="A17"/>
    </sheetView>
  </sheetViews>
  <sheetFormatPr defaultRowHeight="15" x14ac:dyDescent="0.25"/>
  <cols>
    <col min="1" max="1" width="15.85546875" style="1" bestFit="1" customWidth="1"/>
    <col min="2" max="3" width="12.5703125" style="1" bestFit="1" customWidth="1"/>
    <col min="4" max="4" width="25.5703125" style="1" customWidth="1"/>
    <col min="5" max="5" width="15.85546875" style="1" bestFit="1" customWidth="1"/>
    <col min="6" max="6" width="21.28515625" style="16" customWidth="1"/>
    <col min="7" max="7" width="22.42578125" style="17" customWidth="1"/>
  </cols>
  <sheetData>
    <row r="1" spans="1:7" x14ac:dyDescent="0.25">
      <c r="A1" s="15" t="s">
        <v>194</v>
      </c>
    </row>
    <row r="2" spans="1:7" ht="21" customHeight="1" x14ac:dyDescent="0.25">
      <c r="D2" s="15"/>
      <c r="F2" s="18" t="s">
        <v>15</v>
      </c>
    </row>
    <row r="3" spans="1:7" s="21" customFormat="1" ht="29.25" customHeight="1" x14ac:dyDescent="0.25">
      <c r="A3" s="19"/>
      <c r="B3" s="19"/>
      <c r="C3" s="19" t="s">
        <v>0</v>
      </c>
      <c r="D3" s="20"/>
      <c r="F3" s="22" t="s">
        <v>16</v>
      </c>
      <c r="G3" s="22" t="s">
        <v>17</v>
      </c>
    </row>
    <row r="4" spans="1:7" s="26" customFormat="1" ht="29.25" customHeight="1" x14ac:dyDescent="0.25">
      <c r="A4" s="23" t="s">
        <v>1</v>
      </c>
      <c r="B4" s="24" t="s">
        <v>195</v>
      </c>
      <c r="C4" s="25"/>
      <c r="D4" s="23"/>
      <c r="F4" s="27">
        <v>0.1</v>
      </c>
      <c r="G4" s="28" t="s">
        <v>18</v>
      </c>
    </row>
    <row r="5" spans="1:7" s="26" customFormat="1" ht="59.25" customHeight="1" x14ac:dyDescent="0.25">
      <c r="A5" s="23" t="s">
        <v>3</v>
      </c>
      <c r="B5" s="29" t="s">
        <v>4</v>
      </c>
      <c r="C5" s="30" t="e">
        <f>SQRT(C4*(1-C4)/D3)</f>
        <v>#DIV/0!</v>
      </c>
      <c r="D5" s="23"/>
      <c r="F5" s="28" t="s">
        <v>19</v>
      </c>
      <c r="G5" s="31" t="str">
        <f>IF(AND(D3*C4 &gt;=10,D3*(1-C4)&gt;=10),"YES","NO")</f>
        <v>NO</v>
      </c>
    </row>
    <row r="7" spans="1:7" x14ac:dyDescent="0.25">
      <c r="B7" s="86" t="s">
        <v>196</v>
      </c>
    </row>
    <row r="8" spans="1:7" ht="15.75" thickBot="1" x14ac:dyDescent="0.3">
      <c r="A8" s="4" t="s">
        <v>5</v>
      </c>
      <c r="B8" s="5" t="s">
        <v>190</v>
      </c>
      <c r="C8" s="88"/>
      <c r="D8" s="6" t="s">
        <v>191</v>
      </c>
      <c r="E8" s="6" t="e">
        <f>NORMDIST(C8,C4,C5,1)</f>
        <v>#DIV/0!</v>
      </c>
    </row>
    <row r="9" spans="1:7" ht="16.5" thickTop="1" thickBot="1" x14ac:dyDescent="0.3">
      <c r="A9" s="4" t="s">
        <v>5</v>
      </c>
      <c r="B9" s="89" t="s">
        <v>192</v>
      </c>
      <c r="C9" s="90"/>
      <c r="D9" s="7" t="s">
        <v>193</v>
      </c>
      <c r="E9" s="7" t="e">
        <f>NORMINV(C9,C4,C5)</f>
        <v>#DIV/0!</v>
      </c>
    </row>
    <row r="10" spans="1:7" ht="15.75" thickTop="1" x14ac:dyDescent="0.25"/>
    <row r="11" spans="1:7" ht="15.75" thickBot="1" x14ac:dyDescent="0.3">
      <c r="A11" s="86" t="s">
        <v>6</v>
      </c>
    </row>
    <row r="12" spans="1:7" x14ac:dyDescent="0.25">
      <c r="A12" s="8" t="s">
        <v>7</v>
      </c>
      <c r="B12" s="91" t="s">
        <v>8</v>
      </c>
      <c r="C12" s="9" t="s">
        <v>9</v>
      </c>
      <c r="D12" s="10" t="s">
        <v>10</v>
      </c>
      <c r="E12" s="11" t="s">
        <v>6</v>
      </c>
    </row>
    <row r="13" spans="1:7" ht="15.75" thickBot="1" x14ac:dyDescent="0.3">
      <c r="A13" s="92"/>
      <c r="B13" s="9" t="e">
        <f>NORMDIST(A13,$C$4,$C$5,1)</f>
        <v>#DIV/0!</v>
      </c>
      <c r="C13" s="93"/>
      <c r="D13" s="10" t="e">
        <f>NORMDIST(C13,$C$4,$C$5,1)</f>
        <v>#DIV/0!</v>
      </c>
      <c r="E13" s="12" t="e">
        <f>D13-B13</f>
        <v>#DIV/0!</v>
      </c>
    </row>
    <row r="15" spans="1:7" ht="15.75" thickBot="1" x14ac:dyDescent="0.3">
      <c r="A15" s="1" t="s">
        <v>11</v>
      </c>
    </row>
    <row r="16" spans="1:7" x14ac:dyDescent="0.25">
      <c r="A16" s="8" t="s">
        <v>12</v>
      </c>
      <c r="B16" s="1" t="s">
        <v>13</v>
      </c>
      <c r="C16" s="13" t="s">
        <v>14</v>
      </c>
    </row>
    <row r="17" spans="1:3" ht="15.75" thickBot="1" x14ac:dyDescent="0.3">
      <c r="A17" s="92"/>
      <c r="B17" s="1" t="e">
        <f>NORMDIST(A17,C4,C5,1)</f>
        <v>#DIV/0!</v>
      </c>
      <c r="C17" s="14" t="e">
        <f>1-B17</f>
        <v>#DIV/0!</v>
      </c>
    </row>
  </sheetData>
  <conditionalFormatting sqref="C4">
    <cfRule type="expression" dxfId="8" priority="2" stopIfTrue="1">
      <formula>OR($C$4&gt;=1,$C$4&lt;=0)</formula>
    </cfRule>
  </conditionalFormatting>
  <conditionalFormatting sqref="C9">
    <cfRule type="expression" dxfId="7" priority="1" stopIfTrue="1">
      <formula>OR($C$9&lt;=0,$C$9&gt;=1)</formula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1136" r:id="rId3">
          <objectPr defaultSize="0" autoPict="0" r:id="rId4">
            <anchor moveWithCells="1">
              <from>
                <xdr:col>3</xdr:col>
                <xdr:colOff>371475</xdr:colOff>
                <xdr:row>1</xdr:row>
                <xdr:rowOff>57150</xdr:rowOff>
              </from>
              <to>
                <xdr:col>3</xdr:col>
                <xdr:colOff>685800</xdr:colOff>
                <xdr:row>1</xdr:row>
                <xdr:rowOff>238125</xdr:rowOff>
              </to>
            </anchor>
          </objectPr>
        </oleObject>
      </mc:Choice>
      <mc:Fallback>
        <oleObject progId="Equation.3" shapeId="1136" r:id="rId3"/>
      </mc:Fallback>
    </mc:AlternateContent>
    <mc:AlternateContent xmlns:mc="http://schemas.openxmlformats.org/markup-compatibility/2006">
      <mc:Choice Requires="x14">
        <oleObject progId="Equation.3" shapeId="1137" r:id="rId5">
          <objectPr defaultSize="0" autoPict="0" r:id="rId6">
            <anchor moveWithCells="1">
              <from>
                <xdr:col>3</xdr:col>
                <xdr:colOff>495300</xdr:colOff>
                <xdr:row>3</xdr:row>
                <xdr:rowOff>57150</xdr:rowOff>
              </from>
              <to>
                <xdr:col>3</xdr:col>
                <xdr:colOff>1123950</xdr:colOff>
                <xdr:row>3</xdr:row>
                <xdr:rowOff>361950</xdr:rowOff>
              </to>
            </anchor>
          </objectPr>
        </oleObject>
      </mc:Choice>
      <mc:Fallback>
        <oleObject progId="Equation.3" shapeId="1137" r:id="rId5"/>
      </mc:Fallback>
    </mc:AlternateContent>
    <mc:AlternateContent xmlns:mc="http://schemas.openxmlformats.org/markup-compatibility/2006">
      <mc:Choice Requires="x14">
        <oleObject progId="Equation.3" shapeId="1138" r:id="rId7">
          <objectPr defaultSize="0" autoPict="0" r:id="rId8">
            <anchor moveWithCells="1">
              <from>
                <xdr:col>3</xdr:col>
                <xdr:colOff>190500</xdr:colOff>
                <xdr:row>4</xdr:row>
                <xdr:rowOff>85725</xdr:rowOff>
              </from>
              <to>
                <xdr:col>3</xdr:col>
                <xdr:colOff>1552575</xdr:colOff>
                <xdr:row>4</xdr:row>
                <xdr:rowOff>647700</xdr:rowOff>
              </to>
            </anchor>
          </objectPr>
        </oleObject>
      </mc:Choice>
      <mc:Fallback>
        <oleObject progId="Equation.3" shapeId="1138" r:id="rId7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workbookViewId="0">
      <selection activeCell="A17" sqref="A17"/>
    </sheetView>
  </sheetViews>
  <sheetFormatPr defaultRowHeight="15" x14ac:dyDescent="0.25"/>
  <cols>
    <col min="1" max="1" width="15.85546875" style="1" bestFit="1" customWidth="1"/>
    <col min="2" max="3" width="12.5703125" style="1" bestFit="1" customWidth="1"/>
    <col min="4" max="4" width="20.5703125" style="1" customWidth="1"/>
    <col min="5" max="5" width="15.85546875" style="1" bestFit="1" customWidth="1"/>
  </cols>
  <sheetData>
    <row r="1" spans="1:5" x14ac:dyDescent="0.25">
      <c r="A1" s="15" t="s">
        <v>197</v>
      </c>
    </row>
    <row r="2" spans="1:5" ht="21" customHeight="1" x14ac:dyDescent="0.25">
      <c r="D2" s="15"/>
      <c r="E2" s="1" t="s">
        <v>20</v>
      </c>
    </row>
    <row r="3" spans="1:5" s="21" customFormat="1" ht="15.75" x14ac:dyDescent="0.25">
      <c r="A3" s="19"/>
      <c r="B3" s="19"/>
      <c r="C3" s="19" t="s">
        <v>0</v>
      </c>
      <c r="D3" s="20"/>
      <c r="E3" s="20"/>
    </row>
    <row r="4" spans="1:5" s="26" customFormat="1" ht="27" customHeight="1" x14ac:dyDescent="0.25">
      <c r="A4" s="23" t="s">
        <v>1</v>
      </c>
      <c r="B4" s="24" t="s">
        <v>195</v>
      </c>
      <c r="C4" s="25"/>
      <c r="D4" s="15"/>
      <c r="E4" s="23"/>
    </row>
    <row r="5" spans="1:5" s="26" customFormat="1" ht="51.75" customHeight="1" x14ac:dyDescent="0.25">
      <c r="A5" s="23" t="s">
        <v>3</v>
      </c>
      <c r="B5" s="29" t="s">
        <v>4</v>
      </c>
      <c r="C5" s="30" t="e">
        <f>E3/SQRT(D3)</f>
        <v>#DIV/0!</v>
      </c>
      <c r="D5" s="23"/>
      <c r="E5" s="23"/>
    </row>
    <row r="7" spans="1:5" x14ac:dyDescent="0.25">
      <c r="B7" s="86" t="s">
        <v>198</v>
      </c>
    </row>
    <row r="8" spans="1:5" ht="15.75" thickBot="1" x14ac:dyDescent="0.3">
      <c r="A8" s="4" t="s">
        <v>5</v>
      </c>
      <c r="B8" s="5" t="s">
        <v>190</v>
      </c>
      <c r="C8" s="88"/>
      <c r="D8" s="6" t="s">
        <v>191</v>
      </c>
      <c r="E8" s="6" t="e">
        <f>NORMDIST(C8,C4,C5,1)</f>
        <v>#DIV/0!</v>
      </c>
    </row>
    <row r="9" spans="1:5" ht="16.5" thickTop="1" thickBot="1" x14ac:dyDescent="0.3">
      <c r="A9" s="4" t="s">
        <v>5</v>
      </c>
      <c r="B9" s="89" t="s">
        <v>192</v>
      </c>
      <c r="C9" s="90"/>
      <c r="D9" s="7" t="s">
        <v>193</v>
      </c>
      <c r="E9" s="7" t="e">
        <f>NORMINV(C9,C4,C5)</f>
        <v>#DIV/0!</v>
      </c>
    </row>
    <row r="10" spans="1:5" ht="15.75" thickTop="1" x14ac:dyDescent="0.25"/>
    <row r="11" spans="1:5" ht="15.75" thickBot="1" x14ac:dyDescent="0.3">
      <c r="A11" s="86" t="s">
        <v>6</v>
      </c>
    </row>
    <row r="12" spans="1:5" x14ac:dyDescent="0.25">
      <c r="A12" s="8" t="s">
        <v>7</v>
      </c>
      <c r="B12" s="91" t="s">
        <v>8</v>
      </c>
      <c r="C12" s="9" t="s">
        <v>9</v>
      </c>
      <c r="D12" s="10" t="s">
        <v>10</v>
      </c>
      <c r="E12" s="11" t="s">
        <v>6</v>
      </c>
    </row>
    <row r="13" spans="1:5" ht="15.75" thickBot="1" x14ac:dyDescent="0.3">
      <c r="A13" s="92"/>
      <c r="B13" s="9" t="e">
        <f>NORMDIST(A13,$C$4,$C$5,1)</f>
        <v>#DIV/0!</v>
      </c>
      <c r="C13" s="93"/>
      <c r="D13" s="10" t="e">
        <f>NORMDIST(C13,$C$4,$C$5,1)</f>
        <v>#DIV/0!</v>
      </c>
      <c r="E13" s="12" t="e">
        <f>D13-B13</f>
        <v>#DIV/0!</v>
      </c>
    </row>
    <row r="15" spans="1:5" ht="15.75" thickBot="1" x14ac:dyDescent="0.3">
      <c r="A15" s="1" t="s">
        <v>11</v>
      </c>
    </row>
    <row r="16" spans="1:5" x14ac:dyDescent="0.25">
      <c r="A16" s="8" t="s">
        <v>12</v>
      </c>
      <c r="B16" s="1" t="s">
        <v>13</v>
      </c>
      <c r="C16" s="13" t="s">
        <v>14</v>
      </c>
    </row>
    <row r="17" spans="1:3" ht="15.75" thickBot="1" x14ac:dyDescent="0.3">
      <c r="A17" s="92"/>
      <c r="B17" s="1" t="e">
        <f>NORMDIST(A17,C4,C5,1)</f>
        <v>#DIV/0!</v>
      </c>
      <c r="C17" s="14" t="e">
        <f>1-B17</f>
        <v>#DIV/0!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160" r:id="rId4">
          <objectPr defaultSize="0" autoPict="0" r:id="rId5">
            <anchor moveWithCells="1">
              <from>
                <xdr:col>3</xdr:col>
                <xdr:colOff>295275</xdr:colOff>
                <xdr:row>1</xdr:row>
                <xdr:rowOff>47625</xdr:rowOff>
              </from>
              <to>
                <xdr:col>3</xdr:col>
                <xdr:colOff>609600</xdr:colOff>
                <xdr:row>1</xdr:row>
                <xdr:rowOff>228600</xdr:rowOff>
              </to>
            </anchor>
          </objectPr>
        </oleObject>
      </mc:Choice>
      <mc:Fallback>
        <oleObject progId="Equation.3" shapeId="2160" r:id="rId4"/>
      </mc:Fallback>
    </mc:AlternateContent>
    <mc:AlternateContent xmlns:mc="http://schemas.openxmlformats.org/markup-compatibility/2006">
      <mc:Choice Requires="x14">
        <oleObject progId="Equation.3" shapeId="2161" r:id="rId6">
          <objectPr defaultSize="0" autoPict="0" r:id="rId7">
            <anchor moveWithCells="1">
              <from>
                <xdr:col>3</xdr:col>
                <xdr:colOff>238125</xdr:colOff>
                <xdr:row>3</xdr:row>
                <xdr:rowOff>47625</xdr:rowOff>
              </from>
              <to>
                <xdr:col>3</xdr:col>
                <xdr:colOff>838200</xdr:colOff>
                <xdr:row>3</xdr:row>
                <xdr:rowOff>333375</xdr:rowOff>
              </to>
            </anchor>
          </objectPr>
        </oleObject>
      </mc:Choice>
      <mc:Fallback>
        <oleObject progId="Equation.3" shapeId="2161" r:id="rId6"/>
      </mc:Fallback>
    </mc:AlternateContent>
    <mc:AlternateContent xmlns:mc="http://schemas.openxmlformats.org/markup-compatibility/2006">
      <mc:Choice Requires="x14">
        <oleObject progId="Equation.3" shapeId="2162" r:id="rId8">
          <objectPr defaultSize="0" autoPict="0" r:id="rId9">
            <anchor moveWithCells="1">
              <from>
                <xdr:col>3</xdr:col>
                <xdr:colOff>238125</xdr:colOff>
                <xdr:row>4</xdr:row>
                <xdr:rowOff>57150</xdr:rowOff>
              </from>
              <to>
                <xdr:col>3</xdr:col>
                <xdr:colOff>1000125</xdr:colOff>
                <xdr:row>4</xdr:row>
                <xdr:rowOff>581025</xdr:rowOff>
              </to>
            </anchor>
          </objectPr>
        </oleObject>
      </mc:Choice>
      <mc:Fallback>
        <oleObject progId="Equation.3" shapeId="2162" r:id="rId8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J23" sqref="J23"/>
    </sheetView>
  </sheetViews>
  <sheetFormatPr defaultRowHeight="15" x14ac:dyDescent="0.25"/>
  <cols>
    <col min="2" max="2" width="7.28515625" customWidth="1"/>
  </cols>
  <sheetData>
    <row r="1" spans="1:6" x14ac:dyDescent="0.25">
      <c r="A1" t="s">
        <v>231</v>
      </c>
    </row>
    <row r="3" spans="1:6" x14ac:dyDescent="0.25">
      <c r="A3" s="104" t="s">
        <v>232</v>
      </c>
      <c r="B3" s="105"/>
    </row>
    <row r="4" spans="1:6" x14ac:dyDescent="0.25">
      <c r="A4" s="106" t="s">
        <v>232</v>
      </c>
      <c r="B4" s="105"/>
    </row>
    <row r="5" spans="1:6" x14ac:dyDescent="0.25">
      <c r="A5" s="106" t="s">
        <v>4</v>
      </c>
      <c r="B5" s="105"/>
    </row>
    <row r="7" spans="1:6" x14ac:dyDescent="0.25">
      <c r="A7" s="107" t="s">
        <v>233</v>
      </c>
      <c r="C7" s="82">
        <f>B3*B4</f>
        <v>0</v>
      </c>
    </row>
    <row r="8" spans="1:6" x14ac:dyDescent="0.25">
      <c r="A8" s="108" t="s">
        <v>234</v>
      </c>
      <c r="C8" s="82">
        <f>SQRT(B3)*B5</f>
        <v>0</v>
      </c>
    </row>
    <row r="10" spans="1:6" x14ac:dyDescent="0.25">
      <c r="A10" s="109" t="s">
        <v>235</v>
      </c>
    </row>
    <row r="12" spans="1:6" x14ac:dyDescent="0.25">
      <c r="A12" s="107" t="s">
        <v>236</v>
      </c>
      <c r="B12" s="110"/>
      <c r="C12" s="107" t="s">
        <v>237</v>
      </c>
      <c r="D12" s="110"/>
      <c r="E12" t="s">
        <v>238</v>
      </c>
      <c r="F12" s="110"/>
    </row>
    <row r="13" spans="1:6" x14ac:dyDescent="0.25">
      <c r="A13" s="108" t="s">
        <v>239</v>
      </c>
      <c r="B13" s="110"/>
      <c r="C13" s="108" t="s">
        <v>240</v>
      </c>
      <c r="D13" s="110"/>
      <c r="E13" t="s">
        <v>241</v>
      </c>
      <c r="F13" s="110"/>
    </row>
    <row r="15" spans="1:6" x14ac:dyDescent="0.25">
      <c r="A15" s="107" t="s">
        <v>242</v>
      </c>
      <c r="C15" s="82">
        <f>F12*B12+F13*D12</f>
        <v>0</v>
      </c>
    </row>
    <row r="16" spans="1:6" x14ac:dyDescent="0.25">
      <c r="A16" s="107" t="s">
        <v>243</v>
      </c>
      <c r="C16" s="82">
        <f>SQRT(F12^2*B13^2+F13^2*D13^2)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42"/>
  <sheetViews>
    <sheetView workbookViewId="0">
      <selection activeCell="Q34" sqref="Q34"/>
    </sheetView>
  </sheetViews>
  <sheetFormatPr defaultColWidth="9.140625" defaultRowHeight="14.25" x14ac:dyDescent="0.2"/>
  <cols>
    <col min="1" max="1" width="2.42578125" style="32" customWidth="1"/>
    <col min="2" max="2" width="9.140625" style="32"/>
    <col min="3" max="3" width="3.85546875" style="32" customWidth="1"/>
    <col min="4" max="4" width="9.140625" style="32"/>
    <col min="5" max="5" width="3.5703125" style="32" customWidth="1"/>
    <col min="6" max="12" width="9.140625" style="32"/>
    <col min="13" max="13" width="18.140625" style="32" customWidth="1"/>
    <col min="14" max="14" width="9.140625" style="32"/>
    <col min="15" max="15" width="4.7109375" style="32" customWidth="1"/>
    <col min="16" max="16" width="16.5703125" style="32" customWidth="1"/>
    <col min="17" max="16384" width="9.140625" style="32"/>
  </cols>
  <sheetData>
    <row r="1" spans="2:19" ht="15" thickBot="1" x14ac:dyDescent="0.25">
      <c r="M1" s="46" t="s">
        <v>52</v>
      </c>
      <c r="N1" s="47"/>
      <c r="O1" s="48"/>
      <c r="P1" s="47"/>
      <c r="Q1" s="46"/>
      <c r="R1" s="46"/>
      <c r="S1" s="46"/>
    </row>
    <row r="2" spans="2:19" s="33" customFormat="1" ht="15.75" thickBot="1" x14ac:dyDescent="0.3">
      <c r="B2" s="33" t="s">
        <v>21</v>
      </c>
      <c r="D2" s="34"/>
      <c r="E2" s="33" t="s">
        <v>22</v>
      </c>
      <c r="F2" s="33" t="s">
        <v>23</v>
      </c>
      <c r="M2"/>
      <c r="N2" s="1"/>
      <c r="O2" s="49"/>
      <c r="P2" s="1"/>
      <c r="Q2"/>
      <c r="R2"/>
      <c r="S2"/>
    </row>
    <row r="3" spans="2:19" ht="15.75" x14ac:dyDescent="0.3">
      <c r="M3" t="s">
        <v>53</v>
      </c>
      <c r="N3" s="1" t="s">
        <v>54</v>
      </c>
      <c r="O3" s="49" t="s">
        <v>55</v>
      </c>
      <c r="P3" s="1" t="s">
        <v>46</v>
      </c>
      <c r="Q3" s="50"/>
      <c r="R3"/>
      <c r="S3"/>
    </row>
    <row r="4" spans="2:19" ht="24" customHeight="1" x14ac:dyDescent="0.3">
      <c r="B4" s="35" t="s">
        <v>24</v>
      </c>
      <c r="D4" s="32">
        <f>1-D2/100</f>
        <v>1</v>
      </c>
      <c r="M4" t="s">
        <v>56</v>
      </c>
      <c r="N4" s="1" t="s">
        <v>57</v>
      </c>
      <c r="O4" s="49" t="s">
        <v>55</v>
      </c>
      <c r="P4" s="55"/>
      <c r="Q4">
        <f>Q3</f>
        <v>0</v>
      </c>
      <c r="R4"/>
      <c r="S4"/>
    </row>
    <row r="5" spans="2:19" ht="15" x14ac:dyDescent="0.25">
      <c r="B5" s="35" t="s">
        <v>25</v>
      </c>
      <c r="D5" s="32">
        <f>D4/2</f>
        <v>0.5</v>
      </c>
      <c r="M5"/>
      <c r="N5" s="1"/>
      <c r="O5" s="49"/>
      <c r="P5" s="1"/>
      <c r="Q5"/>
      <c r="R5"/>
      <c r="S5"/>
    </row>
    <row r="6" spans="2:19" ht="15" x14ac:dyDescent="0.25">
      <c r="B6" s="32" t="s">
        <v>26</v>
      </c>
      <c r="D6" s="32">
        <f>1-D5</f>
        <v>0.5</v>
      </c>
      <c r="M6" s="46" t="s">
        <v>58</v>
      </c>
      <c r="N6" s="47"/>
      <c r="O6" s="48"/>
      <c r="P6" s="47"/>
      <c r="Q6" s="46"/>
      <c r="R6" s="46"/>
      <c r="S6" s="46"/>
    </row>
    <row r="7" spans="2:19" x14ac:dyDescent="0.2">
      <c r="M7" s="46"/>
      <c r="N7" s="47"/>
      <c r="O7" s="48"/>
      <c r="P7" s="47"/>
      <c r="Q7" s="46"/>
      <c r="R7" s="46"/>
      <c r="S7" s="46"/>
    </row>
    <row r="8" spans="2:19" ht="18.75" x14ac:dyDescent="0.35">
      <c r="B8" s="32" t="s">
        <v>27</v>
      </c>
      <c r="D8" s="32">
        <f>NORMINV(D6,0,1)</f>
        <v>0</v>
      </c>
      <c r="M8" s="1"/>
      <c r="N8" s="1" t="s">
        <v>59</v>
      </c>
      <c r="O8"/>
      <c r="P8"/>
      <c r="Q8"/>
      <c r="R8"/>
      <c r="S8"/>
    </row>
    <row r="9" spans="2:19" ht="15" x14ac:dyDescent="0.25">
      <c r="M9" s="1" t="s">
        <v>60</v>
      </c>
      <c r="N9"/>
      <c r="O9"/>
      <c r="P9" s="1"/>
      <c r="Q9"/>
      <c r="R9"/>
      <c r="S9"/>
    </row>
    <row r="10" spans="2:19" ht="15" x14ac:dyDescent="0.25">
      <c r="B10" s="32" t="s">
        <v>28</v>
      </c>
      <c r="D10" s="36"/>
      <c r="F10" s="32" t="s">
        <v>29</v>
      </c>
      <c r="M10" s="1" t="s">
        <v>16</v>
      </c>
      <c r="N10"/>
      <c r="O10"/>
      <c r="P10" s="1"/>
      <c r="Q10"/>
      <c r="R10"/>
      <c r="S10"/>
    </row>
    <row r="11" spans="2:19" ht="15" x14ac:dyDescent="0.25">
      <c r="B11" s="32" t="s">
        <v>30</v>
      </c>
      <c r="D11" s="36"/>
      <c r="M11" s="1" t="s">
        <v>61</v>
      </c>
      <c r="N11"/>
      <c r="O11"/>
      <c r="P11" t="s">
        <v>30</v>
      </c>
      <c r="Q11"/>
      <c r="R11"/>
      <c r="S11"/>
    </row>
    <row r="12" spans="2:19" ht="15" x14ac:dyDescent="0.25">
      <c r="M12" s="1" t="s">
        <v>62</v>
      </c>
      <c r="N12"/>
      <c r="O12"/>
      <c r="P12" s="50"/>
      <c r="Q12"/>
      <c r="R12"/>
      <c r="S12"/>
    </row>
    <row r="13" spans="2:19" ht="15" x14ac:dyDescent="0.25">
      <c r="B13" s="32" t="s">
        <v>31</v>
      </c>
      <c r="M13" s="1"/>
      <c r="N13"/>
      <c r="O13"/>
      <c r="P13"/>
      <c r="Q13"/>
      <c r="R13"/>
      <c r="S13"/>
    </row>
    <row r="14" spans="2:19" ht="15" x14ac:dyDescent="0.25">
      <c r="D14" s="32" t="s">
        <v>32</v>
      </c>
      <c r="F14" s="32" t="e">
        <f>$D$8*SQRT($D$10*(1-$D$10)/$D$11)</f>
        <v>#DIV/0!</v>
      </c>
      <c r="H14" s="32" t="s">
        <v>33</v>
      </c>
      <c r="M14" s="15" t="s">
        <v>63</v>
      </c>
      <c r="N14"/>
      <c r="O14"/>
      <c r="P14"/>
      <c r="Q14"/>
      <c r="R14"/>
      <c r="S14"/>
    </row>
    <row r="15" spans="2:19" ht="15" x14ac:dyDescent="0.25">
      <c r="D15" s="32" t="s">
        <v>34</v>
      </c>
      <c r="F15" s="32" t="e">
        <f>$D$10-$D$8*SQRT($D$10*(1-$D$10)/$D$11)</f>
        <v>#DIV/0!</v>
      </c>
      <c r="H15" s="32" t="s">
        <v>35</v>
      </c>
      <c r="M15" s="1"/>
      <c r="N15"/>
      <c r="O15"/>
      <c r="P15"/>
      <c r="Q15"/>
      <c r="R15"/>
      <c r="S15"/>
    </row>
    <row r="16" spans="2:19" ht="15.75" x14ac:dyDescent="0.3">
      <c r="D16" s="32" t="s">
        <v>36</v>
      </c>
      <c r="F16" s="32" t="e">
        <f>$D$10+$D$8*SQRT($D$10*(1-$D$10)/D$11)</f>
        <v>#DIV/0!</v>
      </c>
      <c r="H16" s="32" t="s">
        <v>37</v>
      </c>
      <c r="M16" s="15" t="s">
        <v>64</v>
      </c>
      <c r="N16" s="1"/>
      <c r="O16" s="49"/>
      <c r="P16" s="15" t="s">
        <v>65</v>
      </c>
      <c r="Q16"/>
      <c r="R16"/>
      <c r="S16"/>
    </row>
    <row r="17" spans="2:19" ht="15.75" thickBot="1" x14ac:dyDescent="0.3">
      <c r="M17"/>
      <c r="N17" s="1"/>
      <c r="O17" s="49"/>
      <c r="P17" s="1"/>
      <c r="Q17"/>
      <c r="R17"/>
      <c r="S17"/>
    </row>
    <row r="18" spans="2:19" ht="15" x14ac:dyDescent="0.25">
      <c r="B18" s="37" t="s">
        <v>38</v>
      </c>
      <c r="C18" s="38"/>
      <c r="D18" s="38">
        <f>D2</f>
        <v>0</v>
      </c>
      <c r="E18" s="38" t="s">
        <v>22</v>
      </c>
      <c r="F18" s="38" t="s">
        <v>39</v>
      </c>
      <c r="G18" s="38"/>
      <c r="H18" s="38"/>
      <c r="I18" s="38"/>
      <c r="J18" s="38"/>
      <c r="K18" s="39"/>
      <c r="M18" s="49" t="s">
        <v>66</v>
      </c>
      <c r="N18" s="1">
        <f>Q3</f>
        <v>0</v>
      </c>
      <c r="O18" s="49"/>
      <c r="P18" s="1"/>
      <c r="Q18"/>
      <c r="R18"/>
      <c r="S18"/>
    </row>
    <row r="19" spans="2:19" ht="15.75" thickBot="1" x14ac:dyDescent="0.3">
      <c r="B19" s="40"/>
      <c r="C19" s="41" t="s">
        <v>40</v>
      </c>
      <c r="D19" s="42" t="e">
        <f>$D$10-$D$8*SQRT($D$10*(1-$D$10)/$D$11)</f>
        <v>#DIV/0!</v>
      </c>
      <c r="E19" s="42" t="s">
        <v>41</v>
      </c>
      <c r="F19" s="42" t="e">
        <f>$D$10+$D$8*SQRT($D$10*(1-$D$10)/D$11)</f>
        <v>#DIV/0!</v>
      </c>
      <c r="G19" s="42" t="s">
        <v>42</v>
      </c>
      <c r="H19" s="42"/>
      <c r="I19" s="42"/>
      <c r="J19" s="42"/>
      <c r="K19" s="43"/>
      <c r="M19" s="49" t="s">
        <v>67</v>
      </c>
      <c r="N19" s="1" t="e">
        <f>SQRT(Q3*(1-Q3)/P12)</f>
        <v>#DIV/0!</v>
      </c>
      <c r="O19" s="49"/>
      <c r="P19" s="1"/>
      <c r="Q19"/>
      <c r="R19"/>
      <c r="S19"/>
    </row>
    <row r="20" spans="2:19" ht="15" x14ac:dyDescent="0.25">
      <c r="M20"/>
      <c r="N20" s="1"/>
      <c r="O20" s="49"/>
      <c r="P20" s="1"/>
      <c r="Q20"/>
      <c r="R20"/>
      <c r="S20"/>
    </row>
    <row r="21" spans="2:19" ht="15" x14ac:dyDescent="0.25">
      <c r="B21" s="33" t="s">
        <v>43</v>
      </c>
      <c r="M21" s="46" t="s">
        <v>68</v>
      </c>
      <c r="N21" s="47"/>
      <c r="O21" s="48"/>
      <c r="P21" s="47"/>
      <c r="Q21" s="46"/>
      <c r="R21" s="46"/>
      <c r="S21" s="46"/>
    </row>
    <row r="22" spans="2:19" ht="15" x14ac:dyDescent="0.25">
      <c r="M22"/>
      <c r="N22" s="1"/>
      <c r="O22" s="49"/>
      <c r="P22" s="1"/>
      <c r="Q22"/>
      <c r="R22"/>
      <c r="S22"/>
    </row>
    <row r="23" spans="2:19" ht="15" x14ac:dyDescent="0.25">
      <c r="B23" s="32" t="s">
        <v>44</v>
      </c>
      <c r="F23" s="36"/>
      <c r="M23" t="s">
        <v>69</v>
      </c>
      <c r="N23" s="50">
        <v>0.25</v>
      </c>
      <c r="O23" s="49"/>
      <c r="P23" s="15" t="s">
        <v>70</v>
      </c>
      <c r="Q23"/>
      <c r="R23"/>
      <c r="S23"/>
    </row>
    <row r="24" spans="2:19" ht="15" x14ac:dyDescent="0.25">
      <c r="B24" s="32" t="s">
        <v>45</v>
      </c>
      <c r="F24" s="36"/>
      <c r="G24" s="32" t="s">
        <v>22</v>
      </c>
      <c r="M24"/>
      <c r="N24" s="1"/>
      <c r="O24" s="49"/>
      <c r="P24" s="1"/>
      <c r="Q24"/>
      <c r="R24"/>
      <c r="S24"/>
    </row>
    <row r="25" spans="2:19" ht="15" x14ac:dyDescent="0.25">
      <c r="M25" t="s">
        <v>71</v>
      </c>
      <c r="N25" s="1"/>
      <c r="O25" s="49"/>
      <c r="P25" s="1"/>
      <c r="Q25"/>
      <c r="R25"/>
      <c r="S25"/>
    </row>
    <row r="26" spans="2:19" ht="18.75" x14ac:dyDescent="0.35">
      <c r="B26" s="32" t="s">
        <v>27</v>
      </c>
      <c r="C26" s="32" t="s">
        <v>46</v>
      </c>
      <c r="D26" s="32">
        <f>NORMINV(1-(1-F24/100)/2,0,1)</f>
        <v>0</v>
      </c>
      <c r="G26" s="32" t="s">
        <v>47</v>
      </c>
      <c r="M26" t="s">
        <v>72</v>
      </c>
      <c r="N26" s="52" t="e">
        <f>(N23-Q3)/(N19)</f>
        <v>#DIV/0!</v>
      </c>
      <c r="O26" s="49"/>
      <c r="P26" s="1"/>
      <c r="Q26"/>
      <c r="R26"/>
      <c r="S26"/>
    </row>
    <row r="27" spans="2:19" ht="15" x14ac:dyDescent="0.25">
      <c r="B27" s="32" t="s">
        <v>48</v>
      </c>
      <c r="D27" s="36"/>
      <c r="G27" s="32" t="s">
        <v>51</v>
      </c>
      <c r="M27"/>
      <c r="N27" s="1"/>
      <c r="O27" s="49"/>
      <c r="P27" s="1"/>
      <c r="Q27"/>
      <c r="R27"/>
      <c r="S27"/>
    </row>
    <row r="28" spans="2:19" ht="15.75" x14ac:dyDescent="0.3">
      <c r="M28" t="s">
        <v>73</v>
      </c>
      <c r="N28" s="1"/>
      <c r="O28" s="49"/>
      <c r="P28" s="1"/>
      <c r="Q28"/>
      <c r="R28"/>
      <c r="S28"/>
    </row>
    <row r="29" spans="2:19" ht="18.75" x14ac:dyDescent="0.35">
      <c r="B29" s="44" t="s">
        <v>49</v>
      </c>
      <c r="C29" s="172" t="e">
        <f>(D26/F23)^2*(D27*(1-D27))</f>
        <v>#DIV/0!</v>
      </c>
      <c r="D29" s="172"/>
      <c r="F29" s="45" t="s">
        <v>50</v>
      </c>
      <c r="G29" s="173" t="e">
        <f>(D26/F23)^2*0.5^2</f>
        <v>#DIV/0!</v>
      </c>
      <c r="H29" s="173"/>
      <c r="M29"/>
      <c r="N29" s="53" t="s">
        <v>74</v>
      </c>
      <c r="O29" s="49"/>
      <c r="P29" s="1"/>
      <c r="Q29"/>
      <c r="R29"/>
      <c r="S29"/>
    </row>
    <row r="30" spans="2:19" ht="15" x14ac:dyDescent="0.25">
      <c r="M30"/>
      <c r="N30" s="53" t="e">
        <f>IF(Sheet3!A4=1,NORMDIST(N26,0,1,1),IF(Sheet3!A4=2,1-NORMDIST(N26,0,1,1), IF(N23&gt;Q3, 2*(1-NORMDIST(N26,0,1,1)),2*NORMDIST(N26,0,1,1))))</f>
        <v>#DIV/0!</v>
      </c>
      <c r="O30" s="49"/>
      <c r="P30" s="1"/>
      <c r="Q30"/>
      <c r="R30"/>
      <c r="S30"/>
    </row>
    <row r="31" spans="2:19" ht="15" x14ac:dyDescent="0.25">
      <c r="B31" s="33" t="s">
        <v>244</v>
      </c>
      <c r="C31" s="111"/>
      <c r="D31" s="111"/>
      <c r="E31" s="111"/>
      <c r="F31" s="111"/>
      <c r="G31" s="111"/>
      <c r="H31" s="111"/>
      <c r="M31"/>
      <c r="N31" s="1"/>
      <c r="O31" s="49"/>
      <c r="P31" s="1"/>
      <c r="Q31"/>
      <c r="R31"/>
      <c r="S31"/>
    </row>
    <row r="32" spans="2:19" x14ac:dyDescent="0.2">
      <c r="B32" s="111"/>
      <c r="C32" s="111"/>
      <c r="D32" s="111"/>
      <c r="E32" s="111"/>
      <c r="F32" s="111"/>
      <c r="G32" s="111"/>
      <c r="H32" s="111"/>
      <c r="M32" s="46" t="s">
        <v>75</v>
      </c>
      <c r="N32" s="47"/>
      <c r="O32" s="48"/>
      <c r="P32" s="47"/>
      <c r="Q32" s="46"/>
      <c r="R32" s="46"/>
      <c r="S32" s="46"/>
    </row>
    <row r="33" spans="2:19" ht="15" x14ac:dyDescent="0.25">
      <c r="B33" s="32" t="s">
        <v>245</v>
      </c>
      <c r="C33" s="111"/>
      <c r="D33" s="112"/>
      <c r="E33" s="111"/>
      <c r="F33" s="111"/>
      <c r="G33" s="111"/>
      <c r="H33" s="111"/>
      <c r="M33"/>
      <c r="N33" s="1"/>
      <c r="O33" s="49"/>
      <c r="P33" s="1"/>
      <c r="Q33"/>
      <c r="R33"/>
      <c r="S33"/>
    </row>
    <row r="34" spans="2:19" ht="15" x14ac:dyDescent="0.25">
      <c r="B34" s="32" t="s">
        <v>246</v>
      </c>
      <c r="C34" s="111"/>
      <c r="D34" s="112"/>
      <c r="E34" s="111"/>
      <c r="F34" s="111"/>
      <c r="G34" s="111"/>
      <c r="H34" s="111"/>
      <c r="M34" t="s">
        <v>76</v>
      </c>
      <c r="N34" s="15" t="s">
        <v>77</v>
      </c>
      <c r="O34" s="49"/>
      <c r="P34" s="1"/>
      <c r="Q34" s="50"/>
      <c r="R34"/>
      <c r="S34"/>
    </row>
    <row r="35" spans="2:19" ht="15" x14ac:dyDescent="0.25">
      <c r="B35" s="32" t="s">
        <v>247</v>
      </c>
      <c r="C35" s="111"/>
      <c r="D35" s="112"/>
      <c r="E35" s="111"/>
      <c r="F35" s="111"/>
      <c r="G35" s="111"/>
      <c r="H35" s="111"/>
      <c r="M35"/>
      <c r="N35" s="1"/>
      <c r="O35" s="49"/>
      <c r="P35" s="1"/>
      <c r="Q35"/>
      <c r="R35"/>
      <c r="S35"/>
    </row>
    <row r="36" spans="2:19" ht="15.75" x14ac:dyDescent="0.3">
      <c r="B36" s="111"/>
      <c r="C36" s="111"/>
      <c r="D36" s="111"/>
      <c r="E36" s="111"/>
      <c r="F36" s="111"/>
      <c r="G36" s="111"/>
      <c r="H36" s="111"/>
      <c r="M36"/>
      <c r="N36" s="1"/>
      <c r="O36" s="49"/>
      <c r="P36" s="52" t="e">
        <f>IF(N30&lt;Q34,"Reject","Fail to reject")</f>
        <v>#DIV/0!</v>
      </c>
      <c r="Q36" s="52" t="s">
        <v>78</v>
      </c>
      <c r="R36"/>
      <c r="S36"/>
    </row>
    <row r="37" spans="2:19" ht="18.75" x14ac:dyDescent="0.35">
      <c r="B37" s="111" t="s">
        <v>27</v>
      </c>
      <c r="C37" s="32" t="s">
        <v>46</v>
      </c>
      <c r="D37" s="113" t="e">
        <f>D33*SQRT(D34/(D35*(1-D35)))</f>
        <v>#DIV/0!</v>
      </c>
      <c r="E37" s="111"/>
      <c r="F37" s="32" t="s">
        <v>248</v>
      </c>
      <c r="G37" s="111"/>
      <c r="H37" s="111"/>
      <c r="M37"/>
      <c r="N37" s="1"/>
      <c r="O37" s="49"/>
      <c r="P37" s="1"/>
      <c r="Q37"/>
      <c r="R37"/>
      <c r="S37"/>
    </row>
    <row r="38" spans="2:19" ht="15" x14ac:dyDescent="0.25">
      <c r="B38" s="111"/>
      <c r="C38" s="111"/>
      <c r="D38" s="111"/>
      <c r="E38" s="111"/>
      <c r="F38" s="111"/>
      <c r="G38" s="111"/>
      <c r="H38" s="111"/>
      <c r="M38" t="s">
        <v>79</v>
      </c>
      <c r="N38" s="1" t="s">
        <v>80</v>
      </c>
      <c r="O38" s="49"/>
      <c r="P38" s="1"/>
      <c r="Q38"/>
      <c r="R38"/>
      <c r="S38"/>
    </row>
    <row r="39" spans="2:19" ht="18.75" x14ac:dyDescent="0.35">
      <c r="B39" s="32" t="s">
        <v>249</v>
      </c>
      <c r="C39" s="111" t="s">
        <v>27</v>
      </c>
      <c r="D39" s="114" t="e">
        <f>NORMDIST(D37,0,1,1)</f>
        <v>#DIV/0!</v>
      </c>
      <c r="E39" s="111"/>
      <c r="F39" s="115" t="s">
        <v>26</v>
      </c>
      <c r="G39" s="111"/>
      <c r="H39" s="111"/>
      <c r="M39"/>
      <c r="N39" s="52" t="e">
        <f>IF(N30&lt;Q34,"is","is not")</f>
        <v>#DIV/0!</v>
      </c>
      <c r="O39" s="49"/>
      <c r="P39" s="52" t="e">
        <f>IF(AND(N30&lt;Q34,N30&lt;0.01),"strong",IF(AND(N30&lt;Q34,N30&lt;0.1,N30&gt;0.05),"weak",""))</f>
        <v>#DIV/0!</v>
      </c>
      <c r="Q39"/>
      <c r="R39"/>
      <c r="S39"/>
    </row>
    <row r="40" spans="2:19" ht="15" x14ac:dyDescent="0.25">
      <c r="B40" s="32" t="s">
        <v>250</v>
      </c>
      <c r="C40" s="111"/>
      <c r="D40" s="111" t="e">
        <f>1-D39</f>
        <v>#DIV/0!</v>
      </c>
      <c r="E40" s="111"/>
      <c r="F40" s="111"/>
      <c r="G40" s="111"/>
      <c r="H40" s="111"/>
      <c r="M40"/>
      <c r="N40" s="15" t="s">
        <v>81</v>
      </c>
      <c r="O40" s="49"/>
      <c r="P40" s="1"/>
      <c r="Q40"/>
      <c r="R40"/>
      <c r="S40"/>
    </row>
    <row r="41" spans="2:19" ht="15" x14ac:dyDescent="0.25">
      <c r="B41" s="35" t="s">
        <v>251</v>
      </c>
      <c r="C41" s="111"/>
      <c r="D41" s="111" t="e">
        <f>2*D40</f>
        <v>#DIV/0!</v>
      </c>
      <c r="E41" s="111"/>
      <c r="F41" s="111"/>
      <c r="G41" s="111"/>
      <c r="H41" s="111"/>
      <c r="M41"/>
      <c r="N41" s="1"/>
      <c r="O41" s="49"/>
      <c r="P41" s="1"/>
      <c r="Q41"/>
      <c r="R41"/>
      <c r="S41"/>
    </row>
    <row r="42" spans="2:19" ht="15" x14ac:dyDescent="0.25">
      <c r="B42" s="32" t="s">
        <v>252</v>
      </c>
      <c r="C42" s="111"/>
      <c r="D42" s="116" t="e">
        <f>1-(1-D39)*2</f>
        <v>#DIV/0!</v>
      </c>
      <c r="E42" s="111"/>
      <c r="F42" s="117" t="s">
        <v>253</v>
      </c>
      <c r="G42" s="116" t="e">
        <f>D42*100</f>
        <v>#DIV/0!</v>
      </c>
      <c r="H42" s="117" t="s">
        <v>254</v>
      </c>
      <c r="M42" t="s">
        <v>82</v>
      </c>
      <c r="N42" s="1"/>
      <c r="O42" s="49"/>
      <c r="P42" s="1"/>
      <c r="Q42"/>
      <c r="R42"/>
      <c r="S42"/>
    </row>
  </sheetData>
  <mergeCells count="2">
    <mergeCell ref="C29:D29"/>
    <mergeCell ref="G29:H29"/>
  </mergeCells>
  <conditionalFormatting sqref="D10">
    <cfRule type="expression" dxfId="6" priority="4" stopIfTrue="1">
      <formula>OR($D$10&lt;=0,$D$10&gt;=1)</formula>
    </cfRule>
  </conditionalFormatting>
  <conditionalFormatting sqref="Q3">
    <cfRule type="expression" dxfId="5" priority="3" stopIfTrue="1">
      <formula>OR($Q$3&lt;=0,$Q$3&gt;=1)</formula>
    </cfRule>
  </conditionalFormatting>
  <conditionalFormatting sqref="N23">
    <cfRule type="expression" dxfId="4" priority="1" stopIfTrue="1">
      <formula>OR($N$23&lt;=0,$N$23&gt;=1)</formula>
    </cfRule>
    <cfRule type="expression" dxfId="3" priority="2" stopIfTrue="1">
      <formula>OR($Q$3&lt;=0,$Q$3&gt;=1)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Drop Down 1">
              <controlPr defaultSize="0" autoLine="0" autoPict="0">
                <anchor moveWithCells="1">
                  <from>
                    <xdr:col>15</xdr:col>
                    <xdr:colOff>47625</xdr:colOff>
                    <xdr:row>3</xdr:row>
                    <xdr:rowOff>38100</xdr:rowOff>
                  </from>
                  <to>
                    <xdr:col>15</xdr:col>
                    <xdr:colOff>1028700</xdr:colOff>
                    <xdr:row>3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Regression</vt:lpstr>
      <vt:lpstr>PROBSHEET</vt:lpstr>
      <vt:lpstr>Tree</vt:lpstr>
      <vt:lpstr>Binomial</vt:lpstr>
      <vt:lpstr>AnyNormal</vt:lpstr>
      <vt:lpstr>Normalphat</vt:lpstr>
      <vt:lpstr>Normalxbar</vt:lpstr>
      <vt:lpstr>IndepRV</vt:lpstr>
      <vt:lpstr>onep</vt:lpstr>
      <vt:lpstr>twops</vt:lpstr>
      <vt:lpstr>t-table</vt:lpstr>
      <vt:lpstr>BasicStats1</vt:lpstr>
      <vt:lpstr>t-CInHToneMU</vt:lpstr>
      <vt:lpstr>t-SampleSize</vt:lpstr>
      <vt:lpstr>BasicStats2</vt:lpstr>
      <vt:lpstr>t-CInHTtwoMU</vt:lpstr>
      <vt:lpstr>Sheet3</vt:lpstr>
    </vt:vector>
  </TitlesOfParts>
  <Company>Appalachian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 Build</dc:creator>
  <cp:lastModifiedBy>AppState User</cp:lastModifiedBy>
  <dcterms:created xsi:type="dcterms:W3CDTF">2009-11-18T14:06:33Z</dcterms:created>
  <dcterms:modified xsi:type="dcterms:W3CDTF">2015-12-02T15:21:38Z</dcterms:modified>
</cp:coreProperties>
</file>